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ns/Desktop/"/>
    </mc:Choice>
  </mc:AlternateContent>
  <xr:revisionPtr revIDLastSave="0" documentId="13_ncr:1_{26132EDA-80B2-1941-BF66-676BE3F135AA}" xr6:coauthVersionLast="47" xr6:coauthVersionMax="47" xr10:uidLastSave="{00000000-0000-0000-0000-000000000000}"/>
  <bookViews>
    <workbookView xWindow="0" yWindow="740" windowWidth="34560" windowHeight="21600" tabRatio="703" activeTab="4" xr2:uid="{00000000-000D-0000-FFFF-FFFF00000000}"/>
  </bookViews>
  <sheets>
    <sheet name="3-Stmt Model Data Worksheet" sheetId="21" r:id="rId1"/>
    <sheet name="3-SM Forecasting Template Blank" sheetId="19" r:id="rId2"/>
    <sheet name="Segment Level Info &amp; Unit Eco" sheetId="22" r:id="rId3"/>
    <sheet name="Segment Projection" sheetId="23" r:id="rId4"/>
    <sheet name="MODEL" sheetId="24" r:id="rId5"/>
    <sheet name="WACC" sheetId="9" state="hidden" r:id="rId6"/>
  </sheets>
  <externalReferences>
    <externalReference r:id="rId7"/>
  </externalReference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4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_xlnm._FilterDatabase" localSheetId="1" hidden="1">'3-SM Forecasting Template Blank'!$N$181:$N$191</definedName>
    <definedName name="_xlchart.v1.0" hidden="1">'Segment Projection'!#REF!</definedName>
    <definedName name="_xlchart.v1.1" hidden="1">'Segment Projection'!$A$53</definedName>
    <definedName name="_xlchart.v1.2" hidden="1">'Segment Projection'!$B$53:$F$53</definedName>
    <definedName name="_xlchart.v1.3" hidden="1">'Segment Projection'!#REF!</definedName>
    <definedName name="_xlchart.v1.4" hidden="1">'Segment Projection'!$A$53</definedName>
    <definedName name="_xlchart.v1.5" hidden="1">'Segment Projection'!$B$53:$F$53</definedName>
    <definedName name="CIQWBGuid" hidden="1">"aade3f0d-45c0-433e-b0d5-76943d59f3cb"</definedName>
    <definedName name="CIQWBInfo" hidden="1">"{ ""CIQVersion"":""9.52.4409.4666""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45704.8115625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olver_adj" localSheetId="3" hidden="1">'Segment Projection'!$B$29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itr" localSheetId="3" hidden="1">2147483647</definedName>
    <definedName name="solver_lhs1" localSheetId="3" hidden="1">'Segment Projection'!$B$32</definedName>
    <definedName name="solver_lhs2" localSheetId="3" hidden="1">'Segment Projection'!$B$33</definedName>
    <definedName name="solver_lhs3" localSheetId="3" hidden="1">'Segment Projection'!$B$33</definedName>
    <definedName name="solver_lhs4" localSheetId="3" hidden="1">'Segment Projection'!$B$34</definedName>
    <definedName name="solver_lin" localSheetId="3" hidden="1">2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0</definedName>
    <definedName name="solver_opt" localSheetId="3" hidden="1">'Segment Projection'!$B$27</definedName>
    <definedName name="solver_pre" localSheetId="3" hidden="1">0.000001</definedName>
    <definedName name="solver_rbv" localSheetId="3" hidden="1">1</definedName>
    <definedName name="solver_rel1" localSheetId="3" hidden="1">3</definedName>
    <definedName name="solver_rel2" localSheetId="3" hidden="1">1</definedName>
    <definedName name="solver_rel3" localSheetId="3" hidden="1">3</definedName>
    <definedName name="solver_rel4" localSheetId="3" hidden="1">3</definedName>
    <definedName name="solver_rhs1" localSheetId="3" hidden="1">0</definedName>
    <definedName name="solver_rhs2" localSheetId="3" hidden="1">8</definedName>
    <definedName name="solver_rhs3" localSheetId="3" hidden="1">0</definedName>
    <definedName name="solver_rhs4" localSheetId="3" hidden="1">0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2</definedName>
    <definedName name="solver_val" localSheetId="3" hidden="1">0</definedName>
    <definedName name="solver_ver" localSheetId="3" hidden="1">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4" l="1"/>
  <c r="E7" i="24"/>
  <c r="F7" i="24"/>
  <c r="G7" i="24"/>
  <c r="H7" i="24"/>
  <c r="I7" i="24"/>
  <c r="E18" i="24"/>
  <c r="F18" i="24"/>
  <c r="G18" i="24"/>
  <c r="H18" i="24"/>
  <c r="I18" i="24"/>
  <c r="D18" i="24"/>
  <c r="N38" i="23"/>
  <c r="M38" i="23"/>
  <c r="L39" i="23"/>
  <c r="H39" i="23"/>
  <c r="I39" i="23"/>
  <c r="J39" i="23"/>
  <c r="K39" i="23"/>
  <c r="H38" i="23"/>
  <c r="I38" i="23"/>
  <c r="J38" i="23"/>
  <c r="K38" i="23"/>
  <c r="L38" i="23"/>
  <c r="G38" i="23"/>
  <c r="G39" i="23"/>
  <c r="N23" i="23"/>
  <c r="K74" i="24"/>
  <c r="K73" i="24"/>
  <c r="K72" i="24"/>
  <c r="K75" i="24" s="1"/>
  <c r="C38" i="23"/>
  <c r="D38" i="23"/>
  <c r="D39" i="23" s="1"/>
  <c r="E38" i="23"/>
  <c r="F38" i="23"/>
  <c r="B38" i="23"/>
  <c r="C39" i="23" s="1"/>
  <c r="H45" i="23"/>
  <c r="I45" i="23" s="1"/>
  <c r="J45" i="23" s="1"/>
  <c r="K45" i="23" s="1"/>
  <c r="L45" i="23" s="1"/>
  <c r="M46" i="23"/>
  <c r="M47" i="23"/>
  <c r="M48" i="23"/>
  <c r="M49" i="23"/>
  <c r="M50" i="23"/>
  <c r="H43" i="23"/>
  <c r="I43" i="23" s="1"/>
  <c r="J43" i="23" s="1"/>
  <c r="K43" i="23" s="1"/>
  <c r="L43" i="23" s="1"/>
  <c r="M43" i="23" s="1"/>
  <c r="N43" i="23" s="1"/>
  <c r="B54" i="24"/>
  <c r="F53" i="23"/>
  <c r="E53" i="23"/>
  <c r="D53" i="23"/>
  <c r="C53" i="23"/>
  <c r="B53" i="23"/>
  <c r="D58" i="22"/>
  <c r="E58" i="22"/>
  <c r="F58" i="22"/>
  <c r="G58" i="22"/>
  <c r="H58" i="22"/>
  <c r="I58" i="22"/>
  <c r="J58" i="22"/>
  <c r="K58" i="22"/>
  <c r="D59" i="22"/>
  <c r="E59" i="22"/>
  <c r="F59" i="22"/>
  <c r="G59" i="22"/>
  <c r="H59" i="22"/>
  <c r="I59" i="22"/>
  <c r="J59" i="22"/>
  <c r="K59" i="22"/>
  <c r="D60" i="22"/>
  <c r="E60" i="22"/>
  <c r="F60" i="22"/>
  <c r="G60" i="22"/>
  <c r="H60" i="22"/>
  <c r="I60" i="22"/>
  <c r="J60" i="22"/>
  <c r="K60" i="22"/>
  <c r="C60" i="22"/>
  <c r="C59" i="22"/>
  <c r="C58" i="22"/>
  <c r="M44" i="22"/>
  <c r="M43" i="22"/>
  <c r="J64" i="22"/>
  <c r="I64" i="22"/>
  <c r="H64" i="22"/>
  <c r="G64" i="22"/>
  <c r="S11" i="22"/>
  <c r="K10" i="22"/>
  <c r="K55" i="22"/>
  <c r="K54" i="22"/>
  <c r="N43" i="22"/>
  <c r="N44" i="22"/>
  <c r="N46" i="22"/>
  <c r="N45" i="22"/>
  <c r="E22" i="24"/>
  <c r="F22" i="24"/>
  <c r="G22" i="24"/>
  <c r="H22" i="24"/>
  <c r="D22" i="24"/>
  <c r="K46" i="22"/>
  <c r="J46" i="22"/>
  <c r="J45" i="22"/>
  <c r="K45" i="22"/>
  <c r="I45" i="22"/>
  <c r="H53" i="22"/>
  <c r="H54" i="22" s="1"/>
  <c r="K53" i="22"/>
  <c r="J44" i="22"/>
  <c r="K44" i="22"/>
  <c r="J31" i="22"/>
  <c r="J11" i="22"/>
  <c r="J13" i="22"/>
  <c r="L13" i="22"/>
  <c r="D13" i="22"/>
  <c r="R14" i="22"/>
  <c r="S14" i="22"/>
  <c r="R27" i="22"/>
  <c r="Q26" i="22"/>
  <c r="K25" i="22"/>
  <c r="I11" i="22"/>
  <c r="J53" i="22"/>
  <c r="I53" i="22"/>
  <c r="I54" i="22" s="1"/>
  <c r="K50" i="22"/>
  <c r="K29" i="22"/>
  <c r="B22" i="24" s="1"/>
  <c r="K16" i="22"/>
  <c r="B11" i="24" s="1"/>
  <c r="K22" i="22"/>
  <c r="L11" i="22"/>
  <c r="I30" i="22"/>
  <c r="I31" i="22" s="1"/>
  <c r="H30" i="22"/>
  <c r="H31" i="22" s="1"/>
  <c r="O18" i="22"/>
  <c r="N18" i="22"/>
  <c r="J15" i="22"/>
  <c r="I15" i="22"/>
  <c r="H15" i="22"/>
  <c r="G15" i="22"/>
  <c r="G28" i="22"/>
  <c r="H23" i="22"/>
  <c r="G23" i="22"/>
  <c r="G11" i="22"/>
  <c r="H11" i="22"/>
  <c r="J26" i="22"/>
  <c r="J27" i="22" s="1"/>
  <c r="L23" i="22"/>
  <c r="I23" i="22"/>
  <c r="S30" i="22"/>
  <c r="R30" i="22"/>
  <c r="Q30" i="22"/>
  <c r="J55" i="22"/>
  <c r="J51" i="22"/>
  <c r="K51" i="22"/>
  <c r="I51" i="22"/>
  <c r="I50" i="22"/>
  <c r="J50" i="22"/>
  <c r="I44" i="22"/>
  <c r="S23" i="22"/>
  <c r="O11" i="22"/>
  <c r="N11" i="22"/>
  <c r="M11" i="22"/>
  <c r="R23" i="22"/>
  <c r="Q23" i="22"/>
  <c r="P22" i="22"/>
  <c r="P10" i="22"/>
  <c r="P16" i="22"/>
  <c r="L30" i="22"/>
  <c r="H36" i="22"/>
  <c r="H39" i="22"/>
  <c r="F37" i="22"/>
  <c r="F36" i="22"/>
  <c r="G36" i="22"/>
  <c r="G37" i="22"/>
  <c r="P12" i="22"/>
  <c r="K12" i="22"/>
  <c r="G3" i="22" s="1"/>
  <c r="G51" i="22" s="1"/>
  <c r="M23" i="22"/>
  <c r="N23" i="22"/>
  <c r="K47" i="22"/>
  <c r="J47" i="22"/>
  <c r="G17" i="22"/>
  <c r="G18" i="22" s="1"/>
  <c r="H17" i="22"/>
  <c r="H18" i="22" s="1"/>
  <c r="I17" i="22"/>
  <c r="I18" i="22" s="1"/>
  <c r="F17" i="22"/>
  <c r="F15" i="22"/>
  <c r="G13" i="22"/>
  <c r="G14" i="22" s="1"/>
  <c r="H13" i="22"/>
  <c r="H14" i="22" s="1"/>
  <c r="I13" i="22"/>
  <c r="I14" i="22" s="1"/>
  <c r="F13" i="22"/>
  <c r="F11" i="22"/>
  <c r="S13" i="22"/>
  <c r="S15" i="22"/>
  <c r="S17" i="22"/>
  <c r="C24" i="22"/>
  <c r="G24" i="22"/>
  <c r="H24" i="22"/>
  <c r="I24" i="22"/>
  <c r="L24" i="22"/>
  <c r="M24" i="22"/>
  <c r="N24" i="22"/>
  <c r="O24" i="22"/>
  <c r="R24" i="22"/>
  <c r="S24" i="22"/>
  <c r="B24" i="22"/>
  <c r="S26" i="22"/>
  <c r="R26" i="22"/>
  <c r="M30" i="22"/>
  <c r="N30" i="22"/>
  <c r="G30" i="22"/>
  <c r="G31" i="22" s="1"/>
  <c r="I47" i="22"/>
  <c r="S28" i="22"/>
  <c r="O28" i="22"/>
  <c r="L26" i="22"/>
  <c r="J28" i="22"/>
  <c r="I25" i="22"/>
  <c r="I28" i="22" s="1"/>
  <c r="H25" i="22"/>
  <c r="H28" i="22" s="1"/>
  <c r="G25" i="22"/>
  <c r="R28" i="22"/>
  <c r="R15" i="22"/>
  <c r="C15" i="22"/>
  <c r="N7" i="24"/>
  <c r="N4" i="24"/>
  <c r="D50" i="22"/>
  <c r="E50" i="22"/>
  <c r="F50" i="22"/>
  <c r="C50" i="22"/>
  <c r="B39" i="24"/>
  <c r="B38" i="24"/>
  <c r="F26" i="24"/>
  <c r="F51" i="24" s="1"/>
  <c r="F57" i="24" s="1"/>
  <c r="D59" i="24"/>
  <c r="E59" i="24"/>
  <c r="D52" i="24"/>
  <c r="D58" i="24" s="1"/>
  <c r="E52" i="24"/>
  <c r="E58" i="24" s="1"/>
  <c r="D51" i="24"/>
  <c r="D57" i="24" s="1"/>
  <c r="E51" i="24"/>
  <c r="E57" i="24" s="1"/>
  <c r="E46" i="19"/>
  <c r="F46" i="19"/>
  <c r="G46" i="19"/>
  <c r="H46" i="19"/>
  <c r="D46" i="19"/>
  <c r="B74" i="24"/>
  <c r="C65" i="24"/>
  <c r="D65" i="24"/>
  <c r="E65" i="24"/>
  <c r="F65" i="24"/>
  <c r="G65" i="24"/>
  <c r="H65" i="24"/>
  <c r="I65" i="24"/>
  <c r="B65" i="24"/>
  <c r="D60" i="24"/>
  <c r="C60" i="24"/>
  <c r="B60" i="24"/>
  <c r="C47" i="24"/>
  <c r="C54" i="24" s="1"/>
  <c r="D47" i="24"/>
  <c r="D54" i="24" s="1"/>
  <c r="E47" i="24"/>
  <c r="E54" i="24" s="1"/>
  <c r="F47" i="24"/>
  <c r="F54" i="24" s="1"/>
  <c r="B47" i="24"/>
  <c r="H37" i="23"/>
  <c r="I37" i="23" s="1"/>
  <c r="J37" i="23" s="1"/>
  <c r="K37" i="23" s="1"/>
  <c r="L37" i="23" s="1"/>
  <c r="M37" i="23" s="1"/>
  <c r="N37" i="23" s="1"/>
  <c r="D28" i="24"/>
  <c r="B28" i="24"/>
  <c r="C28" i="24"/>
  <c r="E27" i="24"/>
  <c r="E20" i="24"/>
  <c r="F20" i="24"/>
  <c r="F21" i="24" s="1"/>
  <c r="D20" i="24"/>
  <c r="G16" i="24"/>
  <c r="H16" i="24" s="1"/>
  <c r="I16" i="24" s="1"/>
  <c r="H5" i="24"/>
  <c r="G5" i="24"/>
  <c r="F5" i="24"/>
  <c r="N17" i="22"/>
  <c r="M17" i="22"/>
  <c r="M18" i="22" s="1"/>
  <c r="C8" i="24"/>
  <c r="F9" i="24"/>
  <c r="C11" i="24"/>
  <c r="D9" i="24"/>
  <c r="B8" i="23"/>
  <c r="B7" i="23"/>
  <c r="B9" i="23" s="1"/>
  <c r="E21" i="23"/>
  <c r="F21" i="23" s="1"/>
  <c r="G21" i="23" s="1"/>
  <c r="H20" i="23"/>
  <c r="I20" i="23" s="1"/>
  <c r="J20" i="23" s="1"/>
  <c r="K20" i="23" s="1"/>
  <c r="L20" i="23" s="1"/>
  <c r="M20" i="23" s="1"/>
  <c r="N20" i="23" s="1"/>
  <c r="C3" i="23"/>
  <c r="D3" i="23" s="1"/>
  <c r="E3" i="23" s="1"/>
  <c r="F3" i="23" s="1"/>
  <c r="G3" i="23" s="1"/>
  <c r="H3" i="23" s="1"/>
  <c r="I3" i="23" s="1"/>
  <c r="J3" i="23" s="1"/>
  <c r="K3" i="23" s="1"/>
  <c r="L3" i="23" s="1"/>
  <c r="M3" i="23" s="1"/>
  <c r="N3" i="23" s="1"/>
  <c r="N7" i="23" s="1"/>
  <c r="G6" i="23"/>
  <c r="H6" i="23"/>
  <c r="I6" i="23"/>
  <c r="J6" i="23"/>
  <c r="K6" i="23"/>
  <c r="L6" i="23"/>
  <c r="M6" i="23"/>
  <c r="N6" i="23"/>
  <c r="B22" i="23"/>
  <c r="H2" i="23"/>
  <c r="I2" i="23" s="1"/>
  <c r="J2" i="23" s="1"/>
  <c r="K2" i="23" s="1"/>
  <c r="L2" i="23" s="1"/>
  <c r="M2" i="23" s="1"/>
  <c r="N2" i="23" s="1"/>
  <c r="Q15" i="22"/>
  <c r="E39" i="23" l="1"/>
  <c r="F39" i="23"/>
  <c r="J48" i="22"/>
  <c r="K48" i="22"/>
  <c r="K56" i="22"/>
  <c r="O23" i="22"/>
  <c r="J23" i="22"/>
  <c r="J30" i="22"/>
  <c r="J14" i="22"/>
  <c r="J24" i="22"/>
  <c r="B19" i="24"/>
  <c r="B8" i="24"/>
  <c r="J17" i="22"/>
  <c r="J18" i="22" s="1"/>
  <c r="L31" i="22"/>
  <c r="M28" i="22"/>
  <c r="S31" i="22"/>
  <c r="N31" i="22"/>
  <c r="M31" i="22"/>
  <c r="R31" i="22"/>
  <c r="I26" i="22"/>
  <c r="I27" i="22" s="1"/>
  <c r="H26" i="22"/>
  <c r="H27" i="22" s="1"/>
  <c r="N28" i="22"/>
  <c r="S18" i="22"/>
  <c r="J54" i="22"/>
  <c r="L28" i="22"/>
  <c r="K52" i="22"/>
  <c r="G26" i="22"/>
  <c r="G54" i="24"/>
  <c r="H54" i="24" s="1"/>
  <c r="I54" i="24" s="1"/>
  <c r="G26" i="24"/>
  <c r="H26" i="24" s="1"/>
  <c r="H51" i="24" s="1"/>
  <c r="H57" i="24" s="1"/>
  <c r="F59" i="24"/>
  <c r="F52" i="24"/>
  <c r="F58" i="24" s="1"/>
  <c r="H59" i="24"/>
  <c r="G51" i="24"/>
  <c r="G57" i="24" s="1"/>
  <c r="H52" i="24"/>
  <c r="H58" i="24" s="1"/>
  <c r="G59" i="24"/>
  <c r="G52" i="24"/>
  <c r="G58" i="24" s="1"/>
  <c r="B42" i="24"/>
  <c r="E21" i="24"/>
  <c r="I26" i="24"/>
  <c r="G6" i="24"/>
  <c r="H6" i="24"/>
  <c r="I5" i="24"/>
  <c r="I4" i="24" s="1"/>
  <c r="J16" i="24"/>
  <c r="K16" i="24" s="1"/>
  <c r="I15" i="24"/>
  <c r="F16" i="24"/>
  <c r="E16" i="24"/>
  <c r="E9" i="24"/>
  <c r="E5" i="24"/>
  <c r="M7" i="23"/>
  <c r="L7" i="23"/>
  <c r="K7" i="23"/>
  <c r="H7" i="23"/>
  <c r="G7" i="23"/>
  <c r="J7" i="23"/>
  <c r="F7" i="23"/>
  <c r="I7" i="23"/>
  <c r="E7" i="23"/>
  <c r="D7" i="23"/>
  <c r="C7" i="23"/>
  <c r="H21" i="23"/>
  <c r="L27" i="22" l="1"/>
  <c r="G27" i="22"/>
  <c r="J52" i="22"/>
  <c r="J5" i="24"/>
  <c r="K5" i="24" s="1"/>
  <c r="J26" i="24"/>
  <c r="K26" i="24" s="1"/>
  <c r="I59" i="24"/>
  <c r="I52" i="24"/>
  <c r="I58" i="24" s="1"/>
  <c r="I51" i="24"/>
  <c r="I57" i="24" s="1"/>
  <c r="F6" i="24"/>
  <c r="J15" i="24"/>
  <c r="G17" i="24"/>
  <c r="F17" i="24"/>
  <c r="F10" i="24"/>
  <c r="E10" i="24"/>
  <c r="I21" i="23"/>
  <c r="K15" i="24" l="1"/>
  <c r="P15" i="24" s="1"/>
  <c r="J21" i="23"/>
  <c r="R17" i="22"/>
  <c r="R18" i="22" s="1"/>
  <c r="Q17" i="22"/>
  <c r="M13" i="22"/>
  <c r="M14" i="22" s="1"/>
  <c r="R13" i="22"/>
  <c r="P25" i="22"/>
  <c r="P26" i="22" s="1"/>
  <c r="F4" i="23"/>
  <c r="Q29" i="22"/>
  <c r="Q28" i="22"/>
  <c r="O26" i="22"/>
  <c r="O27" i="22" s="1"/>
  <c r="M26" i="22"/>
  <c r="N26" i="22"/>
  <c r="Q22" i="22"/>
  <c r="Q24" i="22" s="1"/>
  <c r="P24" i="22"/>
  <c r="F24" i="22"/>
  <c r="K24" i="22"/>
  <c r="E24" i="22"/>
  <c r="D24" i="22"/>
  <c r="R11" i="22"/>
  <c r="Q11" i="22"/>
  <c r="N13" i="22"/>
  <c r="L15" i="22"/>
  <c r="M15" i="22"/>
  <c r="O15" i="22"/>
  <c r="N15" i="22"/>
  <c r="E18" i="19"/>
  <c r="F18" i="19"/>
  <c r="G18" i="19"/>
  <c r="H18" i="19"/>
  <c r="D18" i="19"/>
  <c r="D64" i="19" s="1"/>
  <c r="E53" i="22"/>
  <c r="C55" i="22"/>
  <c r="B55" i="22"/>
  <c r="I15" i="19"/>
  <c r="J15" i="19" s="1"/>
  <c r="K15" i="19" s="1"/>
  <c r="L15" i="19" s="1"/>
  <c r="M15" i="19" s="1"/>
  <c r="I16" i="19"/>
  <c r="I203" i="19" s="1"/>
  <c r="I112" i="19"/>
  <c r="J112" i="19" s="1"/>
  <c r="K112" i="19" s="1"/>
  <c r="L112" i="19" s="1"/>
  <c r="M112" i="19" s="1"/>
  <c r="I124" i="19"/>
  <c r="J124" i="19"/>
  <c r="K124" i="19"/>
  <c r="L124" i="19"/>
  <c r="L135" i="19" s="1"/>
  <c r="M124" i="19"/>
  <c r="I127" i="19"/>
  <c r="I135" i="19" s="1"/>
  <c r="J127" i="19"/>
  <c r="J135" i="19" s="1"/>
  <c r="K127" i="19"/>
  <c r="K135" i="19" s="1"/>
  <c r="L127" i="19"/>
  <c r="M127" i="19"/>
  <c r="I133" i="19"/>
  <c r="J133" i="19"/>
  <c r="K133" i="19"/>
  <c r="L133" i="19"/>
  <c r="M133" i="19"/>
  <c r="M135" i="19"/>
  <c r="I138" i="19"/>
  <c r="J138" i="19"/>
  <c r="K138" i="19" s="1"/>
  <c r="L138" i="19" s="1"/>
  <c r="M138" i="19" s="1"/>
  <c r="I141" i="19"/>
  <c r="J141" i="19"/>
  <c r="J143" i="19" s="1"/>
  <c r="K141" i="19"/>
  <c r="K143" i="19" s="1"/>
  <c r="L141" i="19"/>
  <c r="L143" i="19" s="1"/>
  <c r="M141" i="19"/>
  <c r="M143" i="19" s="1"/>
  <c r="I143" i="19"/>
  <c r="I146" i="19"/>
  <c r="J146" i="19"/>
  <c r="K146" i="19"/>
  <c r="L146" i="19"/>
  <c r="M146" i="19"/>
  <c r="I148" i="19"/>
  <c r="I149" i="19"/>
  <c r="J149" i="19"/>
  <c r="K149" i="19"/>
  <c r="L149" i="19"/>
  <c r="M149" i="19"/>
  <c r="I150" i="19"/>
  <c r="J150" i="19"/>
  <c r="K150" i="19"/>
  <c r="L150" i="19"/>
  <c r="M150" i="19"/>
  <c r="I151" i="19"/>
  <c r="J148" i="19" s="1"/>
  <c r="J151" i="19" s="1"/>
  <c r="K148" i="19" s="1"/>
  <c r="K151" i="19" s="1"/>
  <c r="L148" i="19" s="1"/>
  <c r="L151" i="19" s="1"/>
  <c r="M148" i="19" s="1"/>
  <c r="M151" i="19" s="1"/>
  <c r="I154" i="19"/>
  <c r="J154" i="19"/>
  <c r="K154" i="19"/>
  <c r="L154" i="19"/>
  <c r="M154" i="19"/>
  <c r="I202" i="19"/>
  <c r="J202" i="19"/>
  <c r="K202" i="19"/>
  <c r="L202" i="19" s="1"/>
  <c r="M202" i="19" s="1"/>
  <c r="I207" i="19"/>
  <c r="J207" i="19"/>
  <c r="K207" i="19"/>
  <c r="L207" i="19"/>
  <c r="M207" i="19"/>
  <c r="I208" i="19"/>
  <c r="J208" i="19"/>
  <c r="K208" i="19"/>
  <c r="L208" i="19"/>
  <c r="M208" i="19"/>
  <c r="I212" i="19"/>
  <c r="J212" i="19"/>
  <c r="K212" i="19"/>
  <c r="L212" i="19"/>
  <c r="M212" i="19"/>
  <c r="I213" i="19"/>
  <c r="J213" i="19"/>
  <c r="K213" i="19"/>
  <c r="L213" i="19"/>
  <c r="M213" i="19"/>
  <c r="I217" i="19"/>
  <c r="J217" i="19"/>
  <c r="K217" i="19"/>
  <c r="L217" i="19"/>
  <c r="M217" i="19"/>
  <c r="I218" i="19"/>
  <c r="J218" i="19"/>
  <c r="K218" i="19"/>
  <c r="L218" i="19"/>
  <c r="M218" i="19"/>
  <c r="I222" i="19"/>
  <c r="J222" i="19"/>
  <c r="K222" i="19"/>
  <c r="L222" i="19"/>
  <c r="M222" i="19"/>
  <c r="I223" i="19"/>
  <c r="J223" i="19"/>
  <c r="K223" i="19"/>
  <c r="L223" i="19"/>
  <c r="M223" i="19"/>
  <c r="F138" i="19"/>
  <c r="G138" i="19"/>
  <c r="H138" i="19"/>
  <c r="F139" i="19"/>
  <c r="G139" i="19"/>
  <c r="H139" i="19"/>
  <c r="F145" i="19"/>
  <c r="F146" i="19" s="1"/>
  <c r="G145" i="19"/>
  <c r="G146" i="19" s="1"/>
  <c r="H145" i="19"/>
  <c r="H146" i="19"/>
  <c r="F151" i="19"/>
  <c r="G151" i="19"/>
  <c r="H151" i="19"/>
  <c r="E64" i="19"/>
  <c r="C53" i="22"/>
  <c r="D53" i="22"/>
  <c r="F53" i="22"/>
  <c r="B53" i="22"/>
  <c r="D44" i="22"/>
  <c r="E44" i="22"/>
  <c r="F44" i="22"/>
  <c r="G44" i="22"/>
  <c r="H44" i="22"/>
  <c r="C44" i="22"/>
  <c r="B6" i="22"/>
  <c r="C6" i="22"/>
  <c r="B17" i="22"/>
  <c r="C17" i="22"/>
  <c r="C11" i="22"/>
  <c r="B25" i="22"/>
  <c r="B26" i="22" s="1"/>
  <c r="C25" i="22"/>
  <c r="C26" i="22" s="1"/>
  <c r="B30" i="22"/>
  <c r="C30" i="22"/>
  <c r="C31" i="22" s="1"/>
  <c r="C23" i="22"/>
  <c r="B37" i="22"/>
  <c r="C37" i="22"/>
  <c r="B39" i="22"/>
  <c r="C39" i="22"/>
  <c r="C36" i="22"/>
  <c r="B13" i="22"/>
  <c r="C13" i="22"/>
  <c r="B45" i="22"/>
  <c r="C45" i="22"/>
  <c r="H49" i="22"/>
  <c r="G49" i="22"/>
  <c r="K23" i="22" l="1"/>
  <c r="C18" i="22"/>
  <c r="N27" i="22"/>
  <c r="S27" i="22"/>
  <c r="M27" i="22"/>
  <c r="N14" i="22"/>
  <c r="C40" i="23"/>
  <c r="C42" i="23" s="1"/>
  <c r="B40" i="23"/>
  <c r="B42" i="23" s="1"/>
  <c r="H50" i="22"/>
  <c r="K30" i="22"/>
  <c r="K26" i="22"/>
  <c r="P27" i="22" s="1"/>
  <c r="D40" i="23"/>
  <c r="D42" i="23" s="1"/>
  <c r="F23" i="22"/>
  <c r="N15" i="24"/>
  <c r="G53" i="22"/>
  <c r="G54" i="22" s="1"/>
  <c r="G50" i="22"/>
  <c r="Q31" i="22"/>
  <c r="C14" i="22"/>
  <c r="Q27" i="22"/>
  <c r="I55" i="22"/>
  <c r="J56" i="22" s="1"/>
  <c r="E54" i="22"/>
  <c r="B15" i="24"/>
  <c r="B20" i="24" s="1"/>
  <c r="B18" i="24"/>
  <c r="E40" i="23"/>
  <c r="E42" i="23" s="1"/>
  <c r="C18" i="24"/>
  <c r="F40" i="23"/>
  <c r="F42" i="23" s="1"/>
  <c r="C15" i="24"/>
  <c r="C4" i="24"/>
  <c r="C7" i="24"/>
  <c r="L14" i="22"/>
  <c r="L17" i="22"/>
  <c r="Q18" i="22" s="1"/>
  <c r="B7" i="24"/>
  <c r="B4" i="24"/>
  <c r="F8" i="23"/>
  <c r="F9" i="23"/>
  <c r="Q13" i="22"/>
  <c r="K21" i="23"/>
  <c r="F54" i="22"/>
  <c r="D54" i="22"/>
  <c r="C54" i="22"/>
  <c r="C27" i="22"/>
  <c r="C56" i="22"/>
  <c r="I220" i="19"/>
  <c r="I205" i="19"/>
  <c r="I210" i="19"/>
  <c r="I215" i="19"/>
  <c r="J16" i="19"/>
  <c r="I155" i="19"/>
  <c r="J155" i="19" s="1"/>
  <c r="K155" i="19" s="1"/>
  <c r="L155" i="19" s="1"/>
  <c r="M155" i="19" s="1"/>
  <c r="I113" i="19"/>
  <c r="J113" i="19" s="1"/>
  <c r="K113" i="19" s="1"/>
  <c r="L113" i="19" s="1"/>
  <c r="M113" i="19" s="1"/>
  <c r="I139" i="19"/>
  <c r="J139" i="19" s="1"/>
  <c r="K139" i="19" s="1"/>
  <c r="L139" i="19" s="1"/>
  <c r="M139" i="19" s="1"/>
  <c r="B3" i="22"/>
  <c r="B4" i="22" s="1"/>
  <c r="C3" i="22"/>
  <c r="C28" i="22"/>
  <c r="C46" i="22"/>
  <c r="D43" i="23" l="1"/>
  <c r="F43" i="23"/>
  <c r="G42" i="23"/>
  <c r="E43" i="23"/>
  <c r="C43" i="23"/>
  <c r="D41" i="23"/>
  <c r="C41" i="23"/>
  <c r="Q14" i="22"/>
  <c r="O13" i="22"/>
  <c r="O14" i="22" s="1"/>
  <c r="C16" i="24"/>
  <c r="D16" i="24"/>
  <c r="P16" i="24" s="1"/>
  <c r="F41" i="23"/>
  <c r="O17" i="22"/>
  <c r="E41" i="23"/>
  <c r="L18" i="22"/>
  <c r="D5" i="24"/>
  <c r="C5" i="24"/>
  <c r="L21" i="23"/>
  <c r="C4" i="22"/>
  <c r="C47" i="22"/>
  <c r="C51" i="22"/>
  <c r="J203" i="19"/>
  <c r="K16" i="19"/>
  <c r="B51" i="22"/>
  <c r="B47" i="22"/>
  <c r="G40" i="23" l="1"/>
  <c r="H42" i="23"/>
  <c r="E6" i="24"/>
  <c r="P5" i="24"/>
  <c r="E17" i="24"/>
  <c r="D17" i="24"/>
  <c r="P17" i="24" s="1"/>
  <c r="D6" i="24"/>
  <c r="P6" i="24" s="1"/>
  <c r="M21" i="23"/>
  <c r="K203" i="19"/>
  <c r="L16" i="19"/>
  <c r="J205" i="19"/>
  <c r="J210" i="19"/>
  <c r="J215" i="19"/>
  <c r="J220" i="19"/>
  <c r="C48" i="22"/>
  <c r="C52" i="22"/>
  <c r="I42" i="23" l="1"/>
  <c r="N21" i="23"/>
  <c r="L203" i="19"/>
  <c r="M16" i="19"/>
  <c r="M203" i="19" s="1"/>
  <c r="K220" i="19"/>
  <c r="K215" i="19"/>
  <c r="K205" i="19"/>
  <c r="K210" i="19"/>
  <c r="D15" i="22"/>
  <c r="D25" i="22"/>
  <c r="D28" i="22" s="1"/>
  <c r="E25" i="22"/>
  <c r="F25" i="22"/>
  <c r="K28" i="22" s="1"/>
  <c r="P28" i="22"/>
  <c r="H103" i="21"/>
  <c r="H105" i="21" s="1"/>
  <c r="G103" i="21"/>
  <c r="G105" i="21" s="1"/>
  <c r="F103" i="21"/>
  <c r="F105" i="21" s="1"/>
  <c r="E103" i="21"/>
  <c r="E105" i="21" s="1"/>
  <c r="D103" i="21"/>
  <c r="D105" i="21" s="1"/>
  <c r="H95" i="21"/>
  <c r="G95" i="21"/>
  <c r="F95" i="21"/>
  <c r="E95" i="21"/>
  <c r="D95" i="21"/>
  <c r="E84" i="21"/>
  <c r="D84" i="21"/>
  <c r="H70" i="21"/>
  <c r="H84" i="21" s="1"/>
  <c r="G70" i="21"/>
  <c r="F70" i="21"/>
  <c r="E70" i="21"/>
  <c r="D70" i="21"/>
  <c r="H69" i="21"/>
  <c r="G69" i="21"/>
  <c r="F69" i="21"/>
  <c r="D69" i="21"/>
  <c r="H67" i="21"/>
  <c r="G67" i="21"/>
  <c r="F67" i="21"/>
  <c r="E67" i="21"/>
  <c r="D67" i="21"/>
  <c r="H44" i="21"/>
  <c r="G44" i="21"/>
  <c r="F44" i="21"/>
  <c r="E44" i="21"/>
  <c r="D44" i="21"/>
  <c r="H43" i="21"/>
  <c r="G43" i="21"/>
  <c r="F43" i="21"/>
  <c r="E43" i="21"/>
  <c r="D43" i="21"/>
  <c r="H42" i="21"/>
  <c r="G42" i="21"/>
  <c r="F42" i="21"/>
  <c r="E42" i="21"/>
  <c r="D42" i="21"/>
  <c r="H41" i="21"/>
  <c r="G41" i="21"/>
  <c r="F41" i="21"/>
  <c r="E41" i="21"/>
  <c r="D41" i="21"/>
  <c r="H40" i="21"/>
  <c r="G40" i="21"/>
  <c r="F40" i="21"/>
  <c r="E40" i="21"/>
  <c r="D40" i="21"/>
  <c r="H39" i="21"/>
  <c r="G39" i="21"/>
  <c r="F39" i="21"/>
  <c r="E39" i="21"/>
  <c r="D39" i="21"/>
  <c r="H18" i="21"/>
  <c r="H24" i="21" s="1"/>
  <c r="H30" i="21" s="1"/>
  <c r="H33" i="21" s="1"/>
  <c r="H37" i="21" s="1"/>
  <c r="G18" i="21"/>
  <c r="G24" i="21" s="1"/>
  <c r="G30" i="21" s="1"/>
  <c r="G33" i="21" s="1"/>
  <c r="G37" i="21" s="1"/>
  <c r="G45" i="21" s="1"/>
  <c r="G57" i="21" s="1"/>
  <c r="F18" i="21"/>
  <c r="F24" i="21" s="1"/>
  <c r="F30" i="21" s="1"/>
  <c r="F33" i="21" s="1"/>
  <c r="F37" i="21" s="1"/>
  <c r="E18" i="21"/>
  <c r="E24" i="21" s="1"/>
  <c r="E30" i="21" s="1"/>
  <c r="E33" i="21" s="1"/>
  <c r="E37" i="21" s="1"/>
  <c r="D18" i="21"/>
  <c r="D24" i="21" s="1"/>
  <c r="D30" i="21" s="1"/>
  <c r="D33" i="21" s="1"/>
  <c r="D37" i="21" s="1"/>
  <c r="H104" i="19"/>
  <c r="H106" i="19" s="1"/>
  <c r="G104" i="19"/>
  <c r="G106" i="19" s="1"/>
  <c r="E106" i="19"/>
  <c r="F106" i="19"/>
  <c r="D106" i="19"/>
  <c r="D104" i="19"/>
  <c r="E104" i="19"/>
  <c r="F104" i="19"/>
  <c r="H71" i="19"/>
  <c r="G71" i="19"/>
  <c r="G70" i="19"/>
  <c r="H70" i="19"/>
  <c r="F71" i="19"/>
  <c r="E71" i="19"/>
  <c r="E85" i="19" s="1"/>
  <c r="F70" i="19"/>
  <c r="D71" i="19"/>
  <c r="D70" i="19"/>
  <c r="D96" i="19"/>
  <c r="E96" i="19"/>
  <c r="D39" i="19"/>
  <c r="D40" i="19"/>
  <c r="D41" i="19"/>
  <c r="D42" i="19"/>
  <c r="D43" i="19"/>
  <c r="D44" i="19"/>
  <c r="H44" i="19"/>
  <c r="G44" i="19"/>
  <c r="F44" i="19"/>
  <c r="E44" i="19"/>
  <c r="H43" i="19"/>
  <c r="G43" i="19"/>
  <c r="F43" i="19"/>
  <c r="E43" i="19"/>
  <c r="H42" i="19"/>
  <c r="G42" i="19"/>
  <c r="F42" i="19"/>
  <c r="E42" i="19"/>
  <c r="H41" i="19"/>
  <c r="G41" i="19"/>
  <c r="F41" i="19"/>
  <c r="E41" i="19"/>
  <c r="H40" i="19"/>
  <c r="G40" i="19"/>
  <c r="F40" i="19"/>
  <c r="E40" i="19"/>
  <c r="H39" i="19"/>
  <c r="G39" i="19"/>
  <c r="F39" i="19"/>
  <c r="E39" i="19"/>
  <c r="D16" i="19"/>
  <c r="D68" i="19" s="1"/>
  <c r="E16" i="19"/>
  <c r="E68" i="19" s="1"/>
  <c r="C3" i="19"/>
  <c r="D6" i="19"/>
  <c r="D5" i="19"/>
  <c r="D9" i="19"/>
  <c r="D10" i="19"/>
  <c r="H15" i="21"/>
  <c r="H66" i="21" s="1"/>
  <c r="C1" i="21"/>
  <c r="G169" i="19"/>
  <c r="H169" i="19"/>
  <c r="F169" i="19"/>
  <c r="D198" i="19"/>
  <c r="E198" i="19"/>
  <c r="F198" i="19"/>
  <c r="J42" i="23" l="1"/>
  <c r="B26" i="24"/>
  <c r="C26" i="24"/>
  <c r="H37" i="22"/>
  <c r="D4" i="23"/>
  <c r="E15" i="22"/>
  <c r="C4" i="23"/>
  <c r="E28" i="22"/>
  <c r="P15" i="22"/>
  <c r="E4" i="23"/>
  <c r="E55" i="22"/>
  <c r="F55" i="22"/>
  <c r="G55" i="22"/>
  <c r="M45" i="22" s="1"/>
  <c r="H55" i="22"/>
  <c r="I56" i="22" s="1"/>
  <c r="K15" i="22"/>
  <c r="M220" i="19"/>
  <c r="M210" i="19"/>
  <c r="M215" i="19"/>
  <c r="M205" i="19"/>
  <c r="L210" i="19"/>
  <c r="L215" i="19"/>
  <c r="L220" i="19"/>
  <c r="L205" i="19"/>
  <c r="H64" i="19"/>
  <c r="H141" i="19"/>
  <c r="H143" i="19" s="1"/>
  <c r="G141" i="19"/>
  <c r="G143" i="19" s="1"/>
  <c r="G64" i="19"/>
  <c r="F64" i="19"/>
  <c r="F141" i="19"/>
  <c r="F143" i="19" s="1"/>
  <c r="D24" i="19"/>
  <c r="D61" i="19" s="1"/>
  <c r="D63" i="19"/>
  <c r="D62" i="19"/>
  <c r="E24" i="19"/>
  <c r="E63" i="19"/>
  <c r="E62" i="19"/>
  <c r="F24" i="19"/>
  <c r="F62" i="19"/>
  <c r="F63" i="19"/>
  <c r="G24" i="19"/>
  <c r="G63" i="19"/>
  <c r="G62" i="19"/>
  <c r="H24" i="19"/>
  <c r="H63" i="19"/>
  <c r="H62" i="19"/>
  <c r="D36" i="22"/>
  <c r="F39" i="22"/>
  <c r="G39" i="22"/>
  <c r="E39" i="22"/>
  <c r="E3" i="22"/>
  <c r="D3" i="22"/>
  <c r="D51" i="22" s="1"/>
  <c r="F28" i="22"/>
  <c r="N18" i="24" s="1"/>
  <c r="D23" i="22"/>
  <c r="E45" i="22"/>
  <c r="F45" i="22"/>
  <c r="G45" i="22"/>
  <c r="H45" i="22"/>
  <c r="I46" i="22" s="1"/>
  <c r="D14" i="22"/>
  <c r="G4" i="22"/>
  <c r="E13" i="22"/>
  <c r="F14" i="22" s="1"/>
  <c r="K13" i="22"/>
  <c r="E22" i="23" s="1"/>
  <c r="H3" i="22"/>
  <c r="H4" i="22" s="1"/>
  <c r="F3" i="22"/>
  <c r="F51" i="22" s="1"/>
  <c r="P13" i="22"/>
  <c r="F26" i="22"/>
  <c r="E26" i="22"/>
  <c r="D108" i="21"/>
  <c r="E108" i="21"/>
  <c r="D45" i="21"/>
  <c r="D57" i="21" s="1"/>
  <c r="E45" i="21"/>
  <c r="E57" i="21" s="1"/>
  <c r="F45" i="21"/>
  <c r="F57" i="21" s="1"/>
  <c r="H45" i="21"/>
  <c r="H57" i="21" s="1"/>
  <c r="F84" i="21"/>
  <c r="G84" i="21"/>
  <c r="H108" i="21"/>
  <c r="F108" i="21"/>
  <c r="G108" i="21"/>
  <c r="K11" i="22"/>
  <c r="P11" i="22"/>
  <c r="E11" i="22"/>
  <c r="P23" i="22"/>
  <c r="F30" i="22"/>
  <c r="K31" i="22" s="1"/>
  <c r="E30" i="22"/>
  <c r="K17" i="22"/>
  <c r="P17" i="22"/>
  <c r="D17" i="22"/>
  <c r="D18" i="22" s="1"/>
  <c r="E17" i="22"/>
  <c r="F18" i="22" s="1"/>
  <c r="D85" i="19"/>
  <c r="D109" i="19" s="1"/>
  <c r="E109" i="19"/>
  <c r="G15" i="21"/>
  <c r="G66" i="21" s="1"/>
  <c r="K42" i="23" l="1"/>
  <c r="M46" i="22"/>
  <c r="F27" i="22"/>
  <c r="P18" i="22"/>
  <c r="F31" i="22"/>
  <c r="C51" i="24"/>
  <c r="C57" i="24" s="1"/>
  <c r="C52" i="24"/>
  <c r="C58" i="24" s="1"/>
  <c r="D27" i="24"/>
  <c r="C59" i="24"/>
  <c r="C29" i="24"/>
  <c r="C27" i="24"/>
  <c r="F56" i="22"/>
  <c r="B52" i="24"/>
  <c r="B58" i="24" s="1"/>
  <c r="B59" i="24"/>
  <c r="B51" i="24"/>
  <c r="B57" i="24" s="1"/>
  <c r="B29" i="24"/>
  <c r="B31" i="24" s="1"/>
  <c r="D22" i="23"/>
  <c r="D28" i="23" s="1"/>
  <c r="E14" i="22"/>
  <c r="C22" i="23"/>
  <c r="E18" i="22"/>
  <c r="E8" i="23"/>
  <c r="E5" i="23"/>
  <c r="E9" i="23"/>
  <c r="F5" i="23"/>
  <c r="C5" i="23"/>
  <c r="C6" i="23" s="1"/>
  <c r="C8" i="23"/>
  <c r="C9" i="23"/>
  <c r="D8" i="23"/>
  <c r="D5" i="23"/>
  <c r="D9" i="23"/>
  <c r="E28" i="23"/>
  <c r="F25" i="23"/>
  <c r="B9" i="24"/>
  <c r="K18" i="22"/>
  <c r="P14" i="22"/>
  <c r="F22" i="23"/>
  <c r="C9" i="24"/>
  <c r="G56" i="22"/>
  <c r="H46" i="22"/>
  <c r="K27" i="22"/>
  <c r="H56" i="22"/>
  <c r="K14" i="22"/>
  <c r="E4" i="22"/>
  <c r="E51" i="22"/>
  <c r="H51" i="22"/>
  <c r="I52" i="22" s="1"/>
  <c r="F4" i="22"/>
  <c r="D11" i="22"/>
  <c r="D55" i="22"/>
  <c r="D56" i="22" s="1"/>
  <c r="E30" i="19"/>
  <c r="E33" i="19" s="1"/>
  <c r="E37" i="19" s="1"/>
  <c r="E45" i="19" s="1"/>
  <c r="E57" i="19" s="1"/>
  <c r="E61" i="19"/>
  <c r="G30" i="19"/>
  <c r="G33" i="19" s="1"/>
  <c r="G37" i="19" s="1"/>
  <c r="G45" i="19" s="1"/>
  <c r="G57" i="19" s="1"/>
  <c r="G61" i="19"/>
  <c r="H30" i="19"/>
  <c r="H33" i="19" s="1"/>
  <c r="H37" i="19" s="1"/>
  <c r="H45" i="19" s="1"/>
  <c r="H57" i="19" s="1"/>
  <c r="H61" i="19"/>
  <c r="D30" i="19"/>
  <c r="D33" i="19" s="1"/>
  <c r="D37" i="19" s="1"/>
  <c r="D45" i="19" s="1"/>
  <c r="D57" i="19" s="1"/>
  <c r="F46" i="22"/>
  <c r="F30" i="19"/>
  <c r="F33" i="19" s="1"/>
  <c r="F37" i="19" s="1"/>
  <c r="F45" i="19" s="1"/>
  <c r="F57" i="19" s="1"/>
  <c r="F61" i="19"/>
  <c r="D4" i="22"/>
  <c r="E36" i="22"/>
  <c r="G46" i="22"/>
  <c r="E23" i="22"/>
  <c r="D26" i="22"/>
  <c r="D27" i="22" s="1"/>
  <c r="D39" i="22"/>
  <c r="F47" i="22"/>
  <c r="H47" i="22"/>
  <c r="I48" i="22" s="1"/>
  <c r="G47" i="22"/>
  <c r="D52" i="22"/>
  <c r="D47" i="22"/>
  <c r="E47" i="22"/>
  <c r="D30" i="22"/>
  <c r="D45" i="22"/>
  <c r="D46" i="22" s="1"/>
  <c r="E37" i="22"/>
  <c r="F15" i="21"/>
  <c r="F66" i="21" s="1"/>
  <c r="L42" i="23" l="1"/>
  <c r="E31" i="22"/>
  <c r="D31" i="22"/>
  <c r="E23" i="23"/>
  <c r="E6" i="23"/>
  <c r="F6" i="23"/>
  <c r="D6" i="23"/>
  <c r="D25" i="23"/>
  <c r="D26" i="23" s="1"/>
  <c r="C23" i="23"/>
  <c r="D23" i="23"/>
  <c r="E25" i="23"/>
  <c r="E26" i="23" s="1"/>
  <c r="C10" i="24"/>
  <c r="D10" i="24"/>
  <c r="F28" i="23"/>
  <c r="F23" i="23"/>
  <c r="F26" i="23"/>
  <c r="G25" i="23"/>
  <c r="F52" i="22"/>
  <c r="E27" i="22"/>
  <c r="E56" i="22"/>
  <c r="H52" i="22"/>
  <c r="E52" i="22"/>
  <c r="G52" i="22"/>
  <c r="G48" i="22"/>
  <c r="H48" i="22"/>
  <c r="F48" i="22"/>
  <c r="E46" i="22"/>
  <c r="E48" i="22"/>
  <c r="D48" i="22"/>
  <c r="D37" i="22"/>
  <c r="E15" i="21"/>
  <c r="F85" i="19"/>
  <c r="M42" i="23" l="1"/>
  <c r="D24" i="23"/>
  <c r="G10" i="24"/>
  <c r="H10" i="24" s="1"/>
  <c r="P10" i="24"/>
  <c r="B63" i="24"/>
  <c r="B61" i="24"/>
  <c r="D11" i="24"/>
  <c r="E24" i="23"/>
  <c r="G23" i="23"/>
  <c r="G22" i="23" s="1"/>
  <c r="F24" i="23"/>
  <c r="D6" i="22"/>
  <c r="E6" i="22"/>
  <c r="H6" i="22"/>
  <c r="G6" i="22"/>
  <c r="F6" i="22"/>
  <c r="D15" i="21"/>
  <c r="D66" i="21" s="1"/>
  <c r="E66" i="21"/>
  <c r="F96" i="19"/>
  <c r="F109" i="19" s="1"/>
  <c r="F175" i="19"/>
  <c r="G96" i="19"/>
  <c r="G175" i="19"/>
  <c r="H175" i="19"/>
  <c r="H96" i="19"/>
  <c r="G85" i="19"/>
  <c r="H85" i="19"/>
  <c r="N42" i="23" l="1"/>
  <c r="G9" i="24"/>
  <c r="H9" i="24" s="1"/>
  <c r="I9" i="24" s="1"/>
  <c r="I8" i="24" s="1"/>
  <c r="B50" i="24"/>
  <c r="B53" i="24" s="1"/>
  <c r="D31" i="24"/>
  <c r="H25" i="23"/>
  <c r="G28" i="23"/>
  <c r="G26" i="23"/>
  <c r="G109" i="19"/>
  <c r="H109" i="19"/>
  <c r="C63" i="24" l="1"/>
  <c r="C61" i="24"/>
  <c r="B55" i="24"/>
  <c r="E11" i="24"/>
  <c r="B56" i="24" l="1"/>
  <c r="B64" i="24" s="1"/>
  <c r="J9" i="24"/>
  <c r="K9" i="24" l="1"/>
  <c r="P9" i="24" s="1"/>
  <c r="B8" i="9" l="1"/>
  <c r="B9" i="9"/>
  <c r="C1" i="19"/>
  <c r="H15" i="19"/>
  <c r="D204" i="19"/>
  <c r="H1" i="22" l="1"/>
  <c r="P9" i="22" s="1"/>
  <c r="P21" i="22" s="1"/>
  <c r="H34" i="22" s="1"/>
  <c r="H42" i="22" s="1"/>
  <c r="H67" i="19"/>
  <c r="G15" i="19"/>
  <c r="H154" i="19"/>
  <c r="G1" i="22" l="1"/>
  <c r="G67" i="19"/>
  <c r="G154" i="19"/>
  <c r="F15" i="19"/>
  <c r="F1" i="22" s="1"/>
  <c r="K9" i="22" l="1"/>
  <c r="K21" i="22" s="1"/>
  <c r="G34" i="22" s="1"/>
  <c r="G42" i="22" s="1"/>
  <c r="E15" i="19"/>
  <c r="F9" i="22"/>
  <c r="F67" i="19"/>
  <c r="F154" i="19"/>
  <c r="E67" i="19" l="1"/>
  <c r="E1" i="22"/>
  <c r="E9" i="22" s="1"/>
  <c r="F21" i="22"/>
  <c r="F34" i="22" s="1"/>
  <c r="F42" i="22" s="1"/>
  <c r="D15" i="19"/>
  <c r="D1" i="22" l="1"/>
  <c r="E21" i="22"/>
  <c r="E34" i="22" s="1"/>
  <c r="E42" i="22" s="1"/>
  <c r="D9" i="22"/>
  <c r="C9" i="22" s="1"/>
  <c r="B9" i="22" s="1"/>
  <c r="D67" i="19"/>
  <c r="D21" i="22" l="1"/>
  <c r="D34" i="22" s="1"/>
  <c r="D42" i="22" s="1"/>
  <c r="F16" i="19" l="1"/>
  <c r="G16" i="19"/>
  <c r="G155" i="19" s="1"/>
  <c r="F155" i="19" l="1"/>
  <c r="F68" i="19"/>
  <c r="G68" i="19"/>
  <c r="H16" i="19"/>
  <c r="H155" i="19" l="1"/>
  <c r="H68" i="19"/>
  <c r="G5" i="23" l="1"/>
  <c r="H23" i="23"/>
  <c r="H5" i="23" l="1"/>
  <c r="G4" i="23"/>
  <c r="G8" i="23" s="1"/>
  <c r="H22" i="23"/>
  <c r="I25" i="23" s="1"/>
  <c r="D61" i="24" s="1"/>
  <c r="I23" i="23"/>
  <c r="E61" i="24" l="1"/>
  <c r="F61" i="24" s="1"/>
  <c r="F11" i="24"/>
  <c r="D63" i="24"/>
  <c r="H26" i="23"/>
  <c r="H28" i="23"/>
  <c r="G9" i="23"/>
  <c r="I22" i="23"/>
  <c r="J25" i="23" s="1"/>
  <c r="E63" i="24" s="1"/>
  <c r="H4" i="23"/>
  <c r="H8" i="23" s="1"/>
  <c r="I5" i="23"/>
  <c r="J23" i="23"/>
  <c r="G61" i="24" l="1"/>
  <c r="G60" i="24" s="1"/>
  <c r="F60" i="24"/>
  <c r="E60" i="24"/>
  <c r="G11" i="24"/>
  <c r="I26" i="23"/>
  <c r="I28" i="23"/>
  <c r="H9" i="23"/>
  <c r="I4" i="23"/>
  <c r="I8" i="23" s="1"/>
  <c r="J5" i="23"/>
  <c r="J22" i="23"/>
  <c r="K25" i="23" s="1"/>
  <c r="F63" i="24" s="1"/>
  <c r="K23" i="23"/>
  <c r="H61" i="24" l="1"/>
  <c r="I61" i="24" s="1"/>
  <c r="G63" i="24"/>
  <c r="G62" i="24" s="1"/>
  <c r="H11" i="24"/>
  <c r="J26" i="23"/>
  <c r="J28" i="23"/>
  <c r="I9" i="23"/>
  <c r="K22" i="23"/>
  <c r="L25" i="23" s="1"/>
  <c r="K5" i="23"/>
  <c r="J4" i="23"/>
  <c r="J8" i="23" s="1"/>
  <c r="L23" i="23"/>
  <c r="H60" i="24" l="1"/>
  <c r="I60" i="24"/>
  <c r="H63" i="24"/>
  <c r="I11" i="24"/>
  <c r="K26" i="23"/>
  <c r="K28" i="23"/>
  <c r="J9" i="23"/>
  <c r="L5" i="23"/>
  <c r="K4" i="23"/>
  <c r="K8" i="23" s="1"/>
  <c r="L22" i="23"/>
  <c r="M25" i="23" s="1"/>
  <c r="J7" i="24" s="1"/>
  <c r="M23" i="23"/>
  <c r="I63" i="24" l="1"/>
  <c r="I62" i="24" s="1"/>
  <c r="H62" i="24"/>
  <c r="J11" i="24"/>
  <c r="L26" i="23"/>
  <c r="L28" i="23"/>
  <c r="K9" i="23"/>
  <c r="M22" i="23"/>
  <c r="N25" i="23" s="1"/>
  <c r="K7" i="24" s="1"/>
  <c r="P7" i="24" s="1"/>
  <c r="M5" i="23"/>
  <c r="L4" i="23"/>
  <c r="L8" i="23" s="1"/>
  <c r="K11" i="24" l="1"/>
  <c r="M26" i="23"/>
  <c r="M28" i="23"/>
  <c r="L9" i="23"/>
  <c r="N5" i="23"/>
  <c r="M4" i="23"/>
  <c r="M8" i="23" s="1"/>
  <c r="N22" i="23"/>
  <c r="P11" i="24" l="1"/>
  <c r="N26" i="23"/>
  <c r="B27" i="23" s="1"/>
  <c r="N28" i="23"/>
  <c r="M9" i="23"/>
  <c r="N4" i="23"/>
  <c r="N8" i="23" s="1"/>
  <c r="N9" i="23" l="1"/>
  <c r="B10" i="23" s="1"/>
  <c r="J4" i="24" l="1"/>
  <c r="K4" i="24" l="1"/>
  <c r="J8" i="24"/>
  <c r="G20" i="24"/>
  <c r="H20" i="24"/>
  <c r="K8" i="24" l="1"/>
  <c r="P8" i="24" s="1"/>
  <c r="P4" i="24"/>
  <c r="H21" i="24"/>
  <c r="G21" i="24"/>
  <c r="I21" i="24" l="1"/>
  <c r="I20" i="24" s="1"/>
  <c r="J21" i="24" l="1"/>
  <c r="J20" i="24" s="1"/>
  <c r="J19" i="24" s="1"/>
  <c r="J22" i="24" s="1"/>
  <c r="K21" i="24"/>
  <c r="I19" i="24"/>
  <c r="I22" i="24" s="1"/>
  <c r="K20" i="24" l="1"/>
  <c r="P20" i="24" s="1"/>
  <c r="K19" i="24"/>
  <c r="E28" i="24"/>
  <c r="F28" i="24"/>
  <c r="G28" i="24"/>
  <c r="H28" i="24"/>
  <c r="I28" i="24"/>
  <c r="J28" i="24"/>
  <c r="K28" i="24"/>
  <c r="E31" i="24"/>
  <c r="F31" i="24"/>
  <c r="G31" i="24"/>
  <c r="H31" i="24"/>
  <c r="I31" i="24"/>
  <c r="J31" i="24"/>
  <c r="P19" i="24" l="1"/>
  <c r="K22" i="24"/>
  <c r="I50" i="24"/>
  <c r="H50" i="24"/>
  <c r="H53" i="24" s="1"/>
  <c r="H55" i="24" s="1"/>
  <c r="F50" i="24"/>
  <c r="F53" i="24" s="1"/>
  <c r="F55" i="24" s="1"/>
  <c r="F56" i="24" s="1"/>
  <c r="F64" i="24" s="1"/>
  <c r="C50" i="24"/>
  <c r="C53" i="24" s="1"/>
  <c r="C55" i="24" s="1"/>
  <c r="E50" i="24"/>
  <c r="E53" i="24" s="1"/>
  <c r="E55" i="24" s="1"/>
  <c r="G50" i="24"/>
  <c r="G53" i="24" s="1"/>
  <c r="G55" i="24" s="1"/>
  <c r="D50" i="24"/>
  <c r="D53" i="24" s="1"/>
  <c r="D55" i="24" s="1"/>
  <c r="K31" i="24"/>
  <c r="B32" i="24"/>
  <c r="I53" i="24"/>
  <c r="B70" i="24" l="1"/>
  <c r="B71" i="24" s="1"/>
  <c r="P22" i="24"/>
  <c r="E56" i="24"/>
  <c r="E64" i="24" s="1"/>
  <c r="C56" i="24"/>
  <c r="C64" i="24" s="1"/>
  <c r="D56" i="24"/>
  <c r="D64" i="24" s="1"/>
  <c r="H56" i="24"/>
  <c r="H64" i="24" s="1"/>
  <c r="G56" i="24"/>
  <c r="G64" i="24" s="1"/>
  <c r="I55" i="24"/>
  <c r="I56" i="24" s="1"/>
  <c r="I64" i="24" s="1"/>
  <c r="B69" i="24" l="1"/>
  <c r="P29" i="22"/>
  <c r="C22" i="24" s="1"/>
  <c r="C31" i="24" s="1"/>
  <c r="O30" i="22"/>
  <c r="O31" i="22" s="1"/>
  <c r="B73" i="24" l="1"/>
  <c r="B78" i="24" s="1"/>
  <c r="B79" i="24" s="1"/>
  <c r="B81" i="24" s="1"/>
  <c r="C19" i="24"/>
  <c r="C20" i="24" s="1"/>
  <c r="P30" i="22"/>
  <c r="P31" i="22" s="1"/>
  <c r="C21" i="24" l="1"/>
  <c r="D21" i="24"/>
  <c r="P21" i="24" s="1"/>
  <c r="M39" i="23"/>
  <c r="N39" i="23" s="1"/>
  <c r="H40" i="23"/>
  <c r="I40" i="23" l="1"/>
  <c r="J40" i="23" l="1"/>
  <c r="K40" i="23" l="1"/>
  <c r="L40" i="23" l="1"/>
  <c r="N40" i="23" l="1"/>
  <c r="K18" i="24" s="1"/>
  <c r="P18" i="24" s="1"/>
  <c r="M40" i="23"/>
  <c r="J18" i="24" s="1"/>
</calcChain>
</file>

<file path=xl/sharedStrings.xml><?xml version="1.0" encoding="utf-8"?>
<sst xmlns="http://schemas.openxmlformats.org/spreadsheetml/2006/main" count="596" uniqueCount="342">
  <si>
    <t>Financial Statement Model</t>
  </si>
  <si>
    <t>Company name</t>
  </si>
  <si>
    <t>Ticker</t>
  </si>
  <si>
    <t>Circ Break 1=off, 0=on</t>
  </si>
  <si>
    <t>Latest closing share price</t>
  </si>
  <si>
    <t>Latest closing share price date</t>
  </si>
  <si>
    <t>Latest fiscal year end date</t>
  </si>
  <si>
    <t>Select an operating scenario:</t>
  </si>
  <si>
    <t>Base case</t>
  </si>
  <si>
    <t>Historical Period</t>
  </si>
  <si>
    <t>INCOME STATEMENT</t>
  </si>
  <si>
    <t>Fiscal year</t>
  </si>
  <si>
    <t>Fiscal year end date</t>
  </si>
  <si>
    <t>x</t>
  </si>
  <si>
    <t>Net sales</t>
  </si>
  <si>
    <t>Cost of goods sold</t>
  </si>
  <si>
    <t>Gross profit</t>
  </si>
  <si>
    <t>Operating profit (EBIT)</t>
  </si>
  <si>
    <t>Interest expense</t>
  </si>
  <si>
    <t>Other (income) expense</t>
  </si>
  <si>
    <t>Income before income taxes</t>
  </si>
  <si>
    <t>Net income</t>
  </si>
  <si>
    <t>Depreciation &amp; amortization</t>
  </si>
  <si>
    <t>EBITDA</t>
  </si>
  <si>
    <t>Adjusted EBITDA</t>
  </si>
  <si>
    <t>Diluted weighted average shares in millions</t>
  </si>
  <si>
    <t>BALANCE SHEET</t>
  </si>
  <si>
    <t>Total assets</t>
  </si>
  <si>
    <t>Accounts payable</t>
  </si>
  <si>
    <t>Total liabilities</t>
  </si>
  <si>
    <t>Common stock (includes APIC)</t>
  </si>
  <si>
    <t>Total equity</t>
  </si>
  <si>
    <t>Balance check</t>
  </si>
  <si>
    <t>END</t>
  </si>
  <si>
    <t>CASH FLOW STATEMENT</t>
  </si>
  <si>
    <t>Depreciation and amortization</t>
  </si>
  <si>
    <t>Noncash share-based compensation</t>
  </si>
  <si>
    <t>Decreases / (Increases) in working capital assets</t>
  </si>
  <si>
    <t>Increases / (Decreases) in working capital liabilities</t>
  </si>
  <si>
    <t>Other non current assets</t>
  </si>
  <si>
    <t>Other non current liabilities</t>
  </si>
  <si>
    <t>Net cash provided by (used in) operating activities</t>
  </si>
  <si>
    <t>Net purchases of property and equipment</t>
  </si>
  <si>
    <t>Net cash provided by (used in) investing activities</t>
  </si>
  <si>
    <t>Issuance &amp; Repayments of long-term obligations</t>
  </si>
  <si>
    <t>Net increase (decrease) in commercial paper outstanding</t>
  </si>
  <si>
    <t>Repurchases of common stock</t>
  </si>
  <si>
    <t>Payment of cash dividends</t>
  </si>
  <si>
    <t>Net cash provided by (used in) financing activities</t>
  </si>
  <si>
    <t>Net increase (decrease) in cash and cash equivalents</t>
  </si>
  <si>
    <t>PROPERTY, PLANT &amp; EQUIPMENT</t>
  </si>
  <si>
    <t>Capital expenditures</t>
  </si>
  <si>
    <t>Capital expenditures as % of sales</t>
  </si>
  <si>
    <t>Depreciation expense</t>
  </si>
  <si>
    <t>Depreciation as % of capital expenditures</t>
  </si>
  <si>
    <t>Beginning of period, net</t>
  </si>
  <si>
    <t>Plus:  Capital expenditures</t>
  </si>
  <si>
    <t>Historicals not needed</t>
  </si>
  <si>
    <t>Less:  Depreciation</t>
  </si>
  <si>
    <t xml:space="preserve">End of period </t>
  </si>
  <si>
    <t>DEBT AND INTEREST SCHEDULE</t>
  </si>
  <si>
    <t>Cash flow available for financing activities</t>
  </si>
  <si>
    <t>Repurchase of equity</t>
  </si>
  <si>
    <t>Dividends</t>
  </si>
  <si>
    <t>Plus:  beginning cash balance</t>
  </si>
  <si>
    <t>Less:  minimum cash balance</t>
  </si>
  <si>
    <t>Cash available for debt repayment</t>
  </si>
  <si>
    <t>Long-term debt issuance</t>
  </si>
  <si>
    <t>Long-term debt (repayment)</t>
  </si>
  <si>
    <t>Excess cash available for revolver</t>
  </si>
  <si>
    <t>Beginning balance</t>
  </si>
  <si>
    <t>Ending balance</t>
  </si>
  <si>
    <t>Long-term debt</t>
  </si>
  <si>
    <t>Issuance</t>
  </si>
  <si>
    <t>(Repayment)</t>
  </si>
  <si>
    <t>Average balances</t>
  </si>
  <si>
    <t>Interest rate</t>
  </si>
  <si>
    <t>Total interest expense</t>
  </si>
  <si>
    <t>Cash balances</t>
  </si>
  <si>
    <t>Interest (income)</t>
  </si>
  <si>
    <t>RETAINED EARNINGS</t>
  </si>
  <si>
    <t>Beginning of period</t>
  </si>
  <si>
    <t>Plus:  Net income</t>
  </si>
  <si>
    <t>Less:  Dividends</t>
  </si>
  <si>
    <t>Less:  Repurchases</t>
  </si>
  <si>
    <t>End of period</t>
  </si>
  <si>
    <t>SCENARIO ANALYSIS</t>
  </si>
  <si>
    <t>Variance from</t>
  </si>
  <si>
    <t>base case</t>
  </si>
  <si>
    <t>Scenario Number:</t>
  </si>
  <si>
    <t>NA</t>
  </si>
  <si>
    <t>Gross profit margin  (Active Scenario)</t>
  </si>
  <si>
    <t>SG&amp;A % of sales  (Active Scenario)</t>
  </si>
  <si>
    <t>Dollar General Corp. (DG)</t>
  </si>
  <si>
    <t>Weighted Average Cost of Capital Analysis</t>
  </si>
  <si>
    <t>($ in millions, fiscal year ending January 31)</t>
  </si>
  <si>
    <t>Kate simply uses the WACC from Bloomberg</t>
  </si>
  <si>
    <t>WACC Calculation</t>
  </si>
  <si>
    <t>Comparable Companies Unlevered Beta</t>
  </si>
  <si>
    <t>Target Capital Structure</t>
  </si>
  <si>
    <t>Predicted</t>
  </si>
  <si>
    <t>Market</t>
  </si>
  <si>
    <t>Debt/</t>
  </si>
  <si>
    <t>Marginal</t>
  </si>
  <si>
    <t>Unlevered</t>
  </si>
  <si>
    <t>Debt-to-Total Capitalization</t>
  </si>
  <si>
    <t>Company</t>
  </si>
  <si>
    <t>Levered Beta (4)</t>
  </si>
  <si>
    <t>Value of Debt</t>
  </si>
  <si>
    <t>Value of Equity</t>
  </si>
  <si>
    <t>Equity</t>
  </si>
  <si>
    <t>Tax Rate</t>
  </si>
  <si>
    <t>Beta</t>
  </si>
  <si>
    <t>Equity-to-Total Capitalization</t>
  </si>
  <si>
    <t>Family Dollar</t>
  </si>
  <si>
    <t>Dollar Tree</t>
  </si>
  <si>
    <t>Cost of Debt</t>
  </si>
  <si>
    <t>Mean</t>
  </si>
  <si>
    <t>Median</t>
  </si>
  <si>
    <t>After-tax Cost of Debt</t>
  </si>
  <si>
    <t>Cost of Equity</t>
  </si>
  <si>
    <t>Risk-free Rate (1)</t>
  </si>
  <si>
    <t>Market Risk Premium (2)</t>
  </si>
  <si>
    <t>Levered Beta</t>
  </si>
  <si>
    <t>Size Premium (3)</t>
  </si>
  <si>
    <r>
      <t xml:space="preserve">(1) Interpolated yield on 20-year U.S. Treasury, sourced from </t>
    </r>
    <r>
      <rPr>
        <i/>
        <sz val="10"/>
        <rFont val="Calibri"/>
        <family val="2"/>
        <scheme val="minor"/>
      </rPr>
      <t>Bloomberg</t>
    </r>
  </si>
  <si>
    <r>
      <t xml:space="preserve">(2) Obtained from </t>
    </r>
    <r>
      <rPr>
        <i/>
        <sz val="10"/>
        <rFont val="Calibri"/>
        <family val="2"/>
        <scheme val="minor"/>
      </rPr>
      <t>Ibbotson SBBI Valuation Yearbook</t>
    </r>
  </si>
  <si>
    <t>(3) Mid-cap Decile size premium based on market capitalization, per Ibbotson</t>
  </si>
  <si>
    <r>
      <t xml:space="preserve">(4) Sourced from </t>
    </r>
    <r>
      <rPr>
        <i/>
        <sz val="10"/>
        <rFont val="Calibri"/>
        <family val="2"/>
        <scheme val="minor"/>
      </rPr>
      <t>Bloomberg</t>
    </r>
  </si>
  <si>
    <t>CAGR</t>
  </si>
  <si>
    <t>WACC</t>
  </si>
  <si>
    <t>Discount Factor</t>
  </si>
  <si>
    <t>Upside</t>
  </si>
  <si>
    <t>Downside</t>
  </si>
  <si>
    <t>R&amp;D Expense</t>
  </si>
  <si>
    <t>R&amp;D % of sales  (Active Scenario)</t>
  </si>
  <si>
    <t>Commercial Paper</t>
  </si>
  <si>
    <t>Cash and cash equivalents, ST and LT marketable securities</t>
  </si>
  <si>
    <t>Accounts receivable</t>
  </si>
  <si>
    <t>Decreases / (Increases) in deferred revenue</t>
  </si>
  <si>
    <t>Deferred tax assets</t>
  </si>
  <si>
    <t>Issuance / (repayment) of commercial paper</t>
  </si>
  <si>
    <t>Net Sales Growth    (Active Scenario)</t>
  </si>
  <si>
    <t>Change in Accrued Expenses</t>
  </si>
  <si>
    <t>($ in millions,  fiscal year ending Dec. 31)</t>
  </si>
  <si>
    <t>Uber Inc.</t>
  </si>
  <si>
    <t>UBER</t>
  </si>
  <si>
    <t>Operations &amp; Support</t>
  </si>
  <si>
    <t>Sales &amp; Marketing</t>
  </si>
  <si>
    <t>General &amp; Admin</t>
  </si>
  <si>
    <t>Depreciation</t>
  </si>
  <si>
    <t>Income (Loss) from equity method investments</t>
  </si>
  <si>
    <t>Income tax (expense) benefit</t>
  </si>
  <si>
    <t>Other income (expense)</t>
  </si>
  <si>
    <t>Add (deduct):</t>
  </si>
  <si>
    <t>Net Income (loss) attributable to non-controlling interests, net of tax</t>
  </si>
  <si>
    <t>(Income) Loss from equity method investments</t>
  </si>
  <si>
    <t>Stock Based Compensation</t>
  </si>
  <si>
    <t xml:space="preserve">Provision for (benefit from) income taxes	</t>
  </si>
  <si>
    <t>Legal, tax, and regulatory reserve changes and settlements</t>
  </si>
  <si>
    <t xml:space="preserve">Goodwill and asset impairments/loss on sale of assets	</t>
  </si>
  <si>
    <t xml:space="preserve">Acquisition, financing and divestitures related expenses	</t>
  </si>
  <si>
    <t xml:space="preserve">Restructuring and related charges, net	</t>
  </si>
  <si>
    <t>Mobility</t>
  </si>
  <si>
    <t>Delivery</t>
  </si>
  <si>
    <t>Freight</t>
  </si>
  <si>
    <t>Revenue</t>
  </si>
  <si>
    <t>Gross Bookings</t>
  </si>
  <si>
    <t>Trips</t>
  </si>
  <si>
    <t>% of Total</t>
  </si>
  <si>
    <t>Net (income) loss attributable to non-controlling interests, net of tax</t>
  </si>
  <si>
    <t>Mass arbitration fees, net</t>
  </si>
  <si>
    <t>Accelereated lease costs related to cease-use ROU assets</t>
  </si>
  <si>
    <t>Legacy auto transfer</t>
  </si>
  <si>
    <t>COVID-19 Response Initiative</t>
  </si>
  <si>
    <t>ATG &amp; other</t>
  </si>
  <si>
    <t xml:space="preserve">Loss (gain) on lease arrangements, net	</t>
  </si>
  <si>
    <t>Restricted cash &amp; cash equivalents</t>
  </si>
  <si>
    <t>Prepaid expenses &amp; other current assets</t>
  </si>
  <si>
    <t>Assets held for sale</t>
  </si>
  <si>
    <t>Collateral held by issuer</t>
  </si>
  <si>
    <t>Investments</t>
  </si>
  <si>
    <t>Equity method investments</t>
  </si>
  <si>
    <t>Plant, property &amp; equipment</t>
  </si>
  <si>
    <t>Operating lease right-of-use assets</t>
  </si>
  <si>
    <t>Intangible assets</t>
  </si>
  <si>
    <t>Goodwill</t>
  </si>
  <si>
    <t>Other assets</t>
  </si>
  <si>
    <t>ST insurance reserves</t>
  </si>
  <si>
    <t>Operating lease liabilities, current</t>
  </si>
  <si>
    <t>Accrued &amp; other liabilities</t>
  </si>
  <si>
    <t>Liabilities held for sale</t>
  </si>
  <si>
    <t>LT Insurance reserves</t>
  </si>
  <si>
    <t>LT debt, net of current portion</t>
  </si>
  <si>
    <t>Other long-term liabilities</t>
  </si>
  <si>
    <t>Accumulated deficit</t>
  </si>
  <si>
    <t>Accumulated OCI</t>
  </si>
  <si>
    <t>Non-redeemable controlling interest</t>
  </si>
  <si>
    <t>Mezannine equity (redeemable non-controlling interest)</t>
  </si>
  <si>
    <t>Projected Period</t>
  </si>
  <si>
    <t>Restricted investments</t>
  </si>
  <si>
    <t>Operating lease liabilities, non-current</t>
  </si>
  <si>
    <t>Total stockholder's equity</t>
  </si>
  <si>
    <t>Adjusted EBITDA Margin %</t>
  </si>
  <si>
    <t>Take Rate</t>
  </si>
  <si>
    <t>Growth</t>
  </si>
  <si>
    <t>MPACs</t>
  </si>
  <si>
    <t>Revenue per MPAC</t>
  </si>
  <si>
    <t>Gross Bookings per MPAC</t>
  </si>
  <si>
    <t>Average Trip Value</t>
  </si>
  <si>
    <t>% Change Y/Y</t>
  </si>
  <si>
    <t>Gross Bookings (ex-Freight &amp; Other</t>
  </si>
  <si>
    <t>Gross Margin</t>
  </si>
  <si>
    <t>S&amp;M % of Rev</t>
  </si>
  <si>
    <t>R&amp;D % of Rev</t>
  </si>
  <si>
    <t>Operations Support</t>
  </si>
  <si>
    <t>Average Revenue per Trip</t>
  </si>
  <si>
    <t>Q1 '24</t>
  </si>
  <si>
    <t>Q2 '24</t>
  </si>
  <si>
    <t>Q3 '24</t>
  </si>
  <si>
    <t>Q4 '24</t>
  </si>
  <si>
    <t>Take Rate Growth</t>
  </si>
  <si>
    <t>Q1 '25</t>
  </si>
  <si>
    <t>Q2 '25</t>
  </si>
  <si>
    <t>Gross bookings</t>
  </si>
  <si>
    <t>First Derivative of Growth</t>
  </si>
  <si>
    <t>x_0 (peak year)</t>
  </si>
  <si>
    <t>b (slope of growth rate)</t>
  </si>
  <si>
    <t>t</t>
  </si>
  <si>
    <t>Mobility Max Saturation Estimate</t>
  </si>
  <si>
    <t>Max Saturation (K)</t>
  </si>
  <si>
    <t>Modeled Gross Bookings</t>
  </si>
  <si>
    <t>Squared Error</t>
  </si>
  <si>
    <t>SSE</t>
  </si>
  <si>
    <t>Log Transformed Actuals</t>
  </si>
  <si>
    <t>Solver Output</t>
  </si>
  <si>
    <t>Modeled Take Rate</t>
  </si>
  <si>
    <t>Max Take Rate (K)</t>
  </si>
  <si>
    <t>Revenue--consensus</t>
  </si>
  <si>
    <t>Revenue--estimate</t>
  </si>
  <si>
    <t>Adj EBITDA--Consensus</t>
  </si>
  <si>
    <t>EV</t>
  </si>
  <si>
    <t>EV / EBITDA</t>
  </si>
  <si>
    <t>CHECK: Log Transformed Actuals</t>
  </si>
  <si>
    <t>Take Rate Build</t>
  </si>
  <si>
    <t>Gross Bookings Build</t>
  </si>
  <si>
    <t>Alpha</t>
  </si>
  <si>
    <t>Change in growth rate</t>
  </si>
  <si>
    <t>Adj EBITDA Margin--Consensus</t>
  </si>
  <si>
    <t>Adj EBITDA Margin y/y--Consensus</t>
  </si>
  <si>
    <t>Minus: Cash</t>
  </si>
  <si>
    <t>Plus: Debt</t>
  </si>
  <si>
    <t>Plus: NCI</t>
  </si>
  <si>
    <t>Closing Price as at Oct 24</t>
  </si>
  <si>
    <t>Fully Diluted Shares Outstanding (in MM)</t>
  </si>
  <si>
    <t>Change in Adjusted EBITDA Margin</t>
  </si>
  <si>
    <t>Adj EBITDA--Estimate CAGR '25 - 32</t>
  </si>
  <si>
    <t>Adj EBITDA--Estimate (Consensus Margin View)</t>
  </si>
  <si>
    <t>Market Cap ($MM)</t>
  </si>
  <si>
    <t>Eats Build</t>
  </si>
  <si>
    <t>Market Size</t>
  </si>
  <si>
    <t>Market Share</t>
  </si>
  <si>
    <t xml:space="preserve">Change </t>
  </si>
  <si>
    <t>Consensus Tax Rate</t>
  </si>
  <si>
    <t>(-) Taxes</t>
  </si>
  <si>
    <t>EBT--Estimate</t>
  </si>
  <si>
    <t>Pretax Income--Consensus</t>
  </si>
  <si>
    <t>Tax Expense--Consensus</t>
  </si>
  <si>
    <t>Tax Rate--Consensus</t>
  </si>
  <si>
    <t>Net Income</t>
  </si>
  <si>
    <t>(-) D&amp;A (consensus)</t>
  </si>
  <si>
    <t>(-) Interest (consensus)</t>
  </si>
  <si>
    <t>(+) D&amp;A (consensus)</t>
  </si>
  <si>
    <t>(+) Interest (consensus)</t>
  </si>
  <si>
    <t>Free Cash Flow</t>
  </si>
  <si>
    <t>(+) Stock-based compensation (consensus)</t>
  </si>
  <si>
    <t>(-) Increase in NWC (consensus)</t>
  </si>
  <si>
    <t>(-) Capex (consensus)</t>
  </si>
  <si>
    <t>% of Revenue</t>
  </si>
  <si>
    <t>Period</t>
  </si>
  <si>
    <t>PV of TV</t>
  </si>
  <si>
    <t>Intrinsic Value</t>
  </si>
  <si>
    <t>Plus: Cash</t>
  </si>
  <si>
    <t>Minus: Debt</t>
  </si>
  <si>
    <t>Minus: NCI</t>
  </si>
  <si>
    <t>Per Share</t>
  </si>
  <si>
    <t>Current Price</t>
  </si>
  <si>
    <t>Implied Upside (Downside)</t>
  </si>
  <si>
    <t>PV of FCF (Yr 1 - 7)</t>
  </si>
  <si>
    <t>TV (based on exit multiple)</t>
  </si>
  <si>
    <t>Growth Rate</t>
  </si>
  <si>
    <t>Total Revenue--Europe</t>
  </si>
  <si>
    <t>Total Revenue--APAC</t>
  </si>
  <si>
    <t>(All figures in MM except Avg Revenue)</t>
  </si>
  <si>
    <t>Total Revenue--MENA</t>
  </si>
  <si>
    <t>Total Revenue--LatAm</t>
  </si>
  <si>
    <t>Total Revenue--North America</t>
  </si>
  <si>
    <t>Online App Market share</t>
  </si>
  <si>
    <t>Trip Change Y/Y</t>
  </si>
  <si>
    <t>CAGR '25 - 32</t>
  </si>
  <si>
    <t>CAGR '22 - 25</t>
  </si>
  <si>
    <t>Adj EBITDA--Estimate</t>
  </si>
  <si>
    <t>Q1 '23</t>
  </si>
  <si>
    <t>Q2 '23</t>
  </si>
  <si>
    <t>Q3 '23</t>
  </si>
  <si>
    <t>Q4 '23</t>
  </si>
  <si>
    <t>Q3 '25</t>
  </si>
  <si>
    <t>Q1 '25A</t>
  </si>
  <si>
    <t>Q2 '25A</t>
  </si>
  <si>
    <t>Q3 '25A</t>
  </si>
  <si>
    <t># of Trips / Customer (annualized)</t>
  </si>
  <si>
    <t xml:space="preserve">Delivery: </t>
  </si>
  <si>
    <t>% Change</t>
  </si>
  <si>
    <t>Customers</t>
  </si>
  <si>
    <t>Trips / Customer</t>
  </si>
  <si>
    <t>Rev / Trip</t>
  </si>
  <si>
    <t>DoorDash</t>
  </si>
  <si>
    <t>GrubHub</t>
  </si>
  <si>
    <t>Uber Eats</t>
  </si>
  <si>
    <t>Average</t>
  </si>
  <si>
    <r>
      <t>&gt;“</t>
    </r>
    <r>
      <rPr>
        <sz val="12"/>
        <color rgb="FF000000"/>
        <rFont val="Times New Roman"/>
        <family val="1"/>
      </rPr>
      <t>we built a new mobilization system that allocates incentives ahead of any anticipated supply and demand imbalance”</t>
    </r>
  </si>
  <si>
    <r>
      <t>&gt;“</t>
    </r>
    <r>
      <rPr>
        <sz val="12"/>
        <color rgb="FF000000"/>
        <rFont val="Times New Roman"/>
        <family val="1"/>
      </rPr>
      <t>thousands of regional forecasts with low-level granularity"</t>
    </r>
  </si>
  <si>
    <t>&gt; “We generally compute this metric where Dashers sign up to Dash and to time units that can span from hourly durations to daypart units like lunch and dinner</t>
  </si>
  <si>
    <t>&gt;”Once we decide on the health metric and the unit at which we take actions, we proceed with balancing supply and demand through adjustments to supply”</t>
  </si>
  <si>
    <t xml:space="preserve">&gt;”Our team generally adjusts the supply side of the market by offering incentives to increase </t>
  </si>
  <si>
    <t xml:space="preserve">&lt;$20 </t>
  </si>
  <si>
    <t>Order Size</t>
  </si>
  <si>
    <t>$20 - $75</t>
  </si>
  <si>
    <t>&gt;$75</t>
  </si>
  <si>
    <t>Dash mobiliza when there is more demand. Through incentives, we provide Dashers a guarantee that they will earn a fixed amount of money on any delivery they accept in a specific region-time unit”</t>
  </si>
  <si>
    <t>% of Growth from new users</t>
  </si>
  <si>
    <t>% of Growth from frequency</t>
  </si>
  <si>
    <t>% of Growth from pricing</t>
  </si>
  <si>
    <t>EXPE</t>
  </si>
  <si>
    <t>BKNG</t>
  </si>
  <si>
    <t>CAR</t>
  </si>
  <si>
    <t>Ride Share Exit Multiple</t>
  </si>
  <si>
    <t>Terminal Growth Rate (Eats + Freight)</t>
  </si>
  <si>
    <t>Case</t>
  </si>
  <si>
    <t>Base</t>
  </si>
  <si>
    <t>Bull</t>
  </si>
  <si>
    <t>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</si>
</sst>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.0%"/>
    <numFmt numFmtId="165" formatCode="&quot;$&quot;#,##0.0_);\(&quot;$&quot;#,##0.0\)"/>
    <numFmt numFmtId="166" formatCode="0\A"/>
    <numFmt numFmtId="167" formatCode="0\P"/>
    <numFmt numFmtId="168" formatCode="#,##0.000_);\(#,##0.000\)"/>
    <numFmt numFmtId="169" formatCode="#,##0.0_);\(#,##0.0\)"/>
    <numFmt numFmtId="170" formatCode="###0.0%;\(###0.0%\)"/>
    <numFmt numFmtId="171" formatCode="&quot;$&quot;#,##0.00"/>
    <numFmt numFmtId="172" formatCode="&quot;$&quot;#,##0.0"/>
    <numFmt numFmtId="173" formatCode="General&quot;A&quot;"/>
    <numFmt numFmtId="174" formatCode="0.0&quot;x&quot;"/>
    <numFmt numFmtId="175" formatCode="General&quot;E&quot;"/>
    <numFmt numFmtId="176" formatCode="0.0"/>
    <numFmt numFmtId="177" formatCode="&quot;$&quot;#,##0"/>
    <numFmt numFmtId="178" formatCode="0.000000000000000%"/>
    <numFmt numFmtId="179" formatCode="0.00%;[Red]\(0.00%\)"/>
    <numFmt numFmtId="180" formatCode="0.0000000000000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66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33CC"/>
      <name val="Calibri"/>
      <family val="2"/>
      <scheme val="minor"/>
    </font>
    <font>
      <i/>
      <sz val="5"/>
      <color theme="1"/>
      <name val="Helvetica"/>
      <family val="2"/>
    </font>
    <font>
      <sz val="11"/>
      <color theme="1"/>
      <name val="Times"/>
    </font>
    <font>
      <sz val="8.5"/>
      <color rgb="FF000000"/>
      <name val="Helvetica"/>
      <family val="2"/>
    </font>
    <font>
      <sz val="7"/>
      <color rgb="FF000000"/>
      <name val="Helvetica"/>
      <family val="2"/>
    </font>
    <font>
      <i/>
      <sz val="11"/>
      <color rgb="FF0033CC"/>
      <name val="Calibri"/>
      <family val="2"/>
      <scheme val="minor"/>
    </font>
    <font>
      <sz val="8"/>
      <color theme="1"/>
      <name val="Times New Roman"/>
      <family val="1"/>
    </font>
    <font>
      <sz val="14"/>
      <color rgb="FF111827"/>
      <name val="Arial"/>
      <family val="2"/>
    </font>
    <font>
      <sz val="14"/>
      <color rgb="FFEEF0FF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rgb="FF020203"/>
      <name val="Arial"/>
      <family val="2"/>
    </font>
    <font>
      <sz val="26"/>
      <color rgb="FF000000"/>
      <name val=".SF NS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99"/>
        <bgColor indexed="64"/>
      </patternFill>
    </fill>
    <fill>
      <patternFill patternType="lightGrid">
        <bgColor theme="0" tint="-0.49998474074526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Fill="0" applyBorder="0" applyProtection="0">
      <protection locked="0"/>
    </xf>
  </cellStyleXfs>
  <cellXfs count="21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1" applyFont="1"/>
    <xf numFmtId="164" fontId="0" fillId="0" borderId="0" xfId="1" applyNumberFormat="1" applyFont="1"/>
    <xf numFmtId="0" fontId="0" fillId="0" borderId="1" xfId="0" applyBorder="1"/>
    <xf numFmtId="164" fontId="7" fillId="0" borderId="0" xfId="1" applyNumberFormat="1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1" fillId="0" borderId="0" xfId="1" applyNumberFormat="1" applyFont="1"/>
    <xf numFmtId="9" fontId="0" fillId="4" borderId="0" xfId="1" applyFont="1" applyFill="1"/>
    <xf numFmtId="0" fontId="12" fillId="0" borderId="0" xfId="3" applyFont="1" applyProtection="1"/>
    <xf numFmtId="0" fontId="12" fillId="0" borderId="0" xfId="3" applyFont="1" applyFill="1" applyProtection="1"/>
    <xf numFmtId="0" fontId="15" fillId="0" borderId="0" xfId="0" applyFont="1"/>
    <xf numFmtId="10" fontId="0" fillId="0" borderId="0" xfId="1" applyNumberFormat="1" applyFont="1"/>
    <xf numFmtId="165" fontId="0" fillId="0" borderId="0" xfId="0" applyNumberFormat="1"/>
    <xf numFmtId="37" fontId="0" fillId="0" borderId="0" xfId="0" applyNumberFormat="1"/>
    <xf numFmtId="166" fontId="2" fillId="0" borderId="5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center"/>
    </xf>
    <xf numFmtId="37" fontId="4" fillId="2" borderId="0" xfId="0" applyNumberFormat="1" applyFont="1" applyFill="1"/>
    <xf numFmtId="37" fontId="5" fillId="2" borderId="0" xfId="0" applyNumberFormat="1" applyFont="1" applyFill="1"/>
    <xf numFmtId="37" fontId="14" fillId="4" borderId="0" xfId="0" applyNumberFormat="1" applyFont="1" applyFill="1" applyAlignment="1">
      <alignment horizontal="center" wrapText="1"/>
    </xf>
    <xf numFmtId="37" fontId="14" fillId="4" borderId="0" xfId="0" applyNumberFormat="1" applyFont="1" applyFill="1" applyAlignment="1">
      <alignment horizontal="center"/>
    </xf>
    <xf numFmtId="14" fontId="14" fillId="4" borderId="0" xfId="0" applyNumberFormat="1" applyFont="1" applyFill="1" applyAlignment="1">
      <alignment horizontal="center"/>
    </xf>
    <xf numFmtId="37" fontId="0" fillId="3" borderId="2" xfId="0" applyNumberFormat="1" applyFill="1" applyBorder="1" applyAlignment="1">
      <alignment horizontal="centerContinuous"/>
    </xf>
    <xf numFmtId="37" fontId="2" fillId="0" borderId="1" xfId="0" applyNumberFormat="1" applyFont="1" applyBorder="1"/>
    <xf numFmtId="37" fontId="0" fillId="0" borderId="1" xfId="0" applyNumberFormat="1" applyBorder="1"/>
    <xf numFmtId="14" fontId="0" fillId="0" borderId="0" xfId="0" applyNumberFormat="1"/>
    <xf numFmtId="37" fontId="2" fillId="0" borderId="0" xfId="0" applyNumberFormat="1" applyFont="1"/>
    <xf numFmtId="37" fontId="20" fillId="0" borderId="0" xfId="0" applyNumberFormat="1" applyFont="1"/>
    <xf numFmtId="164" fontId="19" fillId="4" borderId="0" xfId="1" applyNumberFormat="1" applyFont="1" applyFill="1"/>
    <xf numFmtId="166" fontId="2" fillId="0" borderId="6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37" fontId="0" fillId="0" borderId="0" xfId="0" applyNumberFormat="1" applyAlignment="1">
      <alignment horizontal="left" indent="1"/>
    </xf>
    <xf numFmtId="37" fontId="2" fillId="0" borderId="0" xfId="0" applyNumberFormat="1" applyFont="1" applyAlignment="1">
      <alignment horizontal="left" indent="2"/>
    </xf>
    <xf numFmtId="37" fontId="7" fillId="0" borderId="0" xfId="0" applyNumberFormat="1" applyFont="1"/>
    <xf numFmtId="166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37" fontId="2" fillId="0" borderId="0" xfId="0" applyNumberFormat="1" applyFont="1" applyAlignment="1">
      <alignment horizontal="left" indent="1"/>
    </xf>
    <xf numFmtId="0" fontId="2" fillId="0" borderId="1" xfId="0" applyFont="1" applyBorder="1" applyAlignment="1">
      <alignment horizontal="left"/>
    </xf>
    <xf numFmtId="37" fontId="9" fillId="0" borderId="0" xfId="0" applyNumberFormat="1" applyFont="1"/>
    <xf numFmtId="37" fontId="6" fillId="0" borderId="0" xfId="0" applyNumberFormat="1" applyFont="1"/>
    <xf numFmtId="14" fontId="0" fillId="0" borderId="7" xfId="0" applyNumberFormat="1" applyBorder="1" applyAlignment="1">
      <alignment horizontal="center"/>
    </xf>
    <xf numFmtId="164" fontId="7" fillId="0" borderId="3" xfId="1" applyNumberFormat="1" applyFont="1" applyBorder="1"/>
    <xf numFmtId="165" fontId="0" fillId="0" borderId="3" xfId="0" applyNumberFormat="1" applyBorder="1"/>
    <xf numFmtId="37" fontId="18" fillId="0" borderId="0" xfId="0" applyNumberFormat="1" applyFont="1"/>
    <xf numFmtId="168" fontId="21" fillId="4" borderId="0" xfId="0" applyNumberFormat="1" applyFont="1" applyFill="1"/>
    <xf numFmtId="37" fontId="0" fillId="0" borderId="5" xfId="0" applyNumberFormat="1" applyBorder="1"/>
    <xf numFmtId="37" fontId="22" fillId="0" borderId="0" xfId="0" applyNumberFormat="1" applyFont="1" applyAlignment="1">
      <alignment horizontal="center"/>
    </xf>
    <xf numFmtId="37" fontId="16" fillId="0" borderId="0" xfId="0" applyNumberFormat="1" applyFont="1" applyAlignment="1">
      <alignment horizontal="center"/>
    </xf>
    <xf numFmtId="37" fontId="9" fillId="0" borderId="1" xfId="0" applyNumberFormat="1" applyFont="1" applyBorder="1"/>
    <xf numFmtId="164" fontId="9" fillId="0" borderId="0" xfId="1" applyNumberFormat="1" applyFont="1"/>
    <xf numFmtId="37" fontId="2" fillId="0" borderId="0" xfId="0" applyNumberFormat="1" applyFont="1" applyAlignment="1">
      <alignment horizontal="right" indent="1"/>
    </xf>
    <xf numFmtId="164" fontId="9" fillId="0" borderId="1" xfId="1" applyNumberFormat="1" applyFont="1" applyBorder="1"/>
    <xf numFmtId="37" fontId="0" fillId="3" borderId="4" xfId="0" applyNumberFormat="1" applyFill="1" applyBorder="1" applyAlignment="1">
      <alignment horizontal="centerContinuous"/>
    </xf>
    <xf numFmtId="37" fontId="0" fillId="0" borderId="7" xfId="0" applyNumberFormat="1" applyBorder="1"/>
    <xf numFmtId="166" fontId="2" fillId="0" borderId="8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37" fontId="0" fillId="0" borderId="3" xfId="0" applyNumberFormat="1" applyBorder="1"/>
    <xf numFmtId="37" fontId="2" fillId="0" borderId="3" xfId="0" applyNumberFormat="1" applyFont="1" applyBorder="1"/>
    <xf numFmtId="168" fontId="21" fillId="4" borderId="3" xfId="0" applyNumberFormat="1" applyFont="1" applyFill="1" applyBorder="1"/>
    <xf numFmtId="164" fontId="0" fillId="0" borderId="3" xfId="1" applyNumberFormat="1" applyFont="1" applyBorder="1"/>
    <xf numFmtId="166" fontId="2" fillId="0" borderId="9" xfId="0" applyNumberFormat="1" applyFont="1" applyBorder="1" applyAlignment="1">
      <alignment horizontal="center"/>
    </xf>
    <xf numFmtId="37" fontId="7" fillId="0" borderId="3" xfId="0" applyNumberFormat="1" applyFont="1" applyBorder="1"/>
    <xf numFmtId="166" fontId="2" fillId="0" borderId="3" xfId="0" applyNumberFormat="1" applyFont="1" applyBorder="1" applyAlignment="1">
      <alignment horizontal="center"/>
    </xf>
    <xf numFmtId="37" fontId="0" fillId="0" borderId="8" xfId="0" applyNumberFormat="1" applyBorder="1"/>
    <xf numFmtId="37" fontId="9" fillId="0" borderId="3" xfId="0" applyNumberFormat="1" applyFont="1" applyBorder="1"/>
    <xf numFmtId="37" fontId="9" fillId="0" borderId="7" xfId="0" applyNumberFormat="1" applyFont="1" applyBorder="1"/>
    <xf numFmtId="37" fontId="23" fillId="0" borderId="3" xfId="0" applyNumberFormat="1" applyFont="1" applyBorder="1" applyAlignment="1">
      <alignment horizontal="center"/>
    </xf>
    <xf numFmtId="37" fontId="23" fillId="0" borderId="7" xfId="0" applyNumberFormat="1" applyFon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164" fontId="24" fillId="4" borderId="3" xfId="1" applyNumberFormat="1" applyFont="1" applyFill="1" applyBorder="1" applyAlignment="1">
      <alignment horizontal="center"/>
    </xf>
    <xf numFmtId="170" fontId="24" fillId="4" borderId="3" xfId="1" applyNumberFormat="1" applyFont="1" applyFill="1" applyBorder="1" applyAlignment="1">
      <alignment horizontal="center"/>
    </xf>
    <xf numFmtId="37" fontId="14" fillId="0" borderId="0" xfId="0" applyNumberFormat="1" applyFont="1"/>
    <xf numFmtId="37" fontId="0" fillId="5" borderId="0" xfId="0" applyNumberFormat="1" applyFill="1"/>
    <xf numFmtId="37" fontId="3" fillId="5" borderId="0" xfId="0" applyNumberFormat="1" applyFont="1" applyFill="1" applyAlignment="1">
      <alignment horizontal="center"/>
    </xf>
    <xf numFmtId="37" fontId="0" fillId="5" borderId="3" xfId="0" applyNumberFormat="1" applyFill="1" applyBorder="1"/>
    <xf numFmtId="37" fontId="0" fillId="5" borderId="8" xfId="0" applyNumberFormat="1" applyFill="1" applyBorder="1"/>
    <xf numFmtId="165" fontId="21" fillId="4" borderId="0" xfId="0" applyNumberFormat="1" applyFont="1" applyFill="1"/>
    <xf numFmtId="165" fontId="21" fillId="4" borderId="3" xfId="0" applyNumberFormat="1" applyFont="1" applyFill="1" applyBorder="1"/>
    <xf numFmtId="165" fontId="17" fillId="0" borderId="0" xfId="0" applyNumberFormat="1" applyFont="1"/>
    <xf numFmtId="165" fontId="17" fillId="0" borderId="3" xfId="0" applyNumberFormat="1" applyFont="1" applyBorder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2" fillId="0" borderId="8" xfId="0" applyNumberFormat="1" applyFont="1" applyBorder="1"/>
    <xf numFmtId="165" fontId="0" fillId="0" borderId="5" xfId="0" applyNumberFormat="1" applyBorder="1"/>
    <xf numFmtId="14" fontId="25" fillId="4" borderId="1" xfId="0" applyNumberFormat="1" applyFont="1" applyFill="1" applyBorder="1" applyAlignment="1">
      <alignment horizontal="center"/>
    </xf>
    <xf numFmtId="14" fontId="25" fillId="4" borderId="7" xfId="0" applyNumberFormat="1" applyFont="1" applyFill="1" applyBorder="1" applyAlignment="1">
      <alignment horizontal="center"/>
    </xf>
    <xf numFmtId="165" fontId="9" fillId="6" borderId="0" xfId="0" applyNumberFormat="1" applyFont="1" applyFill="1"/>
    <xf numFmtId="165" fontId="9" fillId="6" borderId="3" xfId="0" applyNumberFormat="1" applyFont="1" applyFill="1" applyBorder="1"/>
    <xf numFmtId="8" fontId="14" fillId="4" borderId="0" xfId="0" applyNumberFormat="1" applyFont="1" applyFill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0" xfId="1" applyNumberFormat="1" applyFont="1" applyBorder="1"/>
    <xf numFmtId="169" fontId="21" fillId="4" borderId="1" xfId="0" applyNumberFormat="1" applyFont="1" applyFill="1" applyBorder="1"/>
    <xf numFmtId="169" fontId="0" fillId="0" borderId="1" xfId="0" applyNumberFormat="1" applyBorder="1"/>
    <xf numFmtId="169" fontId="0" fillId="0" borderId="0" xfId="0" applyNumberFormat="1"/>
    <xf numFmtId="169" fontId="21" fillId="4" borderId="0" xfId="0" applyNumberFormat="1" applyFont="1" applyFill="1"/>
    <xf numFmtId="169" fontId="21" fillId="4" borderId="7" xfId="0" applyNumberFormat="1" applyFont="1" applyFill="1" applyBorder="1"/>
    <xf numFmtId="169" fontId="21" fillId="4" borderId="3" xfId="0" applyNumberFormat="1" applyFont="1" applyFill="1" applyBorder="1"/>
    <xf numFmtId="169" fontId="0" fillId="0" borderId="3" xfId="0" applyNumberFormat="1" applyBorder="1"/>
    <xf numFmtId="14" fontId="25" fillId="4" borderId="10" xfId="0" applyNumberFormat="1" applyFont="1" applyFill="1" applyBorder="1" applyAlignment="1">
      <alignment horizontal="center"/>
    </xf>
    <xf numFmtId="165" fontId="17" fillId="0" borderId="5" xfId="0" applyNumberFormat="1" applyFont="1" applyBorder="1"/>
    <xf numFmtId="165" fontId="17" fillId="0" borderId="8" xfId="0" applyNumberFormat="1" applyFont="1" applyBorder="1"/>
    <xf numFmtId="171" fontId="0" fillId="0" borderId="0" xfId="0" applyNumberFormat="1"/>
    <xf numFmtId="165" fontId="21" fillId="4" borderId="1" xfId="0" applyNumberFormat="1" applyFont="1" applyFill="1" applyBorder="1"/>
    <xf numFmtId="9" fontId="0" fillId="0" borderId="0" xfId="0" applyNumberFormat="1"/>
    <xf numFmtId="0" fontId="26" fillId="0" borderId="0" xfId="0" applyFont="1"/>
    <xf numFmtId="39" fontId="0" fillId="0" borderId="0" xfId="0" applyNumberFormat="1"/>
    <xf numFmtId="8" fontId="26" fillId="0" borderId="0" xfId="0" applyNumberFormat="1" applyFont="1"/>
    <xf numFmtId="39" fontId="0" fillId="0" borderId="1" xfId="0" applyNumberFormat="1" applyBorder="1"/>
    <xf numFmtId="169" fontId="2" fillId="0" borderId="0" xfId="0" applyNumberFormat="1" applyFont="1"/>
    <xf numFmtId="37" fontId="0" fillId="0" borderId="0" xfId="0" applyNumberFormat="1" applyAlignment="1">
      <alignment horizontal="left"/>
    </xf>
    <xf numFmtId="8" fontId="0" fillId="0" borderId="0" xfId="0" applyNumberFormat="1"/>
    <xf numFmtId="10" fontId="0" fillId="0" borderId="0" xfId="0" applyNumberFormat="1"/>
    <xf numFmtId="2" fontId="0" fillId="0" borderId="0" xfId="0" applyNumberFormat="1"/>
    <xf numFmtId="7" fontId="0" fillId="0" borderId="0" xfId="0" applyNumberFormat="1"/>
    <xf numFmtId="6" fontId="0" fillId="0" borderId="0" xfId="0" applyNumberFormat="1"/>
    <xf numFmtId="0" fontId="2" fillId="0" borderId="0" xfId="0" applyFont="1" applyAlignment="1">
      <alignment horizontal="left"/>
    </xf>
    <xf numFmtId="5" fontId="0" fillId="0" borderId="0" xfId="0" applyNumberFormat="1"/>
    <xf numFmtId="164" fontId="0" fillId="0" borderId="0" xfId="0" applyNumberFormat="1"/>
    <xf numFmtId="10" fontId="19" fillId="4" borderId="1" xfId="1" applyNumberFormat="1" applyFont="1" applyFill="1" applyBorder="1"/>
    <xf numFmtId="0" fontId="27" fillId="0" borderId="0" xfId="0" applyFont="1"/>
    <xf numFmtId="172" fontId="0" fillId="0" borderId="5" xfId="0" applyNumberFormat="1" applyBorder="1"/>
    <xf numFmtId="3" fontId="28" fillId="0" borderId="0" xfId="0" applyNumberFormat="1" applyFont="1"/>
    <xf numFmtId="7" fontId="21" fillId="4" borderId="0" xfId="0" applyNumberFormat="1" applyFont="1" applyFill="1"/>
    <xf numFmtId="0" fontId="29" fillId="0" borderId="0" xfId="0" applyFont="1"/>
    <xf numFmtId="165" fontId="0" fillId="0" borderId="13" xfId="0" applyNumberFormat="1" applyBorder="1"/>
    <xf numFmtId="164" fontId="21" fillId="0" borderId="0" xfId="0" applyNumberFormat="1" applyFont="1"/>
    <xf numFmtId="164" fontId="2" fillId="0" borderId="0" xfId="0" applyNumberFormat="1" applyFont="1"/>
    <xf numFmtId="169" fontId="21" fillId="0" borderId="0" xfId="0" applyNumberFormat="1" applyFont="1"/>
    <xf numFmtId="169" fontId="21" fillId="0" borderId="3" xfId="0" applyNumberFormat="1" applyFont="1" applyBorder="1"/>
    <xf numFmtId="37" fontId="0" fillId="0" borderId="14" xfId="0" applyNumberFormat="1" applyBorder="1"/>
    <xf numFmtId="0" fontId="7" fillId="0" borderId="0" xfId="0" applyFont="1" applyAlignment="1">
      <alignment horizontal="left" indent="1"/>
    </xf>
    <xf numFmtId="165" fontId="21" fillId="0" borderId="0" xfId="0" applyNumberFormat="1" applyFont="1"/>
    <xf numFmtId="165" fontId="21" fillId="0" borderId="3" xfId="0" applyNumberFormat="1" applyFont="1" applyBorder="1"/>
    <xf numFmtId="169" fontId="21" fillId="0" borderId="1" xfId="0" applyNumberFormat="1" applyFont="1" applyBorder="1"/>
    <xf numFmtId="169" fontId="21" fillId="0" borderId="7" xfId="0" applyNumberFormat="1" applyFont="1" applyBorder="1"/>
    <xf numFmtId="168" fontId="21" fillId="0" borderId="0" xfId="0" applyNumberFormat="1" applyFont="1"/>
    <xf numFmtId="168" fontId="21" fillId="0" borderId="3" xfId="0" applyNumberFormat="1" applyFont="1" applyBorder="1"/>
    <xf numFmtId="169" fontId="2" fillId="0" borderId="3" xfId="0" applyNumberFormat="1" applyFont="1" applyBorder="1"/>
    <xf numFmtId="10" fontId="7" fillId="0" borderId="0" xfId="0" applyNumberFormat="1" applyFont="1"/>
    <xf numFmtId="10" fontId="7" fillId="0" borderId="0" xfId="0" applyNumberFormat="1" applyFont="1" applyAlignment="1">
      <alignment horizontal="left" indent="1"/>
    </xf>
    <xf numFmtId="10" fontId="7" fillId="0" borderId="15" xfId="0" applyNumberFormat="1" applyFont="1" applyBorder="1"/>
    <xf numFmtId="173" fontId="2" fillId="0" borderId="1" xfId="0" applyNumberFormat="1" applyFont="1" applyBorder="1"/>
    <xf numFmtId="173" fontId="2" fillId="0" borderId="12" xfId="0" applyNumberFormat="1" applyFont="1" applyBorder="1"/>
    <xf numFmtId="8" fontId="7" fillId="0" borderId="0" xfId="0" applyNumberFormat="1" applyFont="1"/>
    <xf numFmtId="10" fontId="30" fillId="0" borderId="0" xfId="0" applyNumberFormat="1" applyFont="1"/>
    <xf numFmtId="6" fontId="25" fillId="7" borderId="0" xfId="0" applyNumberFormat="1" applyFont="1" applyFill="1"/>
    <xf numFmtId="6" fontId="0" fillId="0" borderId="15" xfId="0" applyNumberFormat="1" applyBorder="1"/>
    <xf numFmtId="0" fontId="7" fillId="0" borderId="0" xfId="0" applyFont="1" applyAlignment="1">
      <alignment horizontal="left" indent="2"/>
    </xf>
    <xf numFmtId="38" fontId="25" fillId="7" borderId="0" xfId="0" applyNumberFormat="1" applyFont="1" applyFill="1"/>
    <xf numFmtId="5" fontId="2" fillId="0" borderId="0" xfId="0" applyNumberFormat="1" applyFont="1"/>
    <xf numFmtId="5" fontId="25" fillId="7" borderId="0" xfId="0" applyNumberFormat="1" applyFont="1" applyFill="1"/>
    <xf numFmtId="5" fontId="25" fillId="7" borderId="15" xfId="0" applyNumberFormat="1" applyFont="1" applyFill="1" applyBorder="1"/>
    <xf numFmtId="1" fontId="0" fillId="0" borderId="0" xfId="0" applyNumberFormat="1"/>
    <xf numFmtId="38" fontId="0" fillId="0" borderId="0" xfId="0" applyNumberFormat="1"/>
    <xf numFmtId="9" fontId="0" fillId="0" borderId="15" xfId="0" applyNumberFormat="1" applyBorder="1"/>
    <xf numFmtId="0" fontId="3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3" fontId="32" fillId="0" borderId="0" xfId="0" applyNumberFormat="1" applyFont="1"/>
    <xf numFmtId="0" fontId="32" fillId="0" borderId="0" xfId="0" applyFont="1"/>
    <xf numFmtId="0" fontId="33" fillId="0" borderId="0" xfId="0" applyFont="1"/>
    <xf numFmtId="0" fontId="2" fillId="0" borderId="1" xfId="0" applyFont="1" applyBorder="1" applyAlignment="1">
      <alignment horizontal="right"/>
    </xf>
    <xf numFmtId="173" fontId="2" fillId="0" borderId="0" xfId="0" applyNumberFormat="1" applyFont="1"/>
    <xf numFmtId="175" fontId="2" fillId="0" borderId="0" xfId="0" applyNumberFormat="1" applyFont="1"/>
    <xf numFmtId="176" fontId="0" fillId="0" borderId="0" xfId="0" applyNumberFormat="1"/>
    <xf numFmtId="1" fontId="2" fillId="0" borderId="0" xfId="0" applyNumberFormat="1" applyFont="1"/>
    <xf numFmtId="177" fontId="0" fillId="0" borderId="0" xfId="0" applyNumberFormat="1"/>
    <xf numFmtId="0" fontId="2" fillId="7" borderId="0" xfId="0" applyFont="1" applyFill="1" applyAlignment="1">
      <alignment horizontal="left"/>
    </xf>
    <xf numFmtId="2" fontId="0" fillId="7" borderId="0" xfId="0" applyNumberFormat="1" applyFill="1"/>
    <xf numFmtId="10" fontId="0" fillId="7" borderId="0" xfId="0" applyNumberFormat="1" applyFill="1"/>
    <xf numFmtId="0" fontId="0" fillId="7" borderId="0" xfId="0" applyFill="1"/>
    <xf numFmtId="0" fontId="7" fillId="0" borderId="0" xfId="0" applyFont="1"/>
    <xf numFmtId="5" fontId="7" fillId="0" borderId="0" xfId="0" applyNumberFormat="1" applyFont="1"/>
    <xf numFmtId="10" fontId="0" fillId="0" borderId="1" xfId="0" applyNumberFormat="1" applyBorder="1"/>
    <xf numFmtId="174" fontId="0" fillId="0" borderId="0" xfId="0" applyNumberFormat="1"/>
    <xf numFmtId="7" fontId="7" fillId="0" borderId="0" xfId="0" applyNumberFormat="1" applyFont="1"/>
    <xf numFmtId="2" fontId="2" fillId="0" borderId="0" xfId="0" applyNumberFormat="1" applyFont="1"/>
    <xf numFmtId="2" fontId="7" fillId="0" borderId="0" xfId="0" applyNumberFormat="1" applyFont="1" applyAlignment="1">
      <alignment horizontal="left" indent="1"/>
    </xf>
    <xf numFmtId="164" fontId="21" fillId="0" borderId="1" xfId="0" applyNumberFormat="1" applyFont="1" applyBorder="1"/>
    <xf numFmtId="0" fontId="2" fillId="7" borderId="0" xfId="0" applyFont="1" applyFill="1"/>
    <xf numFmtId="0" fontId="0" fillId="0" borderId="0" xfId="0" quotePrefix="1"/>
    <xf numFmtId="171" fontId="2" fillId="0" borderId="0" xfId="0" applyNumberFormat="1" applyFont="1"/>
    <xf numFmtId="178" fontId="0" fillId="0" borderId="0" xfId="0" applyNumberFormat="1"/>
    <xf numFmtId="177" fontId="2" fillId="0" borderId="0" xfId="0" applyNumberFormat="1" applyFont="1"/>
    <xf numFmtId="2" fontId="7" fillId="0" borderId="0" xfId="0" applyNumberFormat="1" applyFont="1"/>
    <xf numFmtId="179" fontId="0" fillId="7" borderId="0" xfId="0" applyNumberFormat="1" applyFill="1"/>
    <xf numFmtId="173" fontId="2" fillId="0" borderId="1" xfId="0" applyNumberFormat="1" applyFont="1" applyBorder="1" applyAlignment="1">
      <alignment horizontal="right"/>
    </xf>
    <xf numFmtId="6" fontId="25" fillId="7" borderId="15" xfId="0" applyNumberFormat="1" applyFont="1" applyFill="1" applyBorder="1"/>
    <xf numFmtId="10" fontId="7" fillId="0" borderId="1" xfId="0" applyNumberFormat="1" applyFont="1" applyBorder="1" applyAlignment="1">
      <alignment horizontal="left" indent="1"/>
    </xf>
    <xf numFmtId="171" fontId="7" fillId="0" borderId="0" xfId="0" applyNumberFormat="1" applyFont="1"/>
    <xf numFmtId="180" fontId="0" fillId="0" borderId="0" xfId="0" applyNumberFormat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8" fontId="37" fillId="0" borderId="0" xfId="0" applyNumberFormat="1" applyFont="1"/>
    <xf numFmtId="37" fontId="0" fillId="3" borderId="2" xfId="0" applyNumberForma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8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8" fillId="0" borderId="0" xfId="0" applyFont="1"/>
  </cellXfs>
  <cellStyles count="4">
    <cellStyle name="_x000a_386grabber=M" xfId="2" xr:uid="{00000000-0005-0000-0000-000000000000}"/>
    <cellStyle name="AFE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3CC"/>
      <color rgb="FF0066FF"/>
      <color rgb="FFFFFF99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</a:t>
            </a:r>
            <a:r>
              <a:rPr lang="en-US" baseline="0"/>
              <a:t> Bookings Growth Y/Y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Mobility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6443812243701331E-2"/>
                  <c:y val="-4.1633651602302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AF-8F4A-9E88-5F5BA1B70C59}"/>
                </c:ext>
              </c:extLst>
            </c:dLbl>
            <c:dLbl>
              <c:idx val="2"/>
              <c:layout>
                <c:manualLayout>
                  <c:x val="6.7882583266543834E-3"/>
                  <c:y val="-5.93240413887091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AF-8F4A-9E88-5F5BA1B70C59}"/>
                </c:ext>
              </c:extLst>
            </c:dLbl>
            <c:dLbl>
              <c:idx val="3"/>
              <c:layout>
                <c:manualLayout>
                  <c:x val="-7.8060357874694536E-2"/>
                  <c:y val="-2.9733235781158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1AF-8F4A-9E88-5F5BA1B70C59}"/>
                </c:ext>
              </c:extLst>
            </c:dLbl>
            <c:dLbl>
              <c:idx val="4"/>
              <c:layout>
                <c:manualLayout>
                  <c:x val="-4.4584015441878233E-2"/>
                  <c:y val="-4.8773901094988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1AF-8F4A-9E88-5F5BA1B70C59}"/>
                </c:ext>
              </c:extLst>
            </c:dLbl>
            <c:dLbl>
              <c:idx val="5"/>
              <c:layout>
                <c:manualLayout>
                  <c:x val="-4.0864421838232017E-2"/>
                  <c:y val="6.309000762376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AF-8F4A-9E88-5F5BA1B70C59}"/>
                </c:ext>
              </c:extLst>
            </c:dLbl>
            <c:dLbl>
              <c:idx val="7"/>
              <c:layout>
                <c:manualLayout>
                  <c:x val="-5.0163405847347582E-2"/>
                  <c:y val="-4.6393817930759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1AF-8F4A-9E88-5F5BA1B70C59}"/>
                </c:ext>
              </c:extLst>
            </c:dLbl>
            <c:dLbl>
              <c:idx val="8"/>
              <c:layout>
                <c:manualLayout>
                  <c:x val="-4.6443812243701331E-2"/>
                  <c:y val="-2.9733235781158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AF-8F4A-9E88-5F5BA1B70C59}"/>
                </c:ext>
              </c:extLst>
            </c:dLbl>
            <c:dLbl>
              <c:idx val="9"/>
              <c:layout>
                <c:manualLayout>
                  <c:x val="-3.1565437829116375E-2"/>
                  <c:y val="-6.3054400080360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AF-8F4A-9E88-5F5BA1B70C59}"/>
                </c:ext>
              </c:extLst>
            </c:dLbl>
            <c:dLbl>
              <c:idx val="10"/>
              <c:layout>
                <c:manualLayout>
                  <c:x val="-4.4584015441878198E-2"/>
                  <c:y val="-5.3534067423445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AF-8F4A-9E88-5F5BA1B70C59}"/>
                </c:ext>
              </c:extLst>
            </c:dLbl>
            <c:dLbl>
              <c:idx val="11"/>
              <c:layout>
                <c:manualLayout>
                  <c:x val="-3.3425234630939431E-2"/>
                  <c:y val="-5.1153984259216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AF-8F4A-9E88-5F5BA1B70C59}"/>
                </c:ext>
              </c:extLst>
            </c:dLbl>
            <c:dLbl>
              <c:idx val="12"/>
              <c:layout>
                <c:manualLayout>
                  <c:x val="-2.9705641027293176E-2"/>
                  <c:y val="3.4529009653017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AF-8F4A-9E88-5F5BA1B70C59}"/>
                </c:ext>
              </c:extLst>
            </c:dLbl>
            <c:dLbl>
              <c:idx val="13"/>
              <c:layout>
                <c:manualLayout>
                  <c:x val="-4.4584015441878198E-2"/>
                  <c:y val="-3.925356843807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AF-8F4A-9E88-5F5BA1B70C59}"/>
                </c:ext>
              </c:extLst>
            </c:dLbl>
            <c:dLbl>
              <c:idx val="14"/>
              <c:layout>
                <c:manualLayout>
                  <c:x val="-4.0864421838231947E-2"/>
                  <c:y val="4.4049342309932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1AF-8F4A-9E88-5F5BA1B70C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Eco'!$B$21:$S$21</c:f>
              <c:strCache>
                <c:ptCount val="18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Q1 '23</c:v>
                </c:pt>
                <c:pt idx="6">
                  <c:v>Q2 '23</c:v>
                </c:pt>
                <c:pt idx="7">
                  <c:v>Q3 '23</c:v>
                </c:pt>
                <c:pt idx="8">
                  <c:v>Q4 '23</c:v>
                </c:pt>
                <c:pt idx="9">
                  <c:v>2023A</c:v>
                </c:pt>
                <c:pt idx="10">
                  <c:v>Q1 '24</c:v>
                </c:pt>
                <c:pt idx="11">
                  <c:v>Q2 '24</c:v>
                </c:pt>
                <c:pt idx="12">
                  <c:v>Q3 '24</c:v>
                </c:pt>
                <c:pt idx="13">
                  <c:v>Q4 '24</c:v>
                </c:pt>
                <c:pt idx="14">
                  <c:v>2024A</c:v>
                </c:pt>
                <c:pt idx="15">
                  <c:v>Q1 '25</c:v>
                </c:pt>
                <c:pt idx="16">
                  <c:v>Q2 '25</c:v>
                </c:pt>
                <c:pt idx="17">
                  <c:v>Q3 '25</c:v>
                </c:pt>
              </c:strCache>
            </c:strRef>
          </c:cat>
          <c:val>
            <c:numRef>
              <c:f>'Segment Level Info &amp; Unit Eco'!$B$15:$S$15</c:f>
              <c:numCache>
                <c:formatCode>0.00%</c:formatCode>
                <c:ptCount val="18"/>
                <c:pt idx="1">
                  <c:v>0.19721533013754722</c:v>
                </c:pt>
                <c:pt idx="2">
                  <c:v>-0.46450704225352113</c:v>
                </c:pt>
                <c:pt idx="3">
                  <c:v>0.37656872322837609</c:v>
                </c:pt>
                <c:pt idx="4">
                  <c:v>0.43752047166721253</c:v>
                </c:pt>
                <c:pt idx="5">
                  <c:v>0.39709036650191187</c:v>
                </c:pt>
                <c:pt idx="6">
                  <c:v>0.25172104160431008</c:v>
                </c:pt>
                <c:pt idx="7">
                  <c:v>0.30831628178895065</c:v>
                </c:pt>
                <c:pt idx="8">
                  <c:v>0.29481670471330745</c:v>
                </c:pt>
                <c:pt idx="9">
                  <c:v>0.30821228519889865</c:v>
                </c:pt>
                <c:pt idx="10">
                  <c:v>0.25352490935947358</c:v>
                </c:pt>
                <c:pt idx="11">
                  <c:v>0.22871831659493069</c:v>
                </c:pt>
                <c:pt idx="12">
                  <c:v>0.17309948053398871</c:v>
                </c:pt>
                <c:pt idx="13">
                  <c:v>0.18216230230749297</c:v>
                </c:pt>
                <c:pt idx="14">
                  <c:v>0.20504521241853779</c:v>
                </c:pt>
                <c:pt idx="15">
                  <c:v>0.13454740224959827</c:v>
                </c:pt>
                <c:pt idx="16">
                  <c:v>0.15607667607278386</c:v>
                </c:pt>
                <c:pt idx="17">
                  <c:v>0.1314636701266545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7-3046-878B-61083DCFFE21}"/>
            </c:ext>
          </c:extLst>
        </c:ser>
        <c:ser>
          <c:idx val="1"/>
          <c:order val="1"/>
          <c:tx>
            <c:v>Delivery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2967469810885059E-2"/>
                  <c:y val="-4.1633651602301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AF-8F4A-9E88-5F5BA1B70C59}"/>
                </c:ext>
              </c:extLst>
            </c:dLbl>
            <c:dLbl>
              <c:idx val="4"/>
              <c:layout>
                <c:manualLayout>
                  <c:x val="5.7185090638727941E-4"/>
                  <c:y val="2.5008676996102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AF-8F4A-9E88-5F5BA1B70C59}"/>
                </c:ext>
              </c:extLst>
            </c:dLbl>
            <c:dLbl>
              <c:idx val="5"/>
              <c:layout>
                <c:manualLayout>
                  <c:x val="-2.7845844225470116E-2"/>
                  <c:y val="-5.1153984259217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AF-8F4A-9E88-5F5BA1B70C59}"/>
                </c:ext>
              </c:extLst>
            </c:dLbl>
            <c:dLbl>
              <c:idx val="6"/>
              <c:layout>
                <c:manualLayout>
                  <c:x val="-5.7602593054640099E-2"/>
                  <c:y val="2.97688433245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AF-8F4A-9E88-5F5BA1B70C59}"/>
                </c:ext>
              </c:extLst>
            </c:dLbl>
            <c:dLbl>
              <c:idx val="7"/>
              <c:layout>
                <c:manualLayout>
                  <c:x val="-1.6687063414531279E-2"/>
                  <c:y val="4.642942547416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AF-8F4A-9E88-5F5BA1B70C59}"/>
                </c:ext>
              </c:extLst>
            </c:dLbl>
            <c:dLbl>
              <c:idx val="8"/>
              <c:layout>
                <c:manualLayout>
                  <c:x val="-5.0163405847347652E-2"/>
                  <c:y val="-5.1153984259216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AF-8F4A-9E88-5F5BA1B70C59}"/>
                </c:ext>
              </c:extLst>
            </c:dLbl>
            <c:dLbl>
              <c:idx val="9"/>
              <c:layout>
                <c:manualLayout>
                  <c:x val="-4.2724218640055142E-2"/>
                  <c:y val="5.356967496684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AF-8F4A-9E88-5F5BA1B70C59}"/>
                </c:ext>
              </c:extLst>
            </c:dLbl>
            <c:dLbl>
              <c:idx val="10"/>
              <c:layout>
                <c:manualLayout>
                  <c:x val="-2.970564102729311E-2"/>
                  <c:y val="6.7850173952219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AF-8F4A-9E88-5F5BA1B70C59}"/>
                </c:ext>
              </c:extLst>
            </c:dLbl>
            <c:dLbl>
              <c:idx val="11"/>
              <c:layout>
                <c:manualLayout>
                  <c:x val="-3.7144828234585689E-2"/>
                  <c:y val="3.6909092817246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AF-8F4A-9E88-5F5BA1B70C59}"/>
                </c:ext>
              </c:extLst>
            </c:dLbl>
            <c:dLbl>
              <c:idx val="12"/>
              <c:layout>
                <c:manualLayout>
                  <c:x val="-5.5742796252816973E-2"/>
                  <c:y val="-4.6393817930759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AF-8F4A-9E88-5F5BA1B70C59}"/>
                </c:ext>
              </c:extLst>
            </c:dLbl>
            <c:dLbl>
              <c:idx val="13"/>
              <c:layout>
                <c:manualLayout>
                  <c:x val="-4.0864421838231947E-2"/>
                  <c:y val="4.6429425474161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AF-8F4A-9E88-5F5BA1B70C59}"/>
                </c:ext>
              </c:extLst>
            </c:dLbl>
            <c:dLbl>
              <c:idx val="14"/>
              <c:layout>
                <c:manualLayout>
                  <c:x val="-3.9004625036408953E-2"/>
                  <c:y val="-7.971498222996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AF-8F4A-9E88-5F5BA1B70C59}"/>
                </c:ext>
              </c:extLst>
            </c:dLbl>
            <c:dLbl>
              <c:idx val="15"/>
              <c:layout>
                <c:manualLayout>
                  <c:x val="-4.0864421838231947E-2"/>
                  <c:y val="3.9289175981475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AF-8F4A-9E88-5F5BA1B70C59}"/>
                </c:ext>
              </c:extLst>
            </c:dLbl>
            <c:dLbl>
              <c:idx val="16"/>
              <c:layout>
                <c:manualLayout>
                  <c:x val="-4.8303609045524457E-2"/>
                  <c:y val="-2.973323578115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AF-8F4A-9E88-5F5BA1B70C59}"/>
                </c:ext>
              </c:extLst>
            </c:dLbl>
            <c:dLbl>
              <c:idx val="17"/>
              <c:layout>
                <c:manualLayout>
                  <c:x val="-1.4637186593120256E-2"/>
                  <c:y val="-5.59141505876743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70932415716406E-2"/>
                      <c:h val="2.85253904273429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1AF-8F4A-9E88-5F5BA1B70C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Eco'!$B$21:$S$21</c:f>
              <c:strCache>
                <c:ptCount val="18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Q1 '23</c:v>
                </c:pt>
                <c:pt idx="6">
                  <c:v>Q2 '23</c:v>
                </c:pt>
                <c:pt idx="7">
                  <c:v>Q3 '23</c:v>
                </c:pt>
                <c:pt idx="8">
                  <c:v>Q4 '23</c:v>
                </c:pt>
                <c:pt idx="9">
                  <c:v>2023A</c:v>
                </c:pt>
                <c:pt idx="10">
                  <c:v>Q1 '24</c:v>
                </c:pt>
                <c:pt idx="11">
                  <c:v>Q2 '24</c:v>
                </c:pt>
                <c:pt idx="12">
                  <c:v>Q3 '24</c:v>
                </c:pt>
                <c:pt idx="13">
                  <c:v>Q4 '24</c:v>
                </c:pt>
                <c:pt idx="14">
                  <c:v>2024A</c:v>
                </c:pt>
                <c:pt idx="15">
                  <c:v>Q1 '25</c:v>
                </c:pt>
                <c:pt idx="16">
                  <c:v>Q2 '25</c:v>
                </c:pt>
                <c:pt idx="17">
                  <c:v>Q3 '25</c:v>
                </c:pt>
              </c:strCache>
            </c:strRef>
          </c:cat>
          <c:val>
            <c:numRef>
              <c:f>'Segment Level Info &amp; Unit Eco'!$B$28:$S$28</c:f>
              <c:numCache>
                <c:formatCode>0.00%</c:formatCode>
                <c:ptCount val="18"/>
                <c:pt idx="1">
                  <c:v>0.82965020835964132</c:v>
                </c:pt>
                <c:pt idx="2">
                  <c:v>1.0873766305473116</c:v>
                </c:pt>
                <c:pt idx="3">
                  <c:v>0.70761142705991276</c:v>
                </c:pt>
                <c:pt idx="4">
                  <c:v>8.0027108142124215E-2</c:v>
                </c:pt>
                <c:pt idx="5">
                  <c:v>0.40128695327800057</c:v>
                </c:pt>
                <c:pt idx="6">
                  <c:v>0.16694103561807849</c:v>
                </c:pt>
                <c:pt idx="7">
                  <c:v>0.17611809412452506</c:v>
                </c:pt>
                <c:pt idx="8">
                  <c:v>0.14213777360010749</c:v>
                </c:pt>
                <c:pt idx="9">
                  <c:v>0.14249345620136977</c:v>
                </c:pt>
                <c:pt idx="10">
                  <c:v>0.17789165446559307</c:v>
                </c:pt>
                <c:pt idx="11">
                  <c:v>0.16229560756652783</c:v>
                </c:pt>
                <c:pt idx="12">
                  <c:v>0.15962470485895364</c:v>
                </c:pt>
                <c:pt idx="13">
                  <c:v>0.18311680677208875</c:v>
                </c:pt>
                <c:pt idx="14">
                  <c:v>0.17085647930201175</c:v>
                </c:pt>
                <c:pt idx="15">
                  <c:v>0.15130798350189267</c:v>
                </c:pt>
                <c:pt idx="16">
                  <c:v>0.19905108683658823</c:v>
                </c:pt>
                <c:pt idx="17">
                  <c:v>0.24963832181321322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7-3046-878B-61083DCFF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8640735"/>
        <c:axId val="1369037263"/>
      </c:lineChart>
      <c:catAx>
        <c:axId val="136864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037263"/>
        <c:crosses val="autoZero"/>
        <c:auto val="1"/>
        <c:lblAlgn val="ctr"/>
        <c:lblOffset val="100"/>
        <c:noMultiLvlLbl val="0"/>
      </c:catAx>
      <c:valAx>
        <c:axId val="1369037263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64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baseline="0"/>
              <a:t>Log Decomposition of Revenue Growth: ln(Users), ln(Frequency), ln(Pricing)</a:t>
            </a:r>
            <a:endParaRPr lang="en-US"/>
          </a:p>
        </c:rich>
      </c:tx>
      <c:layout>
        <c:manualLayout>
          <c:xMode val="edge"/>
          <c:yMode val="edge"/>
          <c:x val="0.18470757615884961"/>
          <c:y val="3.9803853713002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'Segment Level Info &amp; Unit Eco'!$A$58</c:f>
              <c:strCache>
                <c:ptCount val="1"/>
                <c:pt idx="0">
                  <c:v>% of Growth from new users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08-7F42-A265-40843A1E3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Eco'!$E$42:$K$42</c:f>
              <c:strCache>
                <c:ptCount val="7"/>
                <c:pt idx="0">
                  <c:v>2021A</c:v>
                </c:pt>
                <c:pt idx="1">
                  <c:v>2022A</c:v>
                </c:pt>
                <c:pt idx="2">
                  <c:v>2023A</c:v>
                </c:pt>
                <c:pt idx="3">
                  <c:v>2024A</c:v>
                </c:pt>
                <c:pt idx="4">
                  <c:v>Q1 '25A</c:v>
                </c:pt>
                <c:pt idx="5">
                  <c:v>Q2 '25A</c:v>
                </c:pt>
                <c:pt idx="6">
                  <c:v>Q3 '25A</c:v>
                </c:pt>
              </c:strCache>
            </c:strRef>
          </c:cat>
          <c:val>
            <c:numRef>
              <c:f>'Segment Level Info &amp; Unit Eco'!$E$58:$K$58</c:f>
              <c:numCache>
                <c:formatCode>0.00%</c:formatCode>
                <c:ptCount val="7"/>
                <c:pt idx="0">
                  <c:v>0.44704710958378446</c:v>
                </c:pt>
                <c:pt idx="1">
                  <c:v>0.16647030485012784</c:v>
                </c:pt>
                <c:pt idx="2">
                  <c:v>0.47515741829650215</c:v>
                </c:pt>
                <c:pt idx="3">
                  <c:v>0.61720650116917519</c:v>
                </c:pt>
                <c:pt idx="4">
                  <c:v>-0.10101270251564819</c:v>
                </c:pt>
                <c:pt idx="5">
                  <c:v>0.52568342468916185</c:v>
                </c:pt>
                <c:pt idx="6">
                  <c:v>1.477978643324021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8-7F42-A265-40843A1E3E53}"/>
            </c:ext>
          </c:extLst>
        </c:ser>
        <c:ser>
          <c:idx val="1"/>
          <c:order val="1"/>
          <c:tx>
            <c:strRef>
              <c:f>'Segment Level Info &amp; Unit Eco'!$A$59</c:f>
              <c:strCache>
                <c:ptCount val="1"/>
                <c:pt idx="0">
                  <c:v>% of Growth from frequency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08-7F42-A265-40843A1E3E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08-7F42-A265-40843A1E3E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08-7F42-A265-40843A1E3E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08-7F42-A265-40843A1E3E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08-7F42-A265-40843A1E3E5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08-7F42-A265-40843A1E3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Eco'!$E$42:$K$42</c:f>
              <c:strCache>
                <c:ptCount val="7"/>
                <c:pt idx="0">
                  <c:v>2021A</c:v>
                </c:pt>
                <c:pt idx="1">
                  <c:v>2022A</c:v>
                </c:pt>
                <c:pt idx="2">
                  <c:v>2023A</c:v>
                </c:pt>
                <c:pt idx="3">
                  <c:v>2024A</c:v>
                </c:pt>
                <c:pt idx="4">
                  <c:v>Q1 '25A</c:v>
                </c:pt>
                <c:pt idx="5">
                  <c:v>Q2 '25A</c:v>
                </c:pt>
                <c:pt idx="6">
                  <c:v>Q3 '25A</c:v>
                </c:pt>
              </c:strCache>
            </c:strRef>
          </c:cat>
          <c:val>
            <c:numRef>
              <c:f>'Segment Level Info &amp; Unit Eco'!$E$59:$K$59</c:f>
              <c:numCache>
                <c:formatCode>0.00%</c:formatCode>
                <c:ptCount val="7"/>
                <c:pt idx="0">
                  <c:v>-2.3004117244749705E-3</c:v>
                </c:pt>
                <c:pt idx="1">
                  <c:v>0.1240191684615123</c:v>
                </c:pt>
                <c:pt idx="2">
                  <c:v>0.26910703226188476</c:v>
                </c:pt>
                <c:pt idx="3">
                  <c:v>0.21469982084415834</c:v>
                </c:pt>
                <c:pt idx="4">
                  <c:v>1.3828013576402642</c:v>
                </c:pt>
                <c:pt idx="5">
                  <c:v>0.15155575374548869</c:v>
                </c:pt>
                <c:pt idx="6">
                  <c:v>0.70331234350722283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8-7F42-A265-40843A1E3E53}"/>
            </c:ext>
          </c:extLst>
        </c:ser>
        <c:ser>
          <c:idx val="2"/>
          <c:order val="2"/>
          <c:tx>
            <c:strRef>
              <c:f>'Segment Level Info &amp; Unit Eco'!$A$60</c:f>
              <c:strCache>
                <c:ptCount val="1"/>
                <c:pt idx="0">
                  <c:v>% of Growth from pricing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08-7F42-A265-40843A1E3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Eco'!$E$42:$K$42</c:f>
              <c:strCache>
                <c:ptCount val="7"/>
                <c:pt idx="0">
                  <c:v>2021A</c:v>
                </c:pt>
                <c:pt idx="1">
                  <c:v>2022A</c:v>
                </c:pt>
                <c:pt idx="2">
                  <c:v>2023A</c:v>
                </c:pt>
                <c:pt idx="3">
                  <c:v>2024A</c:v>
                </c:pt>
                <c:pt idx="4">
                  <c:v>Q1 '25A</c:v>
                </c:pt>
                <c:pt idx="5">
                  <c:v>Q2 '25A</c:v>
                </c:pt>
                <c:pt idx="6">
                  <c:v>Q3 '25A</c:v>
                </c:pt>
              </c:strCache>
            </c:strRef>
          </c:cat>
          <c:val>
            <c:numRef>
              <c:f>'Segment Level Info &amp; Unit Eco'!$E$60:$K$60</c:f>
              <c:numCache>
                <c:formatCode>0.00%</c:formatCode>
                <c:ptCount val="7"/>
                <c:pt idx="0">
                  <c:v>0.35692378105914724</c:v>
                </c:pt>
                <c:pt idx="1">
                  <c:v>0.48559661023437095</c:v>
                </c:pt>
                <c:pt idx="2">
                  <c:v>0.13557711108591491</c:v>
                </c:pt>
                <c:pt idx="3">
                  <c:v>7.4923649066194545E-2</c:v>
                </c:pt>
                <c:pt idx="4">
                  <c:v>-0.30974324000391634</c:v>
                </c:pt>
                <c:pt idx="5">
                  <c:v>0.27204012932726485</c:v>
                </c:pt>
                <c:pt idx="6">
                  <c:v>-1.1974422048675573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8-7F42-A265-40843A1E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114976"/>
        <c:axId val="572116688"/>
      </c:lineChart>
      <c:catAx>
        <c:axId val="5721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116688"/>
        <c:crosses val="autoZero"/>
        <c:auto val="1"/>
        <c:lblAlgn val="ctr"/>
        <c:lblOffset val="100"/>
        <c:noMultiLvlLbl val="0"/>
      </c:catAx>
      <c:valAx>
        <c:axId val="57211668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11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 Bookings S-Curve (Mobility)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'Segment Projection'!$B$3:$N$3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'Segment Projection'!$B$7:$N$7</c:f>
              <c:numCache>
                <c:formatCode>0.00</c:formatCode>
                <c:ptCount val="13"/>
                <c:pt idx="0">
                  <c:v>21697.334157292375</c:v>
                </c:pt>
                <c:pt idx="1">
                  <c:v>32247.805019808115</c:v>
                </c:pt>
                <c:pt idx="2">
                  <c:v>45581.903281329403</c:v>
                </c:pt>
                <c:pt idx="3">
                  <c:v>60675.030203537048</c:v>
                </c:pt>
                <c:pt idx="4">
                  <c:v>75768.157125744692</c:v>
                </c:pt>
                <c:pt idx="5">
                  <c:v>89102.255387265992</c:v>
                </c:pt>
                <c:pt idx="6">
                  <c:v>99652.726249781714</c:v>
                </c:pt>
                <c:pt idx="7">
                  <c:v>107295.86723492497</c:v>
                </c:pt>
                <c:pt idx="8">
                  <c:v>112486.1055369324</c:v>
                </c:pt>
                <c:pt idx="9">
                  <c:v>115857.69684691756</c:v>
                </c:pt>
                <c:pt idx="10">
                  <c:v>117985.19549262738</c:v>
                </c:pt>
                <c:pt idx="11">
                  <c:v>119303.15498166552</c:v>
                </c:pt>
                <c:pt idx="12">
                  <c:v>120110.31675937914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7A-BA4C-A3C9-0780567D02F3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'Segment Projection'!$B$3:$N$3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'Segment Projection'!$B$4:$N$4</c:f>
              <c:numCache>
                <c:formatCode>"$"#,##0_);\("$"#,##0\)</c:formatCode>
                <c:ptCount val="13"/>
                <c:pt idx="0" formatCode="General">
                  <c:v>26614</c:v>
                </c:pt>
                <c:pt idx="1">
                  <c:v>36636</c:v>
                </c:pt>
                <c:pt idx="2">
                  <c:v>52665</c:v>
                </c:pt>
                <c:pt idx="3">
                  <c:v>68897</c:v>
                </c:pt>
                <c:pt idx="4" formatCode="&quot;$&quot;#,##0_);[Red]\(&quot;$&quot;#,##0\)">
                  <c:v>83024</c:v>
                </c:pt>
                <c:pt idx="5" formatCode="&quot;$&quot;#,##0.00_);[Red]\(&quot;$&quot;#,##0.00\)">
                  <c:v>94373.115810557792</c:v>
                </c:pt>
                <c:pt idx="6" formatCode="&quot;$&quot;#,##0.00_);[Red]\(&quot;$&quot;#,##0.00\)">
                  <c:v>102973.45162299115</c:v>
                </c:pt>
                <c:pt idx="7" formatCode="&quot;$&quot;#,##0.00_);[Red]\(&quot;$&quot;#,##0.00\)">
                  <c:v>109229.5148115856</c:v>
                </c:pt>
                <c:pt idx="8" formatCode="&quot;$&quot;#,##0.00_);[Red]\(&quot;$&quot;#,##0.00\)">
                  <c:v>113653.61141739605</c:v>
                </c:pt>
                <c:pt idx="9" formatCode="&quot;$&quot;#,##0.00_);[Red]\(&quot;$&quot;#,##0.00\)">
                  <c:v>116722.46789742423</c:v>
                </c:pt>
                <c:pt idx="10" formatCode="&quot;$&quot;#,##0.00_);[Red]\(&quot;$&quot;#,##0.00\)">
                  <c:v>118823.61539583132</c:v>
                </c:pt>
                <c:pt idx="11" formatCode="&quot;$&quot;#,##0.00_);[Red]\(&quot;$&quot;#,##0.00\)">
                  <c:v>120249.59588178222</c:v>
                </c:pt>
                <c:pt idx="12" formatCode="&quot;$&quot;#,##0.00_);[Red]\(&quot;$&quot;#,##0.00\)">
                  <c:v>121211.65815983295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270-954A-97D5-C69D5D844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204880"/>
        <c:axId val="280206592"/>
      </c:scatterChart>
      <c:valAx>
        <c:axId val="28020488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80206592"/>
        <c:crosses val="autoZero"/>
        <c:crossBetween val="midCat"/>
      </c:valAx>
      <c:valAx>
        <c:axId val="28020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Gross</a:t>
                </a:r>
                <a:r>
                  <a:rPr lang="en-US" baseline="0"/>
                  <a:t> Bookings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0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</a:t>
            </a:r>
            <a:r>
              <a:rPr lang="en-US" baseline="0"/>
              <a:t> transformed bookings (to verify log relationship)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'Segment Projection'!$B$8:$N$8</c:f>
              <c:numCache>
                <c:formatCode>0.00</c:formatCode>
                <c:ptCount val="13"/>
                <c:pt idx="0">
                  <c:v>1.2696573203035606</c:v>
                </c:pt>
                <c:pt idx="1">
                  <c:v>0.83825022678518102</c:v>
                </c:pt>
                <c:pt idx="2">
                  <c:v>0.26558061596813509</c:v>
                </c:pt>
                <c:pt idx="3">
                  <c:v>-0.27269395352870596</c:v>
                </c:pt>
                <c:pt idx="4">
                  <c:v>-0.77299962944208478</c:v>
                </c:pt>
                <c:pt idx="5">
                  <c:v>-1.2522736450605982</c:v>
                </c:pt>
                <c:pt idx="6">
                  <c:v>-1.723392609631349</c:v>
                </c:pt>
                <c:pt idx="7">
                  <c:v>-2.1985493131911538</c:v>
                </c:pt>
                <c:pt idx="8">
                  <c:v>-2.6923962741372853</c:v>
                </c:pt>
                <c:pt idx="9">
                  <c:v>-3.2277622911857349</c:v>
                </c:pt>
                <c:pt idx="10">
                  <c:v>-3.850826989250141</c:v>
                </c:pt>
                <c:pt idx="11">
                  <c:v>-4.6938371619472905</c:v>
                </c:pt>
                <c:pt idx="12">
                  <c:v>-6.7751292570858315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40-5849-8AC8-CED0AC24F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833664"/>
        <c:axId val="931835376"/>
      </c:scatterChart>
      <c:valAx>
        <c:axId val="93183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835376"/>
        <c:crosses val="autoZero"/>
        <c:crossBetween val="midCat"/>
      </c:valAx>
      <c:valAx>
        <c:axId val="93183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833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</a:t>
            </a:r>
            <a:r>
              <a:rPr lang="en-US" baseline="0"/>
              <a:t> transformed bookings (to verify log relationship)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'Segment Projection'!$C$28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'Segment Projection'!$D$21:$N$21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'Segment Projection'!$D$28:$N$28</c:f>
              <c:numCache>
                <c:formatCode>General</c:formatCode>
                <c:ptCount val="11"/>
                <c:pt idx="0">
                  <c:v>-1.5949768474935568</c:v>
                </c:pt>
                <c:pt idx="1">
                  <c:v>-2.1786098210640419</c:v>
                </c:pt>
                <c:pt idx="2">
                  <c:v>-2.8057911186368969</c:v>
                </c:pt>
                <c:pt idx="3">
                  <c:v>-3.3264718481471451</c:v>
                </c:pt>
                <c:pt idx="4">
                  <c:v>-3.7267487295143167</c:v>
                </c:pt>
                <c:pt idx="5">
                  <c:v>-4.0037155222277079</c:v>
                </c:pt>
                <c:pt idx="6">
                  <c:v>-4.1759332775175748</c:v>
                </c:pt>
                <c:pt idx="7">
                  <c:v>-4.2741738554775432</c:v>
                </c:pt>
                <c:pt idx="8">
                  <c:v>-4.3270521592270521</c:v>
                </c:pt>
                <c:pt idx="9">
                  <c:v>-4.3545486176798516</c:v>
                </c:pt>
                <c:pt idx="10">
                  <c:v>-4.3685781705028122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F0-C140-9685-5C15DA6BB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833664"/>
        <c:axId val="931835376"/>
      </c:scatterChart>
      <c:valAx>
        <c:axId val="93183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835376"/>
        <c:crosses val="autoZero"/>
        <c:crossBetween val="midCat"/>
      </c:valAx>
      <c:valAx>
        <c:axId val="93183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833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Online Grocery Delivery App Market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'Segment Projection'!$A$53</c:f>
              <c:strCache>
                <c:ptCount val="1"/>
                <c:pt idx="0">
                  <c:v>Online App Market share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'Segment Projection'!$B$53:$F$53</c:f>
              <c:numCache>
                <c:formatCode>0.0%</c:formatCode>
                <c:ptCount val="5"/>
                <c:pt idx="0">
                  <c:v>0.25504151838671413</c:v>
                </c:pt>
                <c:pt idx="1">
                  <c:v>0.28215223097112863</c:v>
                </c:pt>
                <c:pt idx="2">
                  <c:v>0.29340511440107669</c:v>
                </c:pt>
                <c:pt idx="3">
                  <c:v>0.3</c:v>
                </c:pt>
                <c:pt idx="4">
                  <c:v>0.29931034482758623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'Segment Projection'!#REF!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C1-C441-8687-9639D598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938272"/>
        <c:axId val="842391808"/>
      </c:barChart>
      <c:catAx>
        <c:axId val="84293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391808"/>
        <c:crosses val="autoZero"/>
        <c:auto val="1"/>
        <c:lblAlgn val="ctr"/>
        <c:lblOffset val="100"/>
        <c:noMultiLvlLbl val="0"/>
      </c:catAx>
      <c:valAx>
        <c:axId val="842391808"/>
        <c:scaling>
          <c:orientation val="minMax"/>
          <c:max val="0.35"/>
          <c:min val="0.0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3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Projection--Mobility (Base Case)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MODEL!$A$4</c:f>
              <c:strCache>
                <c:ptCount val="1"/>
                <c:pt idx="0">
                  <c:v>Revenue--consensus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MODEL!$B$4:$K$4</c:f>
              <c:numCache>
                <c:formatCode>"$"#,##0_);\("$"#,##0\)</c:formatCode>
                <c:ptCount val="10"/>
                <c:pt idx="0" formatCode="&quot;$&quot;#,##0.00_);[Red]\(&quot;$&quot;#,##0.00\)">
                  <c:v>19832</c:v>
                </c:pt>
                <c:pt idx="1">
                  <c:v>25087</c:v>
                </c:pt>
                <c:pt idx="2">
                  <c:v>29596</c:v>
                </c:pt>
                <c:pt idx="3">
                  <c:v>34471</c:v>
                </c:pt>
                <c:pt idx="4">
                  <c:v>39714</c:v>
                </c:pt>
                <c:pt idx="5">
                  <c:v>44219</c:v>
                </c:pt>
                <c:pt idx="6">
                  <c:v>47557</c:v>
                </c:pt>
                <c:pt idx="7">
                  <c:v>49339.812651710803</c:v>
                </c:pt>
                <c:pt idx="8">
                  <c:v>49314.546347233423</c:v>
                </c:pt>
                <c:pt idx="9">
                  <c:v>47415.340220121485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C-BA4C-972D-5FB634A35803}"/>
            </c:ext>
          </c:extLst>
        </c:ser>
        <c:ser>
          <c:idx val="1"/>
          <c:order val="1"/>
          <c:tx>
            <c:strRef>
              <c:f>MODEL!$A$5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MODEL!$B$5:$K$5</c:f>
            </c:numRef>
          </c:val>
          <c:extLst>
            <c:ext xmlns:c16="http://schemas.microsoft.com/office/drawing/2014/chart" uri="{C3380CC4-5D6E-409C-BE32-E72D297353CC}">
              <c16:uniqueId val="{00000001-032C-BA4C-972D-5FB634A35803}"/>
            </c:ext>
          </c:extLst>
        </c:ser>
        <c:ser>
          <c:idx val="2"/>
          <c:order val="2"/>
          <c:tx>
            <c:strRef>
              <c:f>MODEL!$A$6</c:f>
              <c:strCache>
                <c:ptCount val="1"/>
                <c:pt idx="0">
                  <c:v>Change in growth rate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MODEL!$B$6:$K$6</c:f>
            </c:numRef>
          </c:val>
          <c:extLst>
            <c:ext xmlns:c16="http://schemas.microsoft.com/office/drawing/2014/chart" uri="{C3380CC4-5D6E-409C-BE32-E72D297353CC}">
              <c16:uniqueId val="{00000002-032C-BA4C-972D-5FB634A35803}"/>
            </c:ext>
          </c:extLst>
        </c:ser>
        <c:ser>
          <c:idx val="3"/>
          <c:order val="3"/>
          <c:tx>
            <c:strRef>
              <c:f>MODEL!$A$7</c:f>
              <c:strCache>
                <c:ptCount val="1"/>
                <c:pt idx="0">
                  <c:v>Revenue--estimate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MODEL!$B$7:$K$7</c:f>
              <c:numCache>
                <c:formatCode>"$"#,##0_);\("$"#,##0\)</c:formatCode>
                <c:ptCount val="10"/>
                <c:pt idx="0" formatCode="&quot;$&quot;#,##0.00_);[Red]\(&quot;$&quot;#,##0.00\)">
                  <c:v>19832</c:v>
                </c:pt>
                <c:pt idx="1">
                  <c:v>25087</c:v>
                </c:pt>
                <c:pt idx="2" formatCode="&quot;$&quot;#,##0">
                  <c:v>27811.791178498876</c:v>
                </c:pt>
                <c:pt idx="3" formatCode="&quot;$&quot;#,##0">
                  <c:v>31429.051459837185</c:v>
                </c:pt>
                <c:pt idx="4" formatCode="&quot;$&quot;#,##0">
                  <c:v>34014.071328039579</c:v>
                </c:pt>
                <c:pt idx="5" formatCode="&quot;$&quot;#,##0">
                  <c:v>35750.899971690378</c:v>
                </c:pt>
                <c:pt idx="6" formatCode="&quot;$&quot;#,##0">
                  <c:v>36869.577342425255</c:v>
                </c:pt>
                <c:pt idx="7" formatCode="&quot;$&quot;#,##0">
                  <c:v>37570.597677382728</c:v>
                </c:pt>
                <c:pt idx="8" formatCode="&quot;$&quot;#,##0">
                  <c:v>38002.407402874938</c:v>
                </c:pt>
                <c:pt idx="9" formatCode="&quot;$&quot;#,##0">
                  <c:v>38265.621643752071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C-BA4C-972D-5FB634A35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095487"/>
        <c:axId val="1739085855"/>
      </c:barChart>
      <c:catAx>
        <c:axId val="1739095487"/>
        <c:scaling>
          <c:orientation val="minMax"/>
        </c:scaling>
        <c:delete val="0"/>
        <c:axPos val="b"/>
        <c:numFmt formatCode="General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85855"/>
        <c:crosses val="autoZero"/>
        <c:auto val="1"/>
        <c:lblAlgn val="ctr"/>
        <c:lblOffset val="100"/>
        <c:noMultiLvlLbl val="0"/>
      </c:catAx>
      <c:valAx>
        <c:axId val="1739085855"/>
        <c:scaling>
          <c:orientation val="minMax"/>
        </c:scaling>
        <c:delete val="0"/>
        <c:axPos val="l"/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9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Projection--Delivery (Base Case)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MODEL!$A$15</c:f>
              <c:strCache>
                <c:ptCount val="1"/>
                <c:pt idx="0">
                  <c:v>Revenue--consensus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MODEL!$B$15:$K$15</c:f>
              <c:numCache>
                <c:formatCode>"$"#,##0_);\("$"#,##0\)</c:formatCode>
                <c:ptCount val="10"/>
                <c:pt idx="0" formatCode="&quot;$&quot;#,##0.00_);[Red]\(&quot;$&quot;#,##0.00\)">
                  <c:v>12204</c:v>
                </c:pt>
                <c:pt idx="1">
                  <c:v>13750</c:v>
                </c:pt>
                <c:pt idx="2">
                  <c:v>16743</c:v>
                </c:pt>
                <c:pt idx="3">
                  <c:v>19718</c:v>
                </c:pt>
                <c:pt idx="4">
                  <c:v>22848</c:v>
                </c:pt>
                <c:pt idx="5">
                  <c:v>25535</c:v>
                </c:pt>
                <c:pt idx="6">
                  <c:v>26275</c:v>
                </c:pt>
                <c:pt idx="7">
                  <c:v>27263.026479341734</c:v>
                </c:pt>
                <c:pt idx="8">
                  <c:v>27197.684947040929</c:v>
                </c:pt>
                <c:pt idx="9">
                  <c:v>26044.592621476342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5-2A4C-8390-6BA0A09AE84D}"/>
            </c:ext>
          </c:extLst>
        </c:ser>
        <c:ser>
          <c:idx val="1"/>
          <c:order val="1"/>
          <c:tx>
            <c:strRef>
              <c:f>MODEL!$A$16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MODEL!$B$16:$K$16</c:f>
            </c:numRef>
          </c:val>
          <c:extLst>
            <c:ext xmlns:c16="http://schemas.microsoft.com/office/drawing/2014/chart" uri="{C3380CC4-5D6E-409C-BE32-E72D297353CC}">
              <c16:uniqueId val="{00000001-E515-2A4C-8390-6BA0A09AE84D}"/>
            </c:ext>
          </c:extLst>
        </c:ser>
        <c:ser>
          <c:idx val="2"/>
          <c:order val="2"/>
          <c:tx>
            <c:strRef>
              <c:f>MODEL!$A$17</c:f>
              <c:strCache>
                <c:ptCount val="1"/>
                <c:pt idx="0">
                  <c:v>Change in growth rate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MODEL!$B$17:$K$17</c:f>
            </c:numRef>
          </c:val>
          <c:extLst>
            <c:ext xmlns:c16="http://schemas.microsoft.com/office/drawing/2014/chart" uri="{C3380CC4-5D6E-409C-BE32-E72D297353CC}">
              <c16:uniqueId val="{00000002-E515-2A4C-8390-6BA0A09AE84D}"/>
            </c:ext>
          </c:extLst>
        </c:ser>
        <c:ser>
          <c:idx val="3"/>
          <c:order val="3"/>
          <c:tx>
            <c:strRef>
              <c:f>MODEL!$A$18</c:f>
              <c:strCache>
                <c:ptCount val="1"/>
                <c:pt idx="0">
                  <c:v>Revenue--estimate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MODEL!$B$18:$K$18</c:f>
              <c:numCache>
                <c:formatCode>"$"#,##0_);\("$"#,##0\)</c:formatCode>
                <c:ptCount val="10"/>
                <c:pt idx="0" formatCode="&quot;$&quot;#,##0.00_);[Red]\(&quot;$&quot;#,##0.00\)">
                  <c:v>12204</c:v>
                </c:pt>
                <c:pt idx="1">
                  <c:v>13750</c:v>
                </c:pt>
                <c:pt idx="2" formatCode="&quot;$&quot;#,##0">
                  <c:v>9831.95652173913</c:v>
                </c:pt>
                <c:pt idx="3" formatCode="&quot;$&quot;#,##0">
                  <c:v>10385.065217391302</c:v>
                </c:pt>
                <c:pt idx="4" formatCode="&quot;$&quot;#,##0">
                  <c:v>11878.28260869565</c:v>
                </c:pt>
                <c:pt idx="5" formatCode="&quot;$&quot;#,##0">
                  <c:v>12820.586956521738</c:v>
                </c:pt>
                <c:pt idx="6" formatCode="&quot;$&quot;#,##0">
                  <c:v>13474.891304347826</c:v>
                </c:pt>
                <c:pt idx="7" formatCode="&quot;$&quot;#,##0">
                  <c:v>13268.456521739132</c:v>
                </c:pt>
                <c:pt idx="8" formatCode="&quot;$&quot;#,##0">
                  <c:v>12949.042298618133</c:v>
                </c:pt>
                <c:pt idx="9" formatCode="&quot;$&quot;#,##0">
                  <c:v>12500.372961752404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15-2A4C-8390-6BA0A09A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095487"/>
        <c:axId val="1739085855"/>
      </c:barChart>
      <c:catAx>
        <c:axId val="1739095487"/>
        <c:scaling>
          <c:orientation val="minMax"/>
        </c:scaling>
        <c:delete val="0"/>
        <c:axPos val="b"/>
        <c:numFmt formatCode="General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85855"/>
        <c:crosses val="autoZero"/>
        <c:auto val="1"/>
        <c:lblAlgn val="ctr"/>
        <c:lblOffset val="100"/>
        <c:noMultiLvlLbl val="0"/>
      </c:catAx>
      <c:valAx>
        <c:axId val="1739085855"/>
        <c:scaling>
          <c:orientation val="minMax"/>
        </c:scaling>
        <c:delete val="0"/>
        <c:axPos val="l"/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9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EBITDA Projection--Mobility (Base Case)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MODEL!$A$8</c:f>
              <c:strCache>
                <c:ptCount val="1"/>
                <c:pt idx="0">
                  <c:v>Adj EBITDA--Consensus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MODEL!$B$8:$K$8</c:f>
              <c:numCache>
                <c:formatCode>"$"#,##0_);\("$"#,##0\)</c:formatCode>
                <c:ptCount val="10"/>
                <c:pt idx="0">
                  <c:v>4963</c:v>
                </c:pt>
                <c:pt idx="1">
                  <c:v>6497</c:v>
                </c:pt>
                <c:pt idx="2" formatCode="&quot;$&quot;#,##0">
                  <c:v>8736</c:v>
                </c:pt>
                <c:pt idx="3" formatCode="&quot;$&quot;#,##0">
                  <c:v>11148</c:v>
                </c:pt>
                <c:pt idx="4" formatCode="&quot;$&quot;#,##0">
                  <c:v>13685</c:v>
                </c:pt>
                <c:pt idx="5">
                  <c:v>15813</c:v>
                </c:pt>
                <c:pt idx="6">
                  <c:v>17774</c:v>
                </c:pt>
                <c:pt idx="7">
                  <c:v>21024.137533857909</c:v>
                </c:pt>
                <c:pt idx="8">
                  <c:v>22344.864085854741</c:v>
                </c:pt>
                <c:pt idx="9">
                  <c:v>22764.53090951412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9149-ACD5-BA7980981B79}"/>
            </c:ext>
          </c:extLst>
        </c:ser>
        <c:ser>
          <c:idx val="1"/>
          <c:order val="1"/>
          <c:tx>
            <c:strRef>
              <c:f>MODEL!$A$9</c:f>
              <c:strCache>
                <c:ptCount val="1"/>
                <c:pt idx="0">
                  <c:v>Adj EBITDA Margin--Consensus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MODEL!$B$9:$K$9</c:f>
            </c:numRef>
          </c:val>
          <c:extLst>
            <c:ext xmlns:c16="http://schemas.microsoft.com/office/drawing/2014/chart" uri="{C3380CC4-5D6E-409C-BE32-E72D297353CC}">
              <c16:uniqueId val="{00000001-E83F-9149-ACD5-BA7980981B79}"/>
            </c:ext>
          </c:extLst>
        </c:ser>
        <c:ser>
          <c:idx val="2"/>
          <c:order val="2"/>
          <c:tx>
            <c:strRef>
              <c:f>MODEL!$A$10</c:f>
              <c:strCache>
                <c:ptCount val="1"/>
                <c:pt idx="0">
                  <c:v>Adj EBITDA Margin y/y--Consensus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MODEL!$B$10:$K$10</c:f>
            </c:numRef>
          </c:val>
          <c:extLst>
            <c:ext xmlns:c16="http://schemas.microsoft.com/office/drawing/2014/chart" uri="{C3380CC4-5D6E-409C-BE32-E72D297353CC}">
              <c16:uniqueId val="{00000002-E83F-9149-ACD5-BA7980981B79}"/>
            </c:ext>
          </c:extLst>
        </c:ser>
        <c:ser>
          <c:idx val="3"/>
          <c:order val="3"/>
          <c:tx>
            <c:strRef>
              <c:f>MODEL!$A$11</c:f>
              <c:strCache>
                <c:ptCount val="1"/>
                <c:pt idx="0">
                  <c:v>Adj EBITDA--Estimate (Consensus Margin View)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MODEL!$B$11:$K$11</c:f>
              <c:numCache>
                <c:formatCode>"$"#,##0_);\("$"#,##0\)</c:formatCode>
                <c:ptCount val="10"/>
                <c:pt idx="0">
                  <c:v>4963</c:v>
                </c:pt>
                <c:pt idx="1">
                  <c:v>6497</c:v>
                </c:pt>
                <c:pt idx="2" formatCode="&quot;$&quot;#,##0">
                  <c:v>8209.346118913576</c:v>
                </c:pt>
                <c:pt idx="3" formatCode="&quot;$&quot;#,##0">
                  <c:v>10164.226905928605</c:v>
                </c:pt>
                <c:pt idx="4" formatCode="&quot;$&quot;#,##0">
                  <c:v>11720.868361893075</c:v>
                </c:pt>
                <c:pt idx="5" formatCode="&quot;$&quot;#,##0">
                  <c:v>13339.572260900421</c:v>
                </c:pt>
                <c:pt idx="6" formatCode="&quot;$&quot;#,##0">
                  <c:v>14714.979623952095</c:v>
                </c:pt>
                <c:pt idx="7" formatCode="&quot;$&quot;#,##0">
                  <c:v>16009.169276226436</c:v>
                </c:pt>
                <c:pt idx="8" formatCode="&quot;$&quot;#,##0">
                  <c:v>17219.232280338292</c:v>
                </c:pt>
                <c:pt idx="9" formatCode="&quot;$&quot;#,##0">
                  <c:v>18371.668802479693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9149-ACD5-BA798098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095487"/>
        <c:axId val="1739085855"/>
      </c:barChart>
      <c:catAx>
        <c:axId val="1739095487"/>
        <c:scaling>
          <c:orientation val="minMax"/>
        </c:scaling>
        <c:delete val="0"/>
        <c:axPos val="b"/>
        <c:numFmt formatCode="General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85855"/>
        <c:crosses val="autoZero"/>
        <c:auto val="1"/>
        <c:lblAlgn val="ctr"/>
        <c:lblOffset val="100"/>
        <c:noMultiLvlLbl val="0"/>
      </c:catAx>
      <c:valAx>
        <c:axId val="1739085855"/>
        <c:scaling>
          <c:orientation val="minMax"/>
        </c:scaling>
        <c:delete val="0"/>
        <c:axPos val="l"/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9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EBITDA</a:t>
            </a:r>
            <a:r>
              <a:rPr lang="en-US" baseline="0"/>
              <a:t> Projection--Delivery (Base Case)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MODEL!$A$19</c:f>
              <c:strCache>
                <c:ptCount val="1"/>
                <c:pt idx="0">
                  <c:v>Adj EBITDA--Consensus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MODEL!$B$19:$K$19</c:f>
              <c:numCache>
                <c:formatCode>"$"#,##0_);\("$"#,##0\)</c:formatCode>
                <c:ptCount val="10"/>
                <c:pt idx="0">
                  <c:v>1506</c:v>
                </c:pt>
                <c:pt idx="1">
                  <c:v>2471</c:v>
                </c:pt>
                <c:pt idx="2" formatCode="&quot;$&quot;#,##0">
                  <c:v>3520</c:v>
                </c:pt>
                <c:pt idx="3" formatCode="&quot;$&quot;#,##0">
                  <c:v>4522</c:v>
                </c:pt>
                <c:pt idx="4" formatCode="&quot;$&quot;#,##0">
                  <c:v>5821</c:v>
                </c:pt>
                <c:pt idx="5">
                  <c:v>6951</c:v>
                </c:pt>
                <c:pt idx="6">
                  <c:v>7685</c:v>
                </c:pt>
                <c:pt idx="7">
                  <c:v>8534.5516156074755</c:v>
                </c:pt>
                <c:pt idx="8">
                  <c:v>9083.2852009768612</c:v>
                </c:pt>
                <c:pt idx="9">
                  <c:v>9213.8802539343869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8-8D47-BC52-22B04EFA6B67}"/>
            </c:ext>
          </c:extLst>
        </c:ser>
        <c:ser>
          <c:idx val="1"/>
          <c:order val="1"/>
          <c:tx>
            <c:strRef>
              <c:f>MODEL!$A$20</c:f>
              <c:strCache>
                <c:ptCount val="1"/>
                <c:pt idx="0">
                  <c:v>Adj EBITDA Margin--Consensus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MODEL!$B$20:$K$20</c:f>
            </c:numRef>
          </c:val>
          <c:extLst>
            <c:ext xmlns:c16="http://schemas.microsoft.com/office/drawing/2014/chart" uri="{C3380CC4-5D6E-409C-BE32-E72D297353CC}">
              <c16:uniqueId val="{00000001-5108-8D47-BC52-22B04EFA6B67}"/>
            </c:ext>
          </c:extLst>
        </c:ser>
        <c:ser>
          <c:idx val="2"/>
          <c:order val="2"/>
          <c:tx>
            <c:strRef>
              <c:f>MODEL!$A$21</c:f>
              <c:strCache>
                <c:ptCount val="1"/>
                <c:pt idx="0">
                  <c:v>Adj EBITDA Margin y/y--Consensus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MODEL!$B$21:$K$21</c:f>
            </c:numRef>
          </c:val>
          <c:extLst>
            <c:ext xmlns:c16="http://schemas.microsoft.com/office/drawing/2014/chart" uri="{C3380CC4-5D6E-409C-BE32-E72D297353CC}">
              <c16:uniqueId val="{00000002-5108-8D47-BC52-22B04EFA6B67}"/>
            </c:ext>
          </c:extLst>
        </c:ser>
        <c:ser>
          <c:idx val="3"/>
          <c:order val="3"/>
          <c:tx>
            <c:strRef>
              <c:f>MODEL!$A$22</c:f>
              <c:strCache>
                <c:ptCount val="1"/>
                <c:pt idx="0">
                  <c:v>Adj EBITDA--Estimate (Consensus Margin View)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MODEL!$B$3:$K$3</c:f>
              <c:numCache>
                <c:formatCode>General"A"</c:formatCode>
                <c:ptCount val="10"/>
                <c:pt idx="0">
                  <c:v>2023</c:v>
                </c:pt>
                <c:pt idx="1">
                  <c:v>2024</c:v>
                </c:pt>
                <c:pt idx="2" formatCode="General&quot;E&quot;">
                  <c:v>2025</c:v>
                </c:pt>
                <c:pt idx="3" formatCode="General&quot;E&quot;">
                  <c:v>2026</c:v>
                </c:pt>
                <c:pt idx="4" formatCode="General&quot;E&quot;">
                  <c:v>2027</c:v>
                </c:pt>
                <c:pt idx="5" formatCode="General&quot;E&quot;">
                  <c:v>2028</c:v>
                </c:pt>
                <c:pt idx="6" formatCode="General&quot;E&quot;">
                  <c:v>2029</c:v>
                </c:pt>
                <c:pt idx="7" formatCode="General&quot;E&quot;">
                  <c:v>2030</c:v>
                </c:pt>
                <c:pt idx="8" formatCode="General&quot;E&quot;">
                  <c:v>2031</c:v>
                </c:pt>
                <c:pt idx="9" formatCode="General&quot;E&quot;">
                  <c:v>2032</c:v>
                </c:pt>
              </c:numCache>
            </c:numRef>
          </c:cat>
          <c:val>
            <c:numRef>
              <c:f>MODEL!$B$22:$K$22</c:f>
              <c:numCache>
                <c:formatCode>"$"#,##0_);\("$"#,##0\)</c:formatCode>
                <c:ptCount val="10"/>
                <c:pt idx="0">
                  <c:v>1506</c:v>
                </c:pt>
                <c:pt idx="1">
                  <c:v>2471</c:v>
                </c:pt>
                <c:pt idx="2">
                  <c:v>3520</c:v>
                </c:pt>
                <c:pt idx="3">
                  <c:v>4522</c:v>
                </c:pt>
                <c:pt idx="4">
                  <c:v>5821</c:v>
                </c:pt>
                <c:pt idx="5">
                  <c:v>6951</c:v>
                </c:pt>
                <c:pt idx="6">
                  <c:v>7685</c:v>
                </c:pt>
                <c:pt idx="7">
                  <c:v>8534.5516156074755</c:v>
                </c:pt>
                <c:pt idx="8">
                  <c:v>9083.2852009768612</c:v>
                </c:pt>
                <c:pt idx="9">
                  <c:v>9213.8802539343869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8-8D47-BC52-22B04EFA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095487"/>
        <c:axId val="1739085855"/>
      </c:barChart>
      <c:catAx>
        <c:axId val="1739095487"/>
        <c:scaling>
          <c:orientation val="minMax"/>
        </c:scaling>
        <c:delete val="0"/>
        <c:axPos val="b"/>
        <c:numFmt formatCode="General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85855"/>
        <c:crosses val="autoZero"/>
        <c:auto val="1"/>
        <c:lblAlgn val="ctr"/>
        <c:lblOffset val="100"/>
        <c:noMultiLvlLbl val="0"/>
      </c:catAx>
      <c:valAx>
        <c:axId val="1739085855"/>
        <c:scaling>
          <c:orientation val="minMax"/>
        </c:scaling>
        <c:delete val="0"/>
        <c:axPos val="l"/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09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Free Cash Flow</a:t>
            </a:r>
            <a:r>
              <a:rPr lang="en-US" baseline="0"/>
              <a:t> Estimate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MODEL!$A$64</c:f>
              <c:strCache>
                <c:ptCount val="1"/>
                <c:pt idx="0">
                  <c:v>Free Cash Flow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MODEL!$B$49:$I$49</c:f>
              <c:numCache>
                <c:formatCode>General"E"</c:formatCode>
                <c:ptCount val="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</c:numCache>
            </c:numRef>
          </c:cat>
          <c:val>
            <c:numRef>
              <c:f>MODEL!$B$64:$I$64</c:f>
              <c:numCache>
                <c:formatCode>"$"#,##0_);\("$"#,##0\)</c:formatCode>
                <c:ptCount val="8"/>
                <c:pt idx="0">
                  <c:v>11361.985787558651</c:v>
                </c:pt>
                <c:pt idx="1">
                  <c:v>9942.2279195289975</c:v>
                </c:pt>
                <c:pt idx="2">
                  <c:v>13493.677535223233</c:v>
                </c:pt>
                <c:pt idx="3">
                  <c:v>15657.944061018559</c:v>
                </c:pt>
                <c:pt idx="4">
                  <c:v>17192.935271902985</c:v>
                </c:pt>
                <c:pt idx="5">
                  <c:v>19729.925058449309</c:v>
                </c:pt>
                <c:pt idx="6">
                  <c:v>21028.891754255954</c:v>
                </c:pt>
                <c:pt idx="7">
                  <c:v>22157.578677152887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0-D04C-AC74-B99E70904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275312"/>
        <c:axId val="863277024"/>
      </c:barChart>
      <c:catAx>
        <c:axId val="863275312"/>
        <c:scaling>
          <c:orientation val="minMax"/>
        </c:scaling>
        <c:delete val="0"/>
        <c:axPos val="b"/>
        <c:numFmt formatCode="General&quot;E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277024"/>
        <c:crosses val="autoZero"/>
        <c:auto val="1"/>
        <c:lblAlgn val="ctr"/>
        <c:lblOffset val="100"/>
        <c:noMultiLvlLbl val="0"/>
      </c:catAx>
      <c:valAx>
        <c:axId val="863277024"/>
        <c:scaling>
          <c:orientation val="minMax"/>
        </c:scaling>
        <c:delete val="0"/>
        <c:axPos val="l"/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27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Take Rate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Mobility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551294409670115E-2"/>
                  <c:y val="-7.367613645531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E1-6F4F-A315-99447375842B}"/>
                </c:ext>
              </c:extLst>
            </c:dLbl>
            <c:dLbl>
              <c:idx val="2"/>
              <c:layout>
                <c:manualLayout>
                  <c:x val="-6.6247935856624307E-2"/>
                  <c:y val="-3.9140447491884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E1-6F4F-A315-99447375842B}"/>
                </c:ext>
              </c:extLst>
            </c:dLbl>
            <c:dLbl>
              <c:idx val="3"/>
              <c:layout>
                <c:manualLayout>
                  <c:x val="-8.3706890815819848E-2"/>
                  <c:y val="2.0721413378056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E1-6F4F-A315-99447375842B}"/>
                </c:ext>
              </c:extLst>
            </c:dLbl>
            <c:dLbl>
              <c:idx val="4"/>
              <c:layout>
                <c:manualLayout>
                  <c:x val="-8.8944577303578534E-2"/>
                  <c:y val="-9.20951705691395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E1-6F4F-A315-99447375842B}"/>
                </c:ext>
              </c:extLst>
            </c:dLbl>
            <c:dLbl>
              <c:idx val="5"/>
              <c:layout>
                <c:manualLayout>
                  <c:x val="-9.4182263791337165E-2"/>
                  <c:y val="-2.30237926422847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E1-6F4F-A315-99447375842B}"/>
                </c:ext>
              </c:extLst>
            </c:dLbl>
            <c:dLbl>
              <c:idx val="6"/>
              <c:layout>
                <c:manualLayout>
                  <c:x val="-7.6723308832141637E-2"/>
                  <c:y val="-2.7628551170741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E1-6F4F-A315-99447375842B}"/>
                </c:ext>
              </c:extLst>
            </c:dLbl>
            <c:dLbl>
              <c:idx val="8"/>
              <c:layout>
                <c:manualLayout>
                  <c:x val="-6.2756144864785271E-2"/>
                  <c:y val="-2.9930930434970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E1-6F4F-A315-99447375842B}"/>
                </c:ext>
              </c:extLst>
            </c:dLbl>
            <c:dLbl>
              <c:idx val="9"/>
              <c:layout>
                <c:manualLayout>
                  <c:x val="-7.6723308832141693E-2"/>
                  <c:y val="2.9930930434970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E1-6F4F-A315-99447375842B}"/>
                </c:ext>
              </c:extLst>
            </c:dLbl>
            <c:dLbl>
              <c:idx val="11"/>
              <c:layout>
                <c:manualLayout>
                  <c:x val="-5.4026667385187563E-2"/>
                  <c:y val="3.6838068227655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E1-6F4F-A315-99447375842B}"/>
                </c:ext>
              </c:extLst>
            </c:dLbl>
            <c:dLbl>
              <c:idx val="12"/>
              <c:layout>
                <c:manualLayout>
                  <c:x val="-4.7043085401509227E-2"/>
                  <c:y val="-3.6838068227655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E1-6F4F-A315-99447375842B}"/>
                </c:ext>
              </c:extLst>
            </c:dLbl>
            <c:dLbl>
              <c:idx val="13"/>
              <c:layout>
                <c:manualLayout>
                  <c:x val="-6.1010249368865781E-2"/>
                  <c:y val="3.2233309699198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E1-6F4F-A315-99447375842B}"/>
                </c:ext>
              </c:extLst>
            </c:dLbl>
            <c:dLbl>
              <c:idx val="14"/>
              <c:layout>
                <c:manualLayout>
                  <c:x val="-7.1485622344382979E-2"/>
                  <c:y val="-3.453568896342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E1-6F4F-A315-99447375842B}"/>
                </c:ext>
              </c:extLst>
            </c:dLbl>
            <c:dLbl>
              <c:idx val="15"/>
              <c:layout>
                <c:manualLayout>
                  <c:x val="-6.9739726848463426E-2"/>
                  <c:y val="4.3745206020341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E1-6F4F-A315-99447375842B}"/>
                </c:ext>
              </c:extLst>
            </c:dLbl>
            <c:dLbl>
              <c:idx val="16"/>
              <c:layout>
                <c:manualLayout>
                  <c:x val="-6.9739726848463426E-2"/>
                  <c:y val="-3.4535688963427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E1-6F4F-A315-99447375842B}"/>
                </c:ext>
              </c:extLst>
            </c:dLbl>
            <c:dLbl>
              <c:idx val="17"/>
              <c:layout>
                <c:manualLayout>
                  <c:x val="-4.0057578808622908E-2"/>
                  <c:y val="4.1442826756112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E1-6F4F-A315-994473758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Eco'!$B$21:$S$21</c:f>
              <c:strCache>
                <c:ptCount val="18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Q1 '23</c:v>
                </c:pt>
                <c:pt idx="6">
                  <c:v>Q2 '23</c:v>
                </c:pt>
                <c:pt idx="7">
                  <c:v>Q3 '23</c:v>
                </c:pt>
                <c:pt idx="8">
                  <c:v>Q4 '23</c:v>
                </c:pt>
                <c:pt idx="9">
                  <c:v>2023A</c:v>
                </c:pt>
                <c:pt idx="10">
                  <c:v>Q1 '24</c:v>
                </c:pt>
                <c:pt idx="11">
                  <c:v>Q2 '24</c:v>
                </c:pt>
                <c:pt idx="12">
                  <c:v>Q3 '24</c:v>
                </c:pt>
                <c:pt idx="13">
                  <c:v>Q4 '24</c:v>
                </c:pt>
                <c:pt idx="14">
                  <c:v>2024A</c:v>
                </c:pt>
                <c:pt idx="15">
                  <c:v>Q1 '25</c:v>
                </c:pt>
                <c:pt idx="16">
                  <c:v>Q2 '25</c:v>
                </c:pt>
                <c:pt idx="17">
                  <c:v>Q3 '25</c:v>
                </c:pt>
              </c:strCache>
            </c:strRef>
          </c:cat>
          <c:val>
            <c:numRef>
              <c:f>'Segment Level Info &amp; Unit Eco'!$B$13:$S$13</c:f>
              <c:numCache>
                <c:formatCode>0.00%</c:formatCode>
                <c:ptCount val="18"/>
                <c:pt idx="0">
                  <c:v>0.22077421530604871</c:v>
                </c:pt>
                <c:pt idx="1">
                  <c:v>0.21372233400402416</c:v>
                </c:pt>
                <c:pt idx="2">
                  <c:v>0.22878935898399338</c:v>
                </c:pt>
                <c:pt idx="3">
                  <c:v>0.18978600283873787</c:v>
                </c:pt>
                <c:pt idx="4">
                  <c:v>0.26638184752682048</c:v>
                </c:pt>
                <c:pt idx="5">
                  <c:v>0.28903277484814099</c:v>
                </c:pt>
                <c:pt idx="6">
                  <c:v>0.29256336681013867</c:v>
                </c:pt>
                <c:pt idx="7">
                  <c:v>0.28324861755013125</c:v>
                </c:pt>
                <c:pt idx="8">
                  <c:v>0.2871143375680581</c:v>
                </c:pt>
                <c:pt idx="9">
                  <c:v>0.28784997895409087</c:v>
                </c:pt>
                <c:pt idx="10">
                  <c:v>0.30171397964649171</c:v>
                </c:pt>
                <c:pt idx="11">
                  <c:v>0.29843339495961857</c:v>
                </c:pt>
                <c:pt idx="12">
                  <c:v>0.30516141319874296</c:v>
                </c:pt>
                <c:pt idx="13">
                  <c:v>0.3031406263707343</c:v>
                </c:pt>
                <c:pt idx="14">
                  <c:v>0.30216563885141645</c:v>
                </c:pt>
                <c:pt idx="15">
                  <c:v>0.30667547918043619</c:v>
                </c:pt>
                <c:pt idx="16">
                  <c:v>0.3067081895463345</c:v>
                </c:pt>
                <c:pt idx="17">
                  <c:v>0.30673736481084041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5-6147-93D1-47F937779AD5}"/>
            </c:ext>
          </c:extLst>
        </c:ser>
        <c:ser>
          <c:idx val="1"/>
          <c:order val="1"/>
          <c:tx>
            <c:v>Delivery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381081421417381E-2"/>
                  <c:y val="-4.4913618174510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8E1-6F4F-A315-99447375842B}"/>
                </c:ext>
              </c:extLst>
            </c:dLbl>
            <c:dLbl>
              <c:idx val="1"/>
              <c:layout>
                <c:manualLayout>
                  <c:x val="5.3682849697368946E-4"/>
                  <c:y val="3.1064897545029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8E1-6F4F-A315-99447375842B}"/>
                </c:ext>
              </c:extLst>
            </c:dLbl>
            <c:dLbl>
              <c:idx val="2"/>
              <c:layout>
                <c:manualLayout>
                  <c:x val="-1.2173290713320661E-2"/>
                  <c:y val="4.0274414601943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8E1-6F4F-A315-99447375842B}"/>
                </c:ext>
              </c:extLst>
            </c:dLbl>
            <c:dLbl>
              <c:idx val="3"/>
              <c:layout>
                <c:manualLayout>
                  <c:x val="-1.9156872696998905E-2"/>
                  <c:y val="5.1786310923085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8E1-6F4F-A315-99447375842B}"/>
                </c:ext>
              </c:extLst>
            </c:dLbl>
            <c:dLbl>
              <c:idx val="4"/>
              <c:layout>
                <c:manualLayout>
                  <c:x val="-3.1378141168435784E-2"/>
                  <c:y val="6.0995827979999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8E1-6F4F-A315-99447375842B}"/>
                </c:ext>
              </c:extLst>
            </c:dLbl>
            <c:dLbl>
              <c:idx val="5"/>
              <c:layout>
                <c:manualLayout>
                  <c:x val="-3.3124036664355302E-2"/>
                  <c:y val="-3.1099342589139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8E1-6F4F-A315-99447375842B}"/>
                </c:ext>
              </c:extLst>
            </c:dLbl>
            <c:dLbl>
              <c:idx val="6"/>
              <c:layout>
                <c:manualLayout>
                  <c:x val="-4.8837096127631284E-2"/>
                  <c:y val="5.1786310923085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8E1-6F4F-A315-99447375842B}"/>
                </c:ext>
              </c:extLst>
            </c:dLbl>
            <c:dLbl>
              <c:idx val="7"/>
              <c:layout>
                <c:manualLayout>
                  <c:x val="-3.8361723152113961E-2"/>
                  <c:y val="3.3367276809257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8E1-6F4F-A315-99447375842B}"/>
                </c:ext>
              </c:extLst>
            </c:dLbl>
            <c:dLbl>
              <c:idx val="8"/>
              <c:layout>
                <c:manualLayout>
                  <c:x val="-4.3599409639872688E-2"/>
                  <c:y val="-3.1099342589139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E1-6F4F-A315-99447375842B}"/>
                </c:ext>
              </c:extLst>
            </c:dLbl>
            <c:dLbl>
              <c:idx val="10"/>
              <c:layout>
                <c:manualLayout>
                  <c:x val="-3.8361723152113898E-2"/>
                  <c:y val="-3.570410111759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8E1-6F4F-A315-99447375842B}"/>
                </c:ext>
              </c:extLst>
            </c:dLbl>
            <c:dLbl>
              <c:idx val="11"/>
              <c:layout>
                <c:manualLayout>
                  <c:x val="-5.2328887119470389E-2"/>
                  <c:y val="5.1786310923085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E1-6F4F-A315-99447375842B}"/>
                </c:ext>
              </c:extLst>
            </c:dLbl>
            <c:dLbl>
              <c:idx val="12"/>
              <c:layout>
                <c:manualLayout>
                  <c:x val="-4.3599409639872626E-2"/>
                  <c:y val="-4.26112389102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8E1-6F4F-A315-99447375842B}"/>
                </c:ext>
              </c:extLst>
            </c:dLbl>
            <c:dLbl>
              <c:idx val="13"/>
              <c:layout>
                <c:manualLayout>
                  <c:x val="-4.3599409639872626E-2"/>
                  <c:y val="5.40886901873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E1-6F4F-A315-99447375842B}"/>
                </c:ext>
              </c:extLst>
            </c:dLbl>
            <c:dLbl>
              <c:idx val="14"/>
              <c:layout>
                <c:manualLayout>
                  <c:x val="-2.9632245672516197E-2"/>
                  <c:y val="-4.4913618174510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8E1-6F4F-A315-99447375842B}"/>
                </c:ext>
              </c:extLst>
            </c:dLbl>
            <c:dLbl>
              <c:idx val="15"/>
              <c:layout>
                <c:manualLayout>
                  <c:x val="-4.0107618648033645E-2"/>
                  <c:y val="4.0274414601943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E1-6F4F-A315-99447375842B}"/>
                </c:ext>
              </c:extLst>
            </c:dLbl>
            <c:dLbl>
              <c:idx val="16"/>
              <c:layout>
                <c:manualLayout>
                  <c:x val="-4.0107618648033513E-2"/>
                  <c:y val="-3.5704101117596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E1-6F4F-A315-99447375842B}"/>
                </c:ext>
              </c:extLst>
            </c:dLbl>
            <c:dLbl>
              <c:idx val="17"/>
              <c:layout>
                <c:manualLayout>
                  <c:x val="-1.5663157095951667E-2"/>
                  <c:y val="4.718155239462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E1-6F4F-A315-994473758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Eco'!$B$21:$S$21</c:f>
              <c:strCache>
                <c:ptCount val="18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Q1 '23</c:v>
                </c:pt>
                <c:pt idx="6">
                  <c:v>Q2 '23</c:v>
                </c:pt>
                <c:pt idx="7">
                  <c:v>Q3 '23</c:v>
                </c:pt>
                <c:pt idx="8">
                  <c:v>Q4 '23</c:v>
                </c:pt>
                <c:pt idx="9">
                  <c:v>2023A</c:v>
                </c:pt>
                <c:pt idx="10">
                  <c:v>Q1 '24</c:v>
                </c:pt>
                <c:pt idx="11">
                  <c:v>Q2 '24</c:v>
                </c:pt>
                <c:pt idx="12">
                  <c:v>Q3 '24</c:v>
                </c:pt>
                <c:pt idx="13">
                  <c:v>Q4 '24</c:v>
                </c:pt>
                <c:pt idx="14">
                  <c:v>2024A</c:v>
                </c:pt>
                <c:pt idx="15">
                  <c:v>Q1 '25</c:v>
                </c:pt>
                <c:pt idx="16">
                  <c:v>Q2 '25</c:v>
                </c:pt>
                <c:pt idx="17">
                  <c:v>Q3 '25</c:v>
                </c:pt>
              </c:strCache>
            </c:strRef>
          </c:cat>
          <c:val>
            <c:numRef>
              <c:f>'Segment Level Info &amp; Unit Eco'!$B$26:$S$26</c:f>
              <c:numCache>
                <c:formatCode>0.00%</c:formatCode>
                <c:ptCount val="18"/>
                <c:pt idx="0">
                  <c:v>9.5845435029675463E-2</c:v>
                </c:pt>
                <c:pt idx="1">
                  <c:v>9.5451721995996969E-2</c:v>
                </c:pt>
                <c:pt idx="2">
                  <c:v>0.12908345456950138</c:v>
                </c:pt>
                <c:pt idx="3">
                  <c:v>0.16191306031561623</c:v>
                </c:pt>
                <c:pt idx="4">
                  <c:v>0.19543547635268385</c:v>
                </c:pt>
                <c:pt idx="5">
                  <c:v>0.20584320511114068</c:v>
                </c:pt>
                <c:pt idx="6">
                  <c:v>0.19602436678422572</c:v>
                </c:pt>
                <c:pt idx="7">
                  <c:v>0.18236609916739158</c:v>
                </c:pt>
                <c:pt idx="8">
                  <c:v>0.1833519487390512</c:v>
                </c:pt>
                <c:pt idx="9">
                  <c:v>0.19150739101779493</c:v>
                </c:pt>
                <c:pt idx="10">
                  <c:v>0.18159218034917227</c:v>
                </c:pt>
                <c:pt idx="11">
                  <c:v>0.18167273529736291</c:v>
                </c:pt>
                <c:pt idx="12">
                  <c:v>0.18592937898515779</c:v>
                </c:pt>
                <c:pt idx="13">
                  <c:v>0.18746894564245256</c:v>
                </c:pt>
                <c:pt idx="14">
                  <c:v>0.18428177017717853</c:v>
                </c:pt>
                <c:pt idx="15">
                  <c:v>0.18535603867105069</c:v>
                </c:pt>
                <c:pt idx="16">
                  <c:v>0.18873654182387042</c:v>
                </c:pt>
                <c:pt idx="17">
                  <c:v>0.19196466855329733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5-6147-93D1-47F937779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8640735"/>
        <c:axId val="1369037263"/>
      </c:lineChart>
      <c:catAx>
        <c:axId val="136864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037263"/>
        <c:crosses val="autoZero"/>
        <c:auto val="1"/>
        <c:lblAlgn val="ctr"/>
        <c:lblOffset val="100"/>
        <c:noMultiLvlLbl val="0"/>
      </c:catAx>
      <c:valAx>
        <c:axId val="1369037263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640735"/>
        <c:crosses val="autoZero"/>
        <c:crossBetween val="between"/>
        <c:majorUnit val="0.0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Implied Downside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MODEL!$R$79:$R$81</c:f>
              <c:strCache>
                <c:ptCount val="3"/>
                <c:pt idx="0">
                  <c:v>Bull</c:v>
                </c:pt>
                <c:pt idx="1">
                  <c:v>Base</c:v>
                </c:pt>
                <c:pt idx="2">
                  <c:v>Bear</c:v>
                </c:pt>
              </c:strCache>
            </c:strRef>
          </c:cat>
          <c:val>
            <c:numRef>
              <c:f>MODEL!$S$79:$S$81</c:f>
              <c:numCache>
                <c:formatCode>General</c:formatCode>
                <c:ptCount val="3"/>
                <c:pt idx="0">
                  <c:v>-0.22063894856465549</c:v>
                </c:pt>
                <c:pt idx="1">
                  <c:v>-0.23194427671454509</c:v>
                </c:pt>
                <c:pt idx="2">
                  <c:v>-0.24324960486443459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9-9248-BCF3-00B4C480B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8604096"/>
        <c:axId val="921306672"/>
      </c:barChart>
      <c:catAx>
        <c:axId val="928604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21306672"/>
        <c:crosses val="autoZero"/>
        <c:auto val="1"/>
        <c:lblAlgn val="ctr"/>
        <c:lblOffset val="100"/>
        <c:noMultiLvlLbl val="0"/>
      </c:catAx>
      <c:valAx>
        <c:axId val="92130667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60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  <a:r>
              <a:rPr lang="en-US" baseline="0"/>
              <a:t> Growth Y/Y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Mobility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'Segment Level Info &amp; Unit Eco'!$B$21:$S$21</c:f>
              <c:strCache>
                <c:ptCount val="18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Q1 '23</c:v>
                </c:pt>
                <c:pt idx="6">
                  <c:v>Q2 '23</c:v>
                </c:pt>
                <c:pt idx="7">
                  <c:v>Q3 '23</c:v>
                </c:pt>
                <c:pt idx="8">
                  <c:v>Q4 '23</c:v>
                </c:pt>
                <c:pt idx="9">
                  <c:v>2023A</c:v>
                </c:pt>
                <c:pt idx="10">
                  <c:v>Q1 '24</c:v>
                </c:pt>
                <c:pt idx="11">
                  <c:v>Q2 '24</c:v>
                </c:pt>
                <c:pt idx="12">
                  <c:v>Q3 '24</c:v>
                </c:pt>
                <c:pt idx="13">
                  <c:v>Q4 '24</c:v>
                </c:pt>
                <c:pt idx="14">
                  <c:v>2024A</c:v>
                </c:pt>
                <c:pt idx="15">
                  <c:v>Q1 '25</c:v>
                </c:pt>
                <c:pt idx="16">
                  <c:v>Q2 '25</c:v>
                </c:pt>
                <c:pt idx="17">
                  <c:v>Q3 '25</c:v>
                </c:pt>
              </c:strCache>
            </c:strRef>
          </c:cat>
          <c:val>
            <c:numRef>
              <c:f>'Segment Level Info &amp; Unit Eco'!$C$11:$S$11</c:f>
              <c:numCache>
                <c:formatCode>0.00%</c:formatCode>
                <c:ptCount val="17"/>
                <c:pt idx="0">
                  <c:v>0.15897435897435908</c:v>
                </c:pt>
                <c:pt idx="1">
                  <c:v>-0.426755789870081</c:v>
                </c:pt>
                <c:pt idx="2">
                  <c:v>0.14189522089012985</c:v>
                </c:pt>
                <c:pt idx="3">
                  <c:v>1.0176902056666188</c:v>
                </c:pt>
                <c:pt idx="4">
                  <c:v>0.71961874503574275</c:v>
                </c:pt>
                <c:pt idx="5">
                  <c:v>0.37742752603433716</c:v>
                </c:pt>
                <c:pt idx="6">
                  <c:v>0.32679225536368395</c:v>
                </c:pt>
                <c:pt idx="7">
                  <c:v>0.33873307543520315</c:v>
                </c:pt>
                <c:pt idx="8">
                  <c:v>0.41364316772400023</c:v>
                </c:pt>
                <c:pt idx="9">
                  <c:v>0.30092378752886839</c:v>
                </c:pt>
                <c:pt idx="10">
                  <c:v>0.25337147527584802</c:v>
                </c:pt>
                <c:pt idx="11">
                  <c:v>0.26385328337605984</c:v>
                </c:pt>
                <c:pt idx="12">
                  <c:v>0.24814881704894343</c:v>
                </c:pt>
                <c:pt idx="13">
                  <c:v>0.2649757966922146</c:v>
                </c:pt>
                <c:pt idx="14">
                  <c:v>0.15320433161725555</c:v>
                </c:pt>
                <c:pt idx="15">
                  <c:v>0.18813172481252027</c:v>
                </c:pt>
                <c:pt idx="16">
                  <c:v>0.18829475057059009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3-BC4C-B54E-18CE2701D56D}"/>
            </c:ext>
          </c:extLst>
        </c:ser>
        <c:ser>
          <c:idx val="1"/>
          <c:order val="1"/>
          <c:tx>
            <c:v>Delivery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'Segment Level Info &amp; Unit Eco'!$B$21:$S$21</c:f>
              <c:strCache>
                <c:ptCount val="18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Q1 '23</c:v>
                </c:pt>
                <c:pt idx="6">
                  <c:v>Q2 '23</c:v>
                </c:pt>
                <c:pt idx="7">
                  <c:v>Q3 '23</c:v>
                </c:pt>
                <c:pt idx="8">
                  <c:v>Q4 '23</c:v>
                </c:pt>
                <c:pt idx="9">
                  <c:v>2023A</c:v>
                </c:pt>
                <c:pt idx="10">
                  <c:v>Q1 '24</c:v>
                </c:pt>
                <c:pt idx="11">
                  <c:v>Q2 '24</c:v>
                </c:pt>
                <c:pt idx="12">
                  <c:v>Q3 '24</c:v>
                </c:pt>
                <c:pt idx="13">
                  <c:v>Q4 '24</c:v>
                </c:pt>
                <c:pt idx="14">
                  <c:v>2024A</c:v>
                </c:pt>
                <c:pt idx="15">
                  <c:v>Q1 '25</c:v>
                </c:pt>
                <c:pt idx="16">
                  <c:v>Q2 '25</c:v>
                </c:pt>
                <c:pt idx="17">
                  <c:v>Q3 '25</c:v>
                </c:pt>
              </c:strCache>
            </c:strRef>
          </c:cat>
          <c:val>
            <c:numRef>
              <c:f>'Segment Level Info &amp; Unit Eco'!$C$23:$S$23</c:f>
              <c:numCache>
                <c:formatCode>0.00%</c:formatCode>
                <c:ptCount val="17"/>
                <c:pt idx="0">
                  <c:v>0.82213438735177857</c:v>
                </c:pt>
                <c:pt idx="1">
                  <c:v>1.8228488792480118</c:v>
                </c:pt>
                <c:pt idx="2">
                  <c:v>1.141905737704918</c:v>
                </c:pt>
                <c:pt idx="3">
                  <c:v>0.30363549390098066</c:v>
                </c:pt>
                <c:pt idx="4">
                  <c:v>0.23128980891719753</c:v>
                </c:pt>
                <c:pt idx="5">
                  <c:v>0.13727678571428581</c:v>
                </c:pt>
                <c:pt idx="6">
                  <c:v>5.9566787003610067E-2</c:v>
                </c:pt>
                <c:pt idx="7">
                  <c:v>6.4141931081542092E-2</c:v>
                </c:pt>
                <c:pt idx="8">
                  <c:v>0.11953031831942029</c:v>
                </c:pt>
                <c:pt idx="9">
                  <c:v>3.9120594891690841E-2</c:v>
                </c:pt>
                <c:pt idx="10">
                  <c:v>7.7199869152764222E-2</c:v>
                </c:pt>
                <c:pt idx="11">
                  <c:v>0.18228279386712098</c:v>
                </c:pt>
                <c:pt idx="12">
                  <c:v>0.20968259057390193</c:v>
                </c:pt>
                <c:pt idx="13">
                  <c:v>0.12667977712225498</c:v>
                </c:pt>
                <c:pt idx="14">
                  <c:v>0.17517112632233967</c:v>
                </c:pt>
                <c:pt idx="15">
                  <c:v>0.24567263893106595</c:v>
                </c:pt>
                <c:pt idx="16">
                  <c:v>0.29020172910662834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3-BC4C-B54E-18CE2701D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8640735"/>
        <c:axId val="1369037263"/>
      </c:lineChart>
      <c:catAx>
        <c:axId val="136864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037263"/>
        <c:crosses val="autoZero"/>
        <c:auto val="1"/>
        <c:lblAlgn val="ctr"/>
        <c:lblOffset val="100"/>
        <c:noMultiLvlLbl val="0"/>
      </c:catAx>
      <c:valAx>
        <c:axId val="136903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640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</a:t>
            </a:r>
            <a:r>
              <a:rPr lang="en-US" baseline="0"/>
              <a:t> Bookings Growth Y/Y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Mobility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9239044524457748E-2"/>
                  <c:y val="3.9289175981475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8E-7341-8E0E-287E8D62C373}"/>
                </c:ext>
              </c:extLst>
            </c:dLbl>
            <c:dLbl>
              <c:idx val="6"/>
              <c:layout>
                <c:manualLayout>
                  <c:x val="-5.0137730160124183E-2"/>
                  <c:y val="2.2628593831873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E-7341-8E0E-287E8D62C373}"/>
                </c:ext>
              </c:extLst>
            </c:dLbl>
            <c:dLbl>
              <c:idx val="8"/>
              <c:layout>
                <c:manualLayout>
                  <c:x val="-3.7125815988993227E-2"/>
                  <c:y val="3.9289175981475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8E-7341-8E0E-287E8D62C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Eco'!$B$21:$S$21</c:f>
              <c:strCache>
                <c:ptCount val="18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Q1 '23</c:v>
                </c:pt>
                <c:pt idx="6">
                  <c:v>Q2 '23</c:v>
                </c:pt>
                <c:pt idx="7">
                  <c:v>Q3 '23</c:v>
                </c:pt>
                <c:pt idx="8">
                  <c:v>Q4 '23</c:v>
                </c:pt>
                <c:pt idx="9">
                  <c:v>2023A</c:v>
                </c:pt>
                <c:pt idx="10">
                  <c:v>Q1 '24</c:v>
                </c:pt>
                <c:pt idx="11">
                  <c:v>Q2 '24</c:v>
                </c:pt>
                <c:pt idx="12">
                  <c:v>Q3 '24</c:v>
                </c:pt>
                <c:pt idx="13">
                  <c:v>Q4 '24</c:v>
                </c:pt>
                <c:pt idx="14">
                  <c:v>2024A</c:v>
                </c:pt>
                <c:pt idx="15">
                  <c:v>Q1 '25</c:v>
                </c:pt>
                <c:pt idx="16">
                  <c:v>Q2 '25</c:v>
                </c:pt>
                <c:pt idx="17">
                  <c:v>Q3 '25</c:v>
                </c:pt>
              </c:strCache>
            </c:strRef>
          </c:cat>
          <c:val>
            <c:numRef>
              <c:f>'Segment Level Info &amp; Unit Eco'!$B$15:$S$15</c:f>
              <c:numCache>
                <c:formatCode>0.00%</c:formatCode>
                <c:ptCount val="18"/>
                <c:pt idx="1">
                  <c:v>0.19721533013754722</c:v>
                </c:pt>
                <c:pt idx="2">
                  <c:v>-0.46450704225352113</c:v>
                </c:pt>
                <c:pt idx="3">
                  <c:v>0.37656872322837609</c:v>
                </c:pt>
                <c:pt idx="4">
                  <c:v>0.43752047166721253</c:v>
                </c:pt>
                <c:pt idx="5">
                  <c:v>0.39709036650191187</c:v>
                </c:pt>
                <c:pt idx="6">
                  <c:v>0.25172104160431008</c:v>
                </c:pt>
                <c:pt idx="7">
                  <c:v>0.30831628178895065</c:v>
                </c:pt>
                <c:pt idx="8">
                  <c:v>0.29481670471330745</c:v>
                </c:pt>
                <c:pt idx="9">
                  <c:v>0.30821228519889865</c:v>
                </c:pt>
                <c:pt idx="10">
                  <c:v>0.25352490935947358</c:v>
                </c:pt>
                <c:pt idx="11">
                  <c:v>0.22871831659493069</c:v>
                </c:pt>
                <c:pt idx="12">
                  <c:v>0.17309948053398871</c:v>
                </c:pt>
                <c:pt idx="13">
                  <c:v>0.18216230230749297</c:v>
                </c:pt>
                <c:pt idx="14">
                  <c:v>0.20504521241853779</c:v>
                </c:pt>
                <c:pt idx="15">
                  <c:v>0.13454740224959827</c:v>
                </c:pt>
                <c:pt idx="16">
                  <c:v>0.15607667607278386</c:v>
                </c:pt>
                <c:pt idx="17">
                  <c:v>0.1314636701266545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E-7341-8E0E-287E8D62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8640735"/>
        <c:axId val="1369037263"/>
      </c:lineChart>
      <c:catAx>
        <c:axId val="136864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037263"/>
        <c:crosses val="autoZero"/>
        <c:auto val="1"/>
        <c:lblAlgn val="ctr"/>
        <c:lblOffset val="100"/>
        <c:noMultiLvlLbl val="0"/>
      </c:catAx>
      <c:valAx>
        <c:axId val="1369037263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64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'Segment Level Info &amp; Unit Eco'!$A$51</c:f>
              <c:strCache>
                <c:ptCount val="1"/>
                <c:pt idx="0">
                  <c:v>Average Trip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652887139107614E-2"/>
                  <c:y val="7.1793890347039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BD-B542-8A83-D8D188E6E6BD}"/>
                </c:ext>
              </c:extLst>
            </c:dLbl>
            <c:dLbl>
              <c:idx val="1"/>
              <c:layout>
                <c:manualLayout>
                  <c:x val="-5.7652887139107635E-2"/>
                  <c:y val="-9.0243146689997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BD-B542-8A83-D8D188E6E6BD}"/>
                </c:ext>
              </c:extLst>
            </c:dLbl>
            <c:dLbl>
              <c:idx val="2"/>
              <c:layout>
                <c:manualLayout>
                  <c:x val="-1.1208442694663166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BD-B542-8A83-D8D188E6E6BD}"/>
                </c:ext>
              </c:extLst>
            </c:dLbl>
            <c:dLbl>
              <c:idx val="3"/>
              <c:layout>
                <c:manualLayout>
                  <c:x val="-8.0652887139107607E-2"/>
                  <c:y val="-5.7835739282589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BD-B542-8A83-D8D188E6E6BD}"/>
                </c:ext>
              </c:extLst>
            </c:dLbl>
            <c:dLbl>
              <c:idx val="4"/>
              <c:layout>
                <c:manualLayout>
                  <c:x val="-6.6763998250218767E-2"/>
                  <c:y val="6.2534631087780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BD-B542-8A83-D8D188E6E6BD}"/>
                </c:ext>
              </c:extLst>
            </c:dLbl>
            <c:dLbl>
              <c:idx val="5"/>
              <c:layout>
                <c:manualLayout>
                  <c:x val="-6.3986220472440944E-2"/>
                  <c:y val="-8.0983887430737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BD-B542-8A83-D8D188E6E6BD}"/>
                </c:ext>
              </c:extLst>
            </c:dLbl>
            <c:dLbl>
              <c:idx val="6"/>
              <c:layout>
                <c:manualLayout>
                  <c:x val="-5.8430664916885387E-2"/>
                  <c:y val="7.1793890347039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BD-B542-8A83-D8D188E6E6BD}"/>
                </c:ext>
              </c:extLst>
            </c:dLbl>
            <c:dLbl>
              <c:idx val="7"/>
              <c:layout>
                <c:manualLayout>
                  <c:x val="-6.9541776027996494E-2"/>
                  <c:y val="-7.6354257801108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BD-B542-8A83-D8D188E6E6BD}"/>
                </c:ext>
              </c:extLst>
            </c:dLbl>
            <c:dLbl>
              <c:idx val="8"/>
              <c:layout>
                <c:manualLayout>
                  <c:x val="-6.3986220472440944E-2"/>
                  <c:y val="7.1793890347039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BD-B542-8A83-D8D188E6E6BD}"/>
                </c:ext>
              </c:extLst>
            </c:dLbl>
            <c:dLbl>
              <c:idx val="9"/>
              <c:layout>
                <c:manualLayout>
                  <c:x val="-3.5603674540682417E-2"/>
                  <c:y val="-8.0983887430737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BD-B542-8A83-D8D188E6E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Eco'!$B$42:$K$42</c:f>
              <c:strCache>
                <c:ptCount val="10"/>
                <c:pt idx="0">
                  <c:v>2018A</c:v>
                </c:pt>
                <c:pt idx="1">
                  <c:v>2019A</c:v>
                </c:pt>
                <c:pt idx="2">
                  <c:v>2020A</c:v>
                </c:pt>
                <c:pt idx="3">
                  <c:v>2021A</c:v>
                </c:pt>
                <c:pt idx="4">
                  <c:v>2022A</c:v>
                </c:pt>
                <c:pt idx="5">
                  <c:v>2023A</c:v>
                </c:pt>
                <c:pt idx="6">
                  <c:v>2024A</c:v>
                </c:pt>
                <c:pt idx="7">
                  <c:v>Q1 '25A</c:v>
                </c:pt>
                <c:pt idx="8">
                  <c:v>Q2 '25A</c:v>
                </c:pt>
                <c:pt idx="9">
                  <c:v>Q3 '25A</c:v>
                </c:pt>
              </c:strCache>
            </c:strRef>
          </c:cat>
          <c:val>
            <c:numRef>
              <c:f>'Segment Level Info &amp; Unit Eco'!$B$51:$K$51</c:f>
              <c:numCache>
                <c:formatCode>"$"#,##0.00_);[Red]\("$"#,##0.00\)</c:formatCode>
                <c:ptCount val="10"/>
                <c:pt idx="0">
                  <c:v>9.469731800766283</c:v>
                </c:pt>
                <c:pt idx="1">
                  <c:v>9.297363847045192</c:v>
                </c:pt>
                <c:pt idx="2">
                  <c:v>11.315024875621891</c:v>
                </c:pt>
                <c:pt idx="3">
                  <c:v>13.863222361809045</c:v>
                </c:pt>
                <c:pt idx="4">
                  <c:v>14.190395184506674</c:v>
                </c:pt>
                <c:pt idx="5">
                  <c:v>14.037150719729043</c:v>
                </c:pt>
                <c:pt idx="6">
                  <c:v>13.983677814246429</c:v>
                </c:pt>
                <c:pt idx="7">
                  <c:v>13.688735177865613</c:v>
                </c:pt>
                <c:pt idx="8">
                  <c:v>13.921664626682986</c:v>
                </c:pt>
                <c:pt idx="9">
                  <c:v>13.406890660592255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D-B542-8A83-D8D188E6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875472"/>
        <c:axId val="572736576"/>
      </c:lineChart>
      <c:catAx>
        <c:axId val="57287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36576"/>
        <c:crosses val="autoZero"/>
        <c:auto val="1"/>
        <c:lblAlgn val="ctr"/>
        <c:lblOffset val="100"/>
        <c:noMultiLvlLbl val="0"/>
      </c:catAx>
      <c:valAx>
        <c:axId val="57273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87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D0-BB48-9D22-B091B10781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D0-BB48-9D22-B091B10781F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D0-BB48-9D22-B091B10781F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3D0-BB48-9D22-B091B10781FE}"/>
              </c:ext>
            </c:extLst>
          </c:dPt>
          <c:cat>
            <c:strRef>
              <c:f>'Segment Level Info &amp; Unit Eco'!$G$63:$J$63</c:f>
              <c:strCache>
                <c:ptCount val="4"/>
                <c:pt idx="0">
                  <c:v>DoorDash</c:v>
                </c:pt>
                <c:pt idx="1">
                  <c:v>GrubHub</c:v>
                </c:pt>
                <c:pt idx="2">
                  <c:v>Uber Eats</c:v>
                </c:pt>
                <c:pt idx="3">
                  <c:v>Average</c:v>
                </c:pt>
              </c:strCache>
            </c:strRef>
          </c:cat>
          <c:val>
            <c:numRef>
              <c:f>'Segment Level Info &amp; Unit Eco'!$G$64:$J$64</c:f>
              <c:numCache>
                <c:formatCode>0.0</c:formatCode>
                <c:ptCount val="4"/>
                <c:pt idx="0" formatCode="General">
                  <c:v>26.4</c:v>
                </c:pt>
                <c:pt idx="1">
                  <c:v>35.81666666666667</c:v>
                </c:pt>
                <c:pt idx="2">
                  <c:v>38.06666666666667</c:v>
                </c:pt>
                <c:pt idx="3" formatCode="General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0-BB48-9D22-B091B1078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256416"/>
        <c:axId val="1709807327"/>
      </c:barChart>
      <c:catAx>
        <c:axId val="79925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807327"/>
        <c:crosses val="autoZero"/>
        <c:auto val="1"/>
        <c:lblAlgn val="ctr"/>
        <c:lblOffset val="100"/>
        <c:noMultiLvlLbl val="0"/>
      </c:catAx>
      <c:valAx>
        <c:axId val="1709807327"/>
        <c:scaling>
          <c:orientation val="minMax"/>
          <c:min val="17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wait time (minutes)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251381233595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25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'Segment Level Info &amp; Unit Eco'!$C$77</c:f>
              <c:strCache>
                <c:ptCount val="1"/>
                <c:pt idx="0">
                  <c:v>DoorDash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Eco'!$B$78</c:f>
              <c:strCache>
                <c:ptCount val="1"/>
                <c:pt idx="0">
                  <c:v>&lt;$20 </c:v>
                </c:pt>
              </c:strCache>
            </c:strRef>
          </c:cat>
          <c:val>
            <c:numRef>
              <c:f>'Segment Level Info &amp; Unit Eco'!$C$78</c:f>
              <c:numCache>
                <c:formatCode>"$"#,##0.00_);[Red]\("$"#,##0.00\)</c:formatCode>
                <c:ptCount val="1"/>
                <c:pt idx="0">
                  <c:v>71.790000000000006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2-FA41-A706-3DCBB750D325}"/>
            </c:ext>
          </c:extLst>
        </c:ser>
        <c:ser>
          <c:idx val="1"/>
          <c:order val="1"/>
          <c:tx>
            <c:strRef>
              <c:f>'Segment Level Info &amp; Unit Eco'!$D$77</c:f>
              <c:strCache>
                <c:ptCount val="1"/>
                <c:pt idx="0">
                  <c:v>GrubHub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Eco'!$B$78</c:f>
              <c:strCache>
                <c:ptCount val="1"/>
                <c:pt idx="0">
                  <c:v>&lt;$20 </c:v>
                </c:pt>
              </c:strCache>
            </c:strRef>
          </c:cat>
          <c:val>
            <c:numRef>
              <c:f>'Segment Level Info &amp; Unit Eco'!$D$78</c:f>
              <c:numCache>
                <c:formatCode>"$"#,##0.00_);[Red]\("$"#,##0.00\)</c:formatCode>
                <c:ptCount val="1"/>
                <c:pt idx="0">
                  <c:v>81.45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2-FA41-A706-3DCBB750D325}"/>
            </c:ext>
          </c:extLst>
        </c:ser>
        <c:ser>
          <c:idx val="2"/>
          <c:order val="2"/>
          <c:tx>
            <c:strRef>
              <c:f>'Segment Level Info &amp; Unit Eco'!$E$77</c:f>
              <c:strCache>
                <c:ptCount val="1"/>
                <c:pt idx="0">
                  <c:v>Uber Eats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45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42-FA41-A706-3DCBB750D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Eco'!$B$78</c:f>
              <c:strCache>
                <c:ptCount val="1"/>
                <c:pt idx="0">
                  <c:v>&lt;$20 </c:v>
                </c:pt>
              </c:strCache>
            </c:strRef>
          </c:cat>
          <c:val>
            <c:numRef>
              <c:f>'Segment Level Info &amp; Unit Eco'!$E$78</c:f>
              <c:numCache>
                <c:formatCode>"$"#,##0.00_);[Red]\("$"#,##0.00\)</c:formatCode>
                <c:ptCount val="1"/>
                <c:pt idx="0">
                  <c:v>77.87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42-FA41-A706-3DCBB750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992096"/>
        <c:axId val="1164847536"/>
      </c:barChart>
      <c:catAx>
        <c:axId val="1163992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4847536"/>
        <c:crosses val="autoZero"/>
        <c:auto val="1"/>
        <c:lblAlgn val="ctr"/>
        <c:lblOffset val="100"/>
        <c:noMultiLvlLbl val="0"/>
      </c:catAx>
      <c:valAx>
        <c:axId val="1164847536"/>
        <c:scaling>
          <c:orientation val="minMax"/>
          <c:min val="65"/>
        </c:scaling>
        <c:delete val="0"/>
        <c:axPos val="l"/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99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'Segment Level Info &amp; Unit Eco'!$C$77</c:f>
              <c:strCache>
                <c:ptCount val="1"/>
                <c:pt idx="0">
                  <c:v>DoorDash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Eco'!$B$79</c:f>
              <c:strCache>
                <c:ptCount val="1"/>
                <c:pt idx="0">
                  <c:v>$20 - $75</c:v>
                </c:pt>
              </c:strCache>
            </c:strRef>
          </c:cat>
          <c:val>
            <c:numRef>
              <c:f>'Segment Level Info &amp; Unit Eco'!$C$79</c:f>
              <c:numCache>
                <c:formatCode>"$"#,##0.00_);[Red]\("$"#,##0.00\)</c:formatCode>
                <c:ptCount val="1"/>
                <c:pt idx="0">
                  <c:v>158.54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C-A141-9ED8-A48593E64830}"/>
            </c:ext>
          </c:extLst>
        </c:ser>
        <c:ser>
          <c:idx val="1"/>
          <c:order val="1"/>
          <c:tx>
            <c:strRef>
              <c:f>'Segment Level Info &amp; Unit Eco'!$D$77</c:f>
              <c:strCache>
                <c:ptCount val="1"/>
                <c:pt idx="0">
                  <c:v>GrubHub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DC-A141-9ED8-A48593E64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Eco'!$B$79</c:f>
              <c:strCache>
                <c:ptCount val="1"/>
                <c:pt idx="0">
                  <c:v>$20 - $75</c:v>
                </c:pt>
              </c:strCache>
            </c:strRef>
          </c:cat>
          <c:val>
            <c:numRef>
              <c:f>'Segment Level Info &amp; Unit Eco'!$D$79</c:f>
              <c:numCache>
                <c:formatCode>"$"#,##0.00_);[Red]\("$"#,##0.00\)</c:formatCode>
                <c:ptCount val="1"/>
                <c:pt idx="0">
                  <c:v>152.26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C-A141-9ED8-A48593E64830}"/>
            </c:ext>
          </c:extLst>
        </c:ser>
        <c:ser>
          <c:idx val="2"/>
          <c:order val="2"/>
          <c:tx>
            <c:strRef>
              <c:f>'Segment Level Info &amp; Unit Eco'!$E$77</c:f>
              <c:strCache>
                <c:ptCount val="1"/>
                <c:pt idx="0">
                  <c:v>Uber Eats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DC-A141-9ED8-A48593E64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Eco'!$B$79</c:f>
              <c:strCache>
                <c:ptCount val="1"/>
                <c:pt idx="0">
                  <c:v>$20 - $75</c:v>
                </c:pt>
              </c:strCache>
            </c:strRef>
          </c:cat>
          <c:val>
            <c:numRef>
              <c:f>'Segment Level Info &amp; Unit Eco'!$E$79</c:f>
              <c:numCache>
                <c:formatCode>"$"#,##0.00_);[Red]\("$"#,##0.00\)</c:formatCode>
                <c:ptCount val="1"/>
                <c:pt idx="0">
                  <c:v>162.63999999999999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A141-9ED8-A48593E64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992096"/>
        <c:axId val="1164847536"/>
      </c:barChart>
      <c:catAx>
        <c:axId val="1163992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4847536"/>
        <c:crosses val="autoZero"/>
        <c:auto val="1"/>
        <c:lblAlgn val="ctr"/>
        <c:lblOffset val="100"/>
        <c:noMultiLvlLbl val="0"/>
      </c:catAx>
      <c:valAx>
        <c:axId val="1164847536"/>
        <c:scaling>
          <c:orientation val="minMax"/>
          <c:min val="145"/>
        </c:scaling>
        <c:delete val="0"/>
        <c:axPos val="l"/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99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'Segment Level Info &amp; Unit Eco'!$C$77</c:f>
              <c:strCache>
                <c:ptCount val="1"/>
                <c:pt idx="0">
                  <c:v>DoorDash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Eco'!$B$80</c:f>
              <c:strCache>
                <c:ptCount val="1"/>
                <c:pt idx="0">
                  <c:v>&gt;$75</c:v>
                </c:pt>
              </c:strCache>
            </c:strRef>
          </c:cat>
          <c:val>
            <c:numRef>
              <c:f>'Segment Level Info &amp; Unit Eco'!$C$80</c:f>
              <c:numCache>
                <c:formatCode>"$"#,##0.00_);[Red]\("$"#,##0.00\)</c:formatCode>
                <c:ptCount val="1"/>
                <c:pt idx="0">
                  <c:v>400.49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C-6143-A678-0AE905DB8168}"/>
            </c:ext>
          </c:extLst>
        </c:ser>
        <c:ser>
          <c:idx val="1"/>
          <c:order val="1"/>
          <c:tx>
            <c:strRef>
              <c:f>'Segment Level Info &amp; Unit Eco'!$D$77</c:f>
              <c:strCache>
                <c:ptCount val="1"/>
                <c:pt idx="0">
                  <c:v>GrubHub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Eco'!$B$80</c:f>
              <c:strCache>
                <c:ptCount val="1"/>
                <c:pt idx="0">
                  <c:v>&gt;$75</c:v>
                </c:pt>
              </c:strCache>
            </c:strRef>
          </c:cat>
          <c:val>
            <c:numRef>
              <c:f>'Segment Level Info &amp; Unit Eco'!$D$80</c:f>
              <c:numCache>
                <c:formatCode>"$"#,##0.00_);[Red]\("$"#,##0.00\)</c:formatCode>
                <c:ptCount val="1"/>
                <c:pt idx="0">
                  <c:v>379.61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9C-6143-A678-0AE905DB8168}"/>
            </c:ext>
          </c:extLst>
        </c:ser>
        <c:ser>
          <c:idx val="2"/>
          <c:order val="2"/>
          <c:tx>
            <c:strRef>
              <c:f>'Segment Level Info &amp; Unit Eco'!$E$77</c:f>
              <c:strCache>
                <c:ptCount val="1"/>
                <c:pt idx="0">
                  <c:v>Uber Eats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 Level Info &amp; Unit Eco'!$B$80</c:f>
              <c:strCache>
                <c:ptCount val="1"/>
                <c:pt idx="0">
                  <c:v>&gt;$75</c:v>
                </c:pt>
              </c:strCache>
            </c:strRef>
          </c:cat>
          <c:val>
            <c:numRef>
              <c:f>'Segment Level Info &amp; Unit Eco'!$E$80</c:f>
              <c:numCache>
                <c:formatCode>"$"#,##0.00_);[Red]\("$"#,##0.00\)</c:formatCode>
                <c:ptCount val="1"/>
                <c:pt idx="0">
                  <c:v>394.2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9C-6143-A678-0AE905DB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992096"/>
        <c:axId val="1164847536"/>
      </c:barChart>
      <c:catAx>
        <c:axId val="1163992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4847536"/>
        <c:crosses val="autoZero"/>
        <c:auto val="1"/>
        <c:lblAlgn val="ctr"/>
        <c:lblOffset val="100"/>
        <c:noMultiLvlLbl val="0"/>
      </c:catAx>
      <c:valAx>
        <c:axId val="1164847536"/>
        <c:scaling>
          <c:orientation val="minMax"/>
          <c:min val="360"/>
        </c:scaling>
        <c:delete val="0"/>
        <c:axPos val="l"/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99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607663</xdr:colOff>
      <xdr:row>8</xdr:row>
      <xdr:rowOff>93211</xdr:rowOff>
    </xdr:from>
    <xdr:to>
      <xdr:col>27</xdr:col>
      <xdr:colOff>801076</xdr:colOff>
      <xdr:row>35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1DB2F4-8D8E-2D42-87AF-4953BC218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38565</xdr:colOff>
      <xdr:row>9</xdr:row>
      <xdr:rowOff>2186</xdr:rowOff>
    </xdr:from>
    <xdr:to>
      <xdr:col>36</xdr:col>
      <xdr:colOff>682032</xdr:colOff>
      <xdr:row>37</xdr:row>
      <xdr:rowOff>57219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2F198D-87FB-0646-98F7-23AC4E744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88900</xdr:colOff>
      <xdr:row>8</xdr:row>
      <xdr:rowOff>0</xdr:rowOff>
    </xdr:from>
    <xdr:to>
      <xdr:col>47</xdr:col>
      <xdr:colOff>673100</xdr:colOff>
      <xdr:row>36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493331-A1C8-394D-9BAA-98FAAEA9A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48</xdr:col>
      <xdr:colOff>342900</xdr:colOff>
      <xdr:row>8</xdr:row>
      <xdr:rowOff>114300</xdr:rowOff>
    </xdr:from>
    <xdr:to>
      <xdr:col>56</xdr:col>
      <xdr:colOff>549013</xdr:colOff>
      <xdr:row>35</xdr:row>
      <xdr:rowOff>186190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08145B-CC2D-4B4F-A03B-2E7E8DB32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161971</xdr:colOff>
      <xdr:row>56</xdr:row>
      <xdr:rowOff>50247</xdr:rowOff>
    </xdr:from>
    <xdr:to>
      <xdr:col>19</xdr:col>
      <xdr:colOff>546652</xdr:colOff>
      <xdr:row>70</xdr:row>
      <xdr:rowOff>23375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D1E6EF-92A4-2BE8-F122-914529E37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1146682</xdr:colOff>
      <xdr:row>67</xdr:row>
      <xdr:rowOff>8834</xdr:rowOff>
    </xdr:from>
    <xdr:to>
      <xdr:col>5</xdr:col>
      <xdr:colOff>123320</xdr:colOff>
      <xdr:row>80</xdr:row>
      <xdr:rowOff>92397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18672C-BB41-4708-5F5C-567A35F0B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331305</xdr:colOff>
      <xdr:row>72</xdr:row>
      <xdr:rowOff>36442</xdr:rowOff>
    </xdr:from>
    <xdr:to>
      <xdr:col>12</xdr:col>
      <xdr:colOff>138044</xdr:colOff>
      <xdr:row>87</xdr:row>
      <xdr:rowOff>110435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9BC4A1D-69A3-103B-3AD8-007B94E92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90</xdr:row>
      <xdr:rowOff>0</xdr:rowOff>
    </xdr:from>
    <xdr:to>
      <xdr:col>10</xdr:col>
      <xdr:colOff>644204</xdr:colOff>
      <xdr:row>106</xdr:row>
      <xdr:rowOff>9572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E628A64-E019-CB47-BAE0-1D6C9B4F9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165652</xdr:colOff>
      <xdr:row>85</xdr:row>
      <xdr:rowOff>147247</xdr:rowOff>
    </xdr:from>
    <xdr:to>
      <xdr:col>5</xdr:col>
      <xdr:colOff>27609</xdr:colOff>
      <xdr:row>101</xdr:row>
      <xdr:rowOff>156819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CDFBEBE-AEA8-9B4F-951B-354993635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367518</xdr:colOff>
      <xdr:row>52</xdr:row>
      <xdr:rowOff>170339</xdr:rowOff>
    </xdr:from>
    <xdr:to>
      <xdr:col>27</xdr:col>
      <xdr:colOff>726422</xdr:colOff>
      <xdr:row>72</xdr:row>
      <xdr:rowOff>54913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E2C3115-A3A2-59F1-56DA-82FC061EB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27058</xdr:colOff>
      <xdr:row>0</xdr:row>
      <xdr:rowOff>0</xdr:rowOff>
    </xdr:from>
    <xdr:to>
      <xdr:col>27</xdr:col>
      <xdr:colOff>646139</xdr:colOff>
      <xdr:row>24</xdr:row>
      <xdr:rowOff>89122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C7681C-EE0B-4016-AA1A-DA0D28F58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292858</xdr:colOff>
      <xdr:row>0</xdr:row>
      <xdr:rowOff>66343</xdr:rowOff>
    </xdr:from>
    <xdr:to>
      <xdr:col>19</xdr:col>
      <xdr:colOff>578323</xdr:colOff>
      <xdr:row>16</xdr:row>
      <xdr:rowOff>104254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56F5D8-5551-65EC-8533-792193EEA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347372</xdr:colOff>
      <xdr:row>18</xdr:row>
      <xdr:rowOff>75330</xdr:rowOff>
    </xdr:from>
    <xdr:to>
      <xdr:col>19</xdr:col>
      <xdr:colOff>634719</xdr:colOff>
      <xdr:row>34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2D3C8F-8758-1849-8463-039412C3B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410341</xdr:colOff>
      <xdr:row>56</xdr:row>
      <xdr:rowOff>176436</xdr:rowOff>
    </xdr:from>
    <xdr:to>
      <xdr:col>6</xdr:col>
      <xdr:colOff>167481</xdr:colOff>
      <xdr:row>74</xdr:row>
      <xdr:rowOff>34176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1ABFA96-E7BB-CC65-C764-867F8C011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0.39132</cdr:x>
      <cdr:y>0.17463</cdr:y>
    </cdr:from>
    <cdr:to>
      <cdr:x>0.42814</cdr:x>
      <cdr:y>0.35096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4BBCF1E-1C31-3437-0746-90B9E09B6555}"/>
            </a:ext>
          </a:extLst>
        </cdr:cNvPr>
        <cdr:cNvCxnSpPr/>
      </cdr:nvCxnSpPr>
      <cdr:spPr>
        <a:xfrm xmlns:a="http://schemas.openxmlformats.org/drawingml/2006/main">
          <a:off x="2500450" y="809303"/>
          <a:ext cx="235299" cy="817188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0.25105</cdr:x>
      <cdr:y>0.09057</cdr:y>
    </cdr:from>
    <cdr:to>
      <cdr:x>0.47047</cdr:x>
      <cdr:y>0.24848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7CC7BF9E-168B-C3F3-D8B8-F1E8CBC80D71}"/>
            </a:ext>
          </a:extLst>
        </cdr:cNvPr>
        <cdr:cNvSpPr txBox="1"/>
      </cdr:nvSpPr>
      <cdr:spPr>
        <a:xfrm xmlns:a="http://schemas.openxmlformats.org/drawingml/2006/main">
          <a:off x="809325" y="283268"/>
          <a:ext cx="707358" cy="4938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We are here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874584</xdr:colOff>
      <xdr:row>32</xdr:row>
      <xdr:rowOff>51664</xdr:rowOff>
    </xdr:from>
    <xdr:to>
      <xdr:col>14</xdr:col>
      <xdr:colOff>664906</xdr:colOff>
      <xdr:row>50</xdr:row>
      <xdr:rowOff>170261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954B8A-9C72-8BFC-F973-764E97301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810166</xdr:colOff>
      <xdr:row>51</xdr:row>
      <xdr:rowOff>107998</xdr:rowOff>
    </xdr:from>
    <xdr:to>
      <xdr:col>14</xdr:col>
      <xdr:colOff>600488</xdr:colOff>
      <xdr:row>66</xdr:row>
      <xdr:rowOff>43337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2CC995-5CF2-404D-BD67-192A4867E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31</xdr:row>
      <xdr:rowOff>0</xdr:rowOff>
    </xdr:from>
    <xdr:to>
      <xdr:col>20</xdr:col>
      <xdr:colOff>450722</xdr:colOff>
      <xdr:row>49</xdr:row>
      <xdr:rowOff>123488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0BDB4B-315B-BC4D-9BF2-8D424AC0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344938</xdr:colOff>
      <xdr:row>50</xdr:row>
      <xdr:rowOff>125431</xdr:rowOff>
    </xdr:from>
    <xdr:to>
      <xdr:col>20</xdr:col>
      <xdr:colOff>795660</xdr:colOff>
      <xdr:row>65</xdr:row>
      <xdr:rowOff>60772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DE232D-AE43-C24C-AEF4-F7640AF65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71120</xdr:colOff>
      <xdr:row>67</xdr:row>
      <xdr:rowOff>162560</xdr:rowOff>
    </xdr:from>
    <xdr:to>
      <xdr:col>15</xdr:col>
      <xdr:colOff>274320</xdr:colOff>
      <xdr:row>82</xdr:row>
      <xdr:rowOff>10160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1775A8-1269-53F4-05B1-EE93568A2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412667</xdr:colOff>
      <xdr:row>65</xdr:row>
      <xdr:rowOff>69421</xdr:rowOff>
    </xdr:from>
    <xdr:to>
      <xdr:col>22</xdr:col>
      <xdr:colOff>19994</xdr:colOff>
      <xdr:row>82</xdr:row>
      <xdr:rowOff>80854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793602-B3D7-B292-2BF1-CFB16F516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ber%20D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 Level Info &amp; Unit Ec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6204-496B-A64D-8675-5089CEAE8E14}">
  <dimension ref="A1:J108"/>
  <sheetViews>
    <sheetView showGridLines="0" zoomScale="163" workbookViewId="0">
      <selection activeCell="H24" sqref="H24"/>
    </sheetView>
  </sheetViews>
  <sheetFormatPr baseColWidth="10" defaultColWidth="8.83203125" defaultRowHeight="15"/>
  <cols>
    <col min="1" max="1" width="2" style="57" customWidth="1"/>
    <col min="2" max="2" width="2.33203125" style="24" customWidth="1"/>
    <col min="3" max="3" width="59.6640625" style="24" customWidth="1"/>
    <col min="4" max="6" width="13.33203125" style="24" customWidth="1"/>
    <col min="7" max="7" width="10.6640625" style="24" bestFit="1" customWidth="1"/>
    <col min="8" max="8" width="13.1640625" style="24" customWidth="1"/>
    <col min="9" max="16384" width="8.83203125" style="24"/>
  </cols>
  <sheetData>
    <row r="1" spans="1:9" ht="19">
      <c r="C1" s="28" t="str">
        <f>D5&amp;" ("&amp;D6&amp;")"</f>
        <v>Uber Inc. (UBER)</v>
      </c>
      <c r="D1" s="28"/>
      <c r="E1" s="28"/>
      <c r="F1" s="28"/>
    </row>
    <row r="2" spans="1:9" ht="19">
      <c r="C2" s="28" t="s">
        <v>0</v>
      </c>
      <c r="D2" s="28"/>
      <c r="E2" s="28"/>
      <c r="F2" s="28"/>
    </row>
    <row r="3" spans="1:9" ht="19">
      <c r="C3" s="29" t="s">
        <v>144</v>
      </c>
      <c r="D3" s="28"/>
      <c r="E3" s="28"/>
      <c r="F3" s="28"/>
    </row>
    <row r="5" spans="1:9" ht="16">
      <c r="C5" s="24" t="s">
        <v>1</v>
      </c>
      <c r="D5" s="30" t="s">
        <v>145</v>
      </c>
    </row>
    <row r="6" spans="1:9">
      <c r="C6" s="24" t="s">
        <v>2</v>
      </c>
      <c r="D6" s="31" t="s">
        <v>146</v>
      </c>
    </row>
    <row r="7" spans="1:9">
      <c r="C7" s="24" t="s">
        <v>3</v>
      </c>
      <c r="D7" s="31">
        <v>1</v>
      </c>
    </row>
    <row r="8" spans="1:9">
      <c r="C8" s="24" t="s">
        <v>4</v>
      </c>
      <c r="D8" s="100">
        <v>98.45</v>
      </c>
    </row>
    <row r="9" spans="1:9">
      <c r="C9" s="24" t="s">
        <v>5</v>
      </c>
      <c r="D9" s="32">
        <v>45929</v>
      </c>
    </row>
    <row r="10" spans="1:9">
      <c r="C10" s="24" t="s">
        <v>6</v>
      </c>
      <c r="D10" s="32">
        <v>46022</v>
      </c>
    </row>
    <row r="11" spans="1:9">
      <c r="C11" s="24" t="s">
        <v>7</v>
      </c>
      <c r="D11" s="31" t="s">
        <v>8</v>
      </c>
    </row>
    <row r="13" spans="1:9" ht="16" thickBot="1">
      <c r="D13" s="33" t="s">
        <v>9</v>
      </c>
      <c r="E13" s="33"/>
      <c r="F13" s="63"/>
      <c r="G13"/>
    </row>
    <row r="14" spans="1:9">
      <c r="A14" s="57" t="s">
        <v>13</v>
      </c>
      <c r="C14" s="34" t="s">
        <v>10</v>
      </c>
      <c r="D14" s="35"/>
      <c r="E14" s="35"/>
      <c r="F14" s="141"/>
    </row>
    <row r="15" spans="1:9">
      <c r="C15" s="24" t="s">
        <v>11</v>
      </c>
      <c r="D15" s="25">
        <f>E15-1</f>
        <v>2020</v>
      </c>
      <c r="E15" s="25">
        <f>F15-1</f>
        <v>2021</v>
      </c>
      <c r="F15" s="25">
        <f>G15-1</f>
        <v>2022</v>
      </c>
      <c r="G15" s="25">
        <f>H15-1</f>
        <v>2023</v>
      </c>
      <c r="H15" s="65">
        <f>YEAR(D10)-1</f>
        <v>2024</v>
      </c>
      <c r="I15" s="26"/>
    </row>
    <row r="16" spans="1:9">
      <c r="C16" s="24" t="s">
        <v>12</v>
      </c>
      <c r="D16" s="96">
        <v>44926</v>
      </c>
      <c r="E16" s="96">
        <v>45291</v>
      </c>
      <c r="F16" s="96">
        <v>44926</v>
      </c>
      <c r="G16" s="96">
        <v>45291</v>
      </c>
      <c r="H16" s="96">
        <v>45657</v>
      </c>
      <c r="I16" s="36"/>
    </row>
    <row r="17" spans="2:10">
      <c r="D17" s="101"/>
      <c r="E17" s="46"/>
      <c r="F17" s="101"/>
      <c r="G17" s="46"/>
      <c r="H17" s="66"/>
      <c r="I17" s="36"/>
    </row>
    <row r="18" spans="2:10">
      <c r="B18" s="57" t="s">
        <v>13</v>
      </c>
      <c r="C18" s="24" t="s">
        <v>14</v>
      </c>
      <c r="D18" s="87">
        <f>SUM(D19:D22)</f>
        <v>11139</v>
      </c>
      <c r="E18" s="87">
        <f>SUM(E19:E22)</f>
        <v>17455</v>
      </c>
      <c r="F18" s="87">
        <f t="shared" ref="F18:H18" si="0">SUM(F19:F22)</f>
        <v>31877</v>
      </c>
      <c r="G18" s="87">
        <f t="shared" si="0"/>
        <v>37281</v>
      </c>
      <c r="H18" s="87">
        <f t="shared" si="0"/>
        <v>43978</v>
      </c>
      <c r="J18" s="8"/>
    </row>
    <row r="19" spans="2:10">
      <c r="B19" s="57"/>
      <c r="C19" s="42" t="s">
        <v>163</v>
      </c>
      <c r="D19" s="87">
        <v>6089</v>
      </c>
      <c r="E19" s="87">
        <v>6953</v>
      </c>
      <c r="F19" s="87">
        <v>14029</v>
      </c>
      <c r="G19" s="87">
        <v>19832</v>
      </c>
      <c r="H19" s="88">
        <v>25087</v>
      </c>
    </row>
    <row r="20" spans="2:10">
      <c r="B20" s="57"/>
      <c r="C20" s="42" t="s">
        <v>164</v>
      </c>
      <c r="D20" s="87">
        <v>3904</v>
      </c>
      <c r="E20" s="87">
        <v>8362</v>
      </c>
      <c r="F20" s="87">
        <v>10901</v>
      </c>
      <c r="G20" s="87">
        <v>12204</v>
      </c>
      <c r="H20" s="88">
        <v>13750</v>
      </c>
    </row>
    <row r="21" spans="2:10">
      <c r="B21" s="57"/>
      <c r="C21" s="42" t="s">
        <v>165</v>
      </c>
      <c r="D21" s="87">
        <v>1011</v>
      </c>
      <c r="E21" s="87">
        <v>2132</v>
      </c>
      <c r="F21" s="87">
        <v>6947</v>
      </c>
      <c r="G21" s="87">
        <v>5245</v>
      </c>
      <c r="H21" s="88">
        <v>5141</v>
      </c>
    </row>
    <row r="22" spans="2:10">
      <c r="B22" s="57"/>
      <c r="C22" s="42" t="s">
        <v>175</v>
      </c>
      <c r="D22" s="87">
        <v>135</v>
      </c>
      <c r="E22" s="87">
        <v>8</v>
      </c>
      <c r="F22" s="87"/>
      <c r="G22" s="87"/>
      <c r="H22" s="88"/>
    </row>
    <row r="23" spans="2:10">
      <c r="B23" s="57"/>
      <c r="C23" s="24" t="s">
        <v>15</v>
      </c>
      <c r="D23" s="103">
        <v>-5154</v>
      </c>
      <c r="E23" s="103">
        <v>-9351</v>
      </c>
      <c r="F23" s="103">
        <v>-19659</v>
      </c>
      <c r="G23" s="103">
        <v>-22457</v>
      </c>
      <c r="H23" s="107">
        <v>-26651</v>
      </c>
    </row>
    <row r="24" spans="2:10">
      <c r="B24" s="57"/>
      <c r="C24" s="37" t="s">
        <v>16</v>
      </c>
      <c r="D24" s="89">
        <f>D18+D23</f>
        <v>5985</v>
      </c>
      <c r="E24" s="89">
        <f>E18+E23</f>
        <v>8104</v>
      </c>
      <c r="F24" s="89">
        <f>F18+F23</f>
        <v>12218</v>
      </c>
      <c r="G24" s="89">
        <f>G18+G23</f>
        <v>14824</v>
      </c>
      <c r="H24" s="90">
        <f t="shared" ref="H24" si="1">H18+H23</f>
        <v>17327</v>
      </c>
    </row>
    <row r="25" spans="2:10">
      <c r="B25" s="57"/>
      <c r="C25" s="24" t="s">
        <v>147</v>
      </c>
      <c r="D25" s="106">
        <v>-1819</v>
      </c>
      <c r="E25" s="106">
        <v>-1877</v>
      </c>
      <c r="F25" s="106">
        <v>-2413</v>
      </c>
      <c r="G25" s="106">
        <v>-2689</v>
      </c>
      <c r="H25" s="88">
        <v>-2732</v>
      </c>
    </row>
    <row r="26" spans="2:10">
      <c r="B26" s="57"/>
      <c r="C26" s="24" t="s">
        <v>148</v>
      </c>
      <c r="D26" s="106">
        <v>-3583</v>
      </c>
      <c r="E26" s="106">
        <v>-4789</v>
      </c>
      <c r="F26" s="106">
        <v>-4756</v>
      </c>
      <c r="G26" s="106">
        <v>-4356</v>
      </c>
      <c r="H26" s="88">
        <v>-4337</v>
      </c>
    </row>
    <row r="27" spans="2:10">
      <c r="B27" s="57"/>
      <c r="C27" s="24" t="s">
        <v>134</v>
      </c>
      <c r="D27" s="106">
        <v>-2205</v>
      </c>
      <c r="E27" s="106">
        <v>-2054</v>
      </c>
      <c r="F27" s="106">
        <v>-2798</v>
      </c>
      <c r="G27" s="106">
        <v>-3164</v>
      </c>
      <c r="H27" s="88">
        <v>-3109</v>
      </c>
      <c r="J27" s="82"/>
    </row>
    <row r="28" spans="2:10">
      <c r="B28" s="57" t="s">
        <v>13</v>
      </c>
      <c r="C28" s="24" t="s">
        <v>149</v>
      </c>
      <c r="D28" s="106">
        <v>-2666</v>
      </c>
      <c r="E28" s="106">
        <v>-2316</v>
      </c>
      <c r="F28" s="106">
        <v>-3136</v>
      </c>
      <c r="G28" s="106">
        <v>-2682</v>
      </c>
      <c r="H28" s="108">
        <v>-3639</v>
      </c>
    </row>
    <row r="29" spans="2:10">
      <c r="B29" s="57"/>
      <c r="C29" s="24" t="s">
        <v>150</v>
      </c>
      <c r="D29" s="103">
        <v>-575</v>
      </c>
      <c r="E29" s="103">
        <v>-902</v>
      </c>
      <c r="F29" s="103">
        <v>-947</v>
      </c>
      <c r="G29" s="103">
        <v>-823</v>
      </c>
      <c r="H29" s="107">
        <v>-711</v>
      </c>
    </row>
    <row r="30" spans="2:10">
      <c r="B30" s="57"/>
      <c r="C30" s="37" t="s">
        <v>17</v>
      </c>
      <c r="D30" s="89">
        <f>SUM(D24:D29)</f>
        <v>-4863</v>
      </c>
      <c r="E30" s="89">
        <f>SUM(E24:E29)</f>
        <v>-3834</v>
      </c>
      <c r="F30" s="89">
        <f>SUM(F24:F29)</f>
        <v>-1832</v>
      </c>
      <c r="G30" s="89">
        <f>SUM(G24:G29)</f>
        <v>1110</v>
      </c>
      <c r="H30" s="90">
        <f>SUM(H24:H29)</f>
        <v>2799</v>
      </c>
    </row>
    <row r="31" spans="2:10">
      <c r="B31" s="57" t="s">
        <v>13</v>
      </c>
      <c r="C31" s="24" t="s">
        <v>18</v>
      </c>
      <c r="D31" s="106">
        <v>-458</v>
      </c>
      <c r="E31" s="106">
        <v>-483</v>
      </c>
      <c r="F31" s="106">
        <v>-565</v>
      </c>
      <c r="G31" s="106">
        <v>-633</v>
      </c>
      <c r="H31" s="108">
        <v>-523</v>
      </c>
      <c r="I31" s="37"/>
    </row>
    <row r="32" spans="2:10">
      <c r="B32" s="57"/>
      <c r="C32" s="24" t="s">
        <v>153</v>
      </c>
      <c r="D32" s="103">
        <v>-1625</v>
      </c>
      <c r="E32" s="103">
        <v>3292</v>
      </c>
      <c r="F32" s="103">
        <v>-7029</v>
      </c>
      <c r="G32" s="103">
        <v>1844</v>
      </c>
      <c r="H32" s="107">
        <v>1849</v>
      </c>
    </row>
    <row r="33" spans="1:9">
      <c r="B33" s="57"/>
      <c r="C33" s="37" t="s">
        <v>20</v>
      </c>
      <c r="D33" s="89">
        <f>SUM(D30:D32)</f>
        <v>-6946</v>
      </c>
      <c r="E33" s="89">
        <f>SUM(E30:E32)</f>
        <v>-1025</v>
      </c>
      <c r="F33" s="89">
        <f>SUM(F30:F32)</f>
        <v>-9426</v>
      </c>
      <c r="G33" s="89">
        <f>SUM(G30:G32)</f>
        <v>2321</v>
      </c>
      <c r="H33" s="90">
        <f>SUM(H30:H32)</f>
        <v>4125</v>
      </c>
      <c r="I33" s="37"/>
    </row>
    <row r="34" spans="1:9">
      <c r="B34" s="57"/>
      <c r="C34" s="24" t="s">
        <v>152</v>
      </c>
      <c r="D34" s="106">
        <v>192</v>
      </c>
      <c r="E34" s="106">
        <v>492</v>
      </c>
      <c r="F34" s="106">
        <v>181</v>
      </c>
      <c r="G34" s="106">
        <v>-213</v>
      </c>
      <c r="H34" s="108">
        <v>5758</v>
      </c>
      <c r="I34" s="37"/>
    </row>
    <row r="35" spans="1:9">
      <c r="B35" s="57"/>
      <c r="C35" s="24" t="s">
        <v>151</v>
      </c>
      <c r="D35" s="106">
        <v>-34</v>
      </c>
      <c r="E35" s="106">
        <v>-37</v>
      </c>
      <c r="F35" s="106">
        <v>107</v>
      </c>
      <c r="G35" s="106">
        <v>48</v>
      </c>
      <c r="H35" s="108">
        <v>-38</v>
      </c>
    </row>
    <row r="36" spans="1:9">
      <c r="B36" s="57"/>
      <c r="C36" s="24" t="s">
        <v>170</v>
      </c>
      <c r="D36" s="103">
        <v>20</v>
      </c>
      <c r="E36" s="103">
        <v>74</v>
      </c>
      <c r="F36" s="103">
        <v>-3</v>
      </c>
      <c r="G36" s="103">
        <v>-269</v>
      </c>
      <c r="H36" s="107">
        <v>11</v>
      </c>
    </row>
    <row r="37" spans="1:9">
      <c r="B37" s="57" t="s">
        <v>13</v>
      </c>
      <c r="C37" s="37" t="s">
        <v>21</v>
      </c>
      <c r="D37" s="89">
        <f>SUM(D33:D36)</f>
        <v>-6768</v>
      </c>
      <c r="E37" s="89">
        <f>SUM(E33:E36)</f>
        <v>-496</v>
      </c>
      <c r="F37" s="89">
        <f>SUM(F33:F36)</f>
        <v>-9141</v>
      </c>
      <c r="G37" s="89">
        <f>SUM(G33:G36)</f>
        <v>1887</v>
      </c>
      <c r="H37" s="90">
        <f>SUM(H33:H36)</f>
        <v>9856</v>
      </c>
    </row>
    <row r="38" spans="1:9">
      <c r="B38" s="57"/>
      <c r="C38" s="24" t="s">
        <v>154</v>
      </c>
      <c r="D38" s="139"/>
      <c r="E38" s="139"/>
      <c r="F38" s="139"/>
      <c r="G38" s="139"/>
      <c r="H38" s="140"/>
    </row>
    <row r="39" spans="1:9">
      <c r="B39" s="57"/>
      <c r="C39" s="42" t="s">
        <v>155</v>
      </c>
      <c r="D39" s="106">
        <f>-D36</f>
        <v>-20</v>
      </c>
      <c r="E39" s="106">
        <f>-E36</f>
        <v>-74</v>
      </c>
      <c r="F39" s="106">
        <f>-F36</f>
        <v>3</v>
      </c>
      <c r="G39" s="106">
        <f>-G36</f>
        <v>269</v>
      </c>
      <c r="H39" s="108">
        <f>-H36</f>
        <v>-11</v>
      </c>
    </row>
    <row r="40" spans="1:9">
      <c r="B40" s="57"/>
      <c r="C40" s="42" t="s">
        <v>156</v>
      </c>
      <c r="D40" s="106">
        <f>-D35</f>
        <v>34</v>
      </c>
      <c r="E40" s="106">
        <f>-E35</f>
        <v>37</v>
      </c>
      <c r="F40" s="106">
        <f>-F35</f>
        <v>-107</v>
      </c>
      <c r="G40" s="106">
        <f>-G35</f>
        <v>-48</v>
      </c>
      <c r="H40" s="108">
        <f>-H35</f>
        <v>38</v>
      </c>
    </row>
    <row r="41" spans="1:9">
      <c r="B41" s="57"/>
      <c r="C41" s="42" t="s">
        <v>158</v>
      </c>
      <c r="D41" s="106">
        <f>-D34</f>
        <v>-192</v>
      </c>
      <c r="E41" s="106">
        <f>-E34</f>
        <v>-492</v>
      </c>
      <c r="F41" s="106">
        <f>-F34</f>
        <v>-181</v>
      </c>
      <c r="G41" s="106">
        <f>-G34</f>
        <v>213</v>
      </c>
      <c r="H41" s="108">
        <f>-H34</f>
        <v>-5758</v>
      </c>
    </row>
    <row r="42" spans="1:9">
      <c r="B42" s="57"/>
      <c r="C42" s="42" t="s">
        <v>19</v>
      </c>
      <c r="D42" s="106">
        <f>-D32</f>
        <v>1625</v>
      </c>
      <c r="E42" s="106">
        <f>-E32</f>
        <v>-3292</v>
      </c>
      <c r="F42" s="106">
        <f>-F32</f>
        <v>7029</v>
      </c>
      <c r="G42" s="106">
        <f>-G32</f>
        <v>-1844</v>
      </c>
      <c r="H42" s="108">
        <f>-H32</f>
        <v>-1849</v>
      </c>
    </row>
    <row r="43" spans="1:9">
      <c r="B43" s="57"/>
      <c r="C43" s="42" t="s">
        <v>18</v>
      </c>
      <c r="D43" s="106">
        <f t="shared" ref="D43:F43" si="2">-D31</f>
        <v>458</v>
      </c>
      <c r="E43" s="106">
        <f t="shared" si="2"/>
        <v>483</v>
      </c>
      <c r="F43" s="106">
        <f t="shared" si="2"/>
        <v>565</v>
      </c>
      <c r="G43" s="106">
        <f>-G31</f>
        <v>633</v>
      </c>
      <c r="H43" s="108">
        <f>-H31</f>
        <v>523</v>
      </c>
    </row>
    <row r="44" spans="1:9">
      <c r="A44" s="57" t="s">
        <v>13</v>
      </c>
      <c r="B44" s="57"/>
      <c r="C44" s="42" t="s">
        <v>22</v>
      </c>
      <c r="D44" s="103">
        <f>-D29</f>
        <v>575</v>
      </c>
      <c r="E44" s="103">
        <f>-E29</f>
        <v>902</v>
      </c>
      <c r="F44" s="103">
        <f>-F29</f>
        <v>947</v>
      </c>
      <c r="G44" s="103">
        <f>-G29</f>
        <v>823</v>
      </c>
      <c r="H44" s="107">
        <f>-H29</f>
        <v>711</v>
      </c>
    </row>
    <row r="45" spans="1:9">
      <c r="B45" s="57"/>
      <c r="C45" s="37" t="s">
        <v>23</v>
      </c>
      <c r="D45" s="93">
        <f>SUM(D37:D44)</f>
        <v>-4288</v>
      </c>
      <c r="E45" s="93">
        <f>SUM(E37:E44)</f>
        <v>-2932</v>
      </c>
      <c r="F45" s="93">
        <f>SUM(F37:F44)</f>
        <v>-885</v>
      </c>
      <c r="G45" s="93">
        <f>SUM(G37:G44)</f>
        <v>1933</v>
      </c>
      <c r="H45" s="92">
        <f>SUM(H37:H44)</f>
        <v>3510</v>
      </c>
    </row>
    <row r="46" spans="1:9">
      <c r="B46" s="57"/>
      <c r="C46" s="24" t="s">
        <v>154</v>
      </c>
      <c r="D46" s="91"/>
      <c r="E46" s="91"/>
      <c r="F46" s="91"/>
      <c r="G46" s="91"/>
      <c r="H46" s="92"/>
    </row>
    <row r="47" spans="1:9">
      <c r="B47" s="57"/>
      <c r="C47" s="42" t="s">
        <v>157</v>
      </c>
      <c r="D47" s="106">
        <v>827</v>
      </c>
      <c r="E47" s="106">
        <v>1168</v>
      </c>
      <c r="F47" s="106">
        <v>1793</v>
      </c>
      <c r="G47" s="106">
        <v>1935</v>
      </c>
      <c r="H47" s="108">
        <v>1796</v>
      </c>
    </row>
    <row r="48" spans="1:9">
      <c r="B48" s="57"/>
      <c r="C48" s="42" t="s">
        <v>159</v>
      </c>
      <c r="D48" s="106">
        <v>-35</v>
      </c>
      <c r="E48" s="106">
        <v>526</v>
      </c>
      <c r="F48" s="106">
        <v>732</v>
      </c>
      <c r="G48" s="106">
        <v>9</v>
      </c>
      <c r="H48" s="108">
        <v>1123</v>
      </c>
    </row>
    <row r="49" spans="2:8">
      <c r="B49" s="57"/>
      <c r="C49" s="42" t="s">
        <v>160</v>
      </c>
      <c r="D49" s="106">
        <v>317</v>
      </c>
      <c r="E49" s="106">
        <v>157</v>
      </c>
      <c r="F49" s="106">
        <v>25</v>
      </c>
      <c r="G49" s="106">
        <v>84</v>
      </c>
      <c r="H49" s="108">
        <v>3</v>
      </c>
    </row>
    <row r="50" spans="2:8">
      <c r="B50" s="57"/>
      <c r="C50" s="42" t="s">
        <v>161</v>
      </c>
      <c r="D50" s="106">
        <v>86</v>
      </c>
      <c r="E50" s="106">
        <v>102</v>
      </c>
      <c r="F50" s="106">
        <v>46</v>
      </c>
      <c r="G50" s="106">
        <v>36</v>
      </c>
      <c r="H50" s="108">
        <v>25</v>
      </c>
    </row>
    <row r="51" spans="2:8">
      <c r="B51" s="57"/>
      <c r="C51" s="42" t="s">
        <v>176</v>
      </c>
      <c r="D51" s="106">
        <v>-5</v>
      </c>
      <c r="E51" s="106">
        <v>0</v>
      </c>
      <c r="F51" s="106">
        <v>7</v>
      </c>
      <c r="G51" s="106">
        <v>4</v>
      </c>
      <c r="H51" s="108">
        <v>2</v>
      </c>
    </row>
    <row r="52" spans="2:8">
      <c r="B52" s="57"/>
      <c r="C52" s="42" t="s">
        <v>173</v>
      </c>
      <c r="D52" s="106">
        <v>0</v>
      </c>
      <c r="E52" s="106">
        <v>103</v>
      </c>
      <c r="F52" s="106">
        <v>0</v>
      </c>
      <c r="G52" s="106">
        <v>0</v>
      </c>
      <c r="H52" s="108">
        <v>0</v>
      </c>
    </row>
    <row r="53" spans="2:8">
      <c r="B53" s="57"/>
      <c r="C53" s="42" t="s">
        <v>174</v>
      </c>
      <c r="D53" s="106">
        <v>106</v>
      </c>
      <c r="E53" s="106">
        <v>54</v>
      </c>
      <c r="F53" s="106">
        <v>1</v>
      </c>
      <c r="G53" s="106">
        <v>0</v>
      </c>
      <c r="H53" s="108">
        <v>0</v>
      </c>
    </row>
    <row r="54" spans="2:8">
      <c r="B54" s="57"/>
      <c r="C54" s="42" t="s">
        <v>171</v>
      </c>
      <c r="D54" s="106">
        <v>0</v>
      </c>
      <c r="E54" s="106">
        <v>43</v>
      </c>
      <c r="F54" s="106">
        <v>-14</v>
      </c>
      <c r="G54" s="106">
        <v>0</v>
      </c>
      <c r="H54" s="108">
        <v>0</v>
      </c>
    </row>
    <row r="55" spans="2:8">
      <c r="B55" s="57"/>
      <c r="C55" s="42" t="s">
        <v>172</v>
      </c>
      <c r="D55" s="106">
        <v>102</v>
      </c>
      <c r="E55" s="106">
        <v>5</v>
      </c>
      <c r="F55" s="106">
        <v>6</v>
      </c>
      <c r="G55" s="106">
        <v>0</v>
      </c>
      <c r="H55" s="108">
        <v>0</v>
      </c>
    </row>
    <row r="56" spans="2:8">
      <c r="B56" s="57"/>
      <c r="C56" s="42" t="s">
        <v>162</v>
      </c>
      <c r="D56" s="103">
        <v>362</v>
      </c>
      <c r="E56" s="103">
        <v>0</v>
      </c>
      <c r="F56" s="103">
        <v>2</v>
      </c>
      <c r="G56" s="103">
        <v>51</v>
      </c>
      <c r="H56" s="107">
        <v>25</v>
      </c>
    </row>
    <row r="57" spans="2:8">
      <c r="B57" s="57" t="s">
        <v>13</v>
      </c>
      <c r="C57" s="37" t="s">
        <v>24</v>
      </c>
      <c r="D57" s="91">
        <f>SUM(D45:D56)</f>
        <v>-2528</v>
      </c>
      <c r="E57" s="91">
        <f>SUM(E45:E56)</f>
        <v>-774</v>
      </c>
      <c r="F57" s="91">
        <f>SUM(F45:F56)</f>
        <v>1713</v>
      </c>
      <c r="G57" s="91">
        <f>SUM(G45:G56)</f>
        <v>4052</v>
      </c>
      <c r="H57" s="92">
        <f>SUM(H45:H56)</f>
        <v>6484</v>
      </c>
    </row>
    <row r="58" spans="2:8">
      <c r="B58" s="57"/>
      <c r="C58" s="37"/>
      <c r="D58" s="37"/>
      <c r="E58" s="37"/>
      <c r="F58" s="37"/>
      <c r="G58" s="37"/>
      <c r="H58" s="68"/>
    </row>
    <row r="59" spans="2:8">
      <c r="B59" s="57"/>
      <c r="C59" s="49" t="s">
        <v>25</v>
      </c>
      <c r="D59" s="55">
        <v>1752.96</v>
      </c>
      <c r="E59" s="55">
        <v>1895.519</v>
      </c>
      <c r="F59" s="55">
        <v>1974.9280000000001</v>
      </c>
      <c r="G59" s="55">
        <v>2091.7820000000002</v>
      </c>
      <c r="H59" s="69">
        <v>2150.5079999999998</v>
      </c>
    </row>
    <row r="60" spans="2:8">
      <c r="B60" s="57"/>
      <c r="F60"/>
      <c r="G60" s="102"/>
      <c r="H60" s="70"/>
    </row>
    <row r="61" spans="2:8">
      <c r="B61" s="57"/>
      <c r="F61"/>
      <c r="G61" s="102"/>
      <c r="H61" s="70"/>
    </row>
    <row r="62" spans="2:8">
      <c r="B62" s="57"/>
      <c r="F62"/>
      <c r="G62" s="102"/>
      <c r="H62" s="70"/>
    </row>
    <row r="63" spans="2:8">
      <c r="B63" s="57" t="s">
        <v>13</v>
      </c>
      <c r="F63"/>
      <c r="G63" s="102"/>
      <c r="H63" s="70"/>
    </row>
    <row r="64" spans="2:8">
      <c r="B64" s="57"/>
      <c r="F64"/>
      <c r="H64" s="67"/>
    </row>
    <row r="65" spans="2:8">
      <c r="B65" s="57"/>
      <c r="C65" s="34" t="s">
        <v>26</v>
      </c>
      <c r="D65" s="34"/>
      <c r="E65" s="34"/>
      <c r="F65" s="35"/>
      <c r="G65" s="35"/>
      <c r="H65" s="64"/>
    </row>
    <row r="66" spans="2:8">
      <c r="B66" s="57"/>
      <c r="C66" s="24" t="s">
        <v>11</v>
      </c>
      <c r="D66" s="40">
        <f t="shared" ref="D66:E67" si="3">D15</f>
        <v>2020</v>
      </c>
      <c r="E66" s="40">
        <f t="shared" si="3"/>
        <v>2021</v>
      </c>
      <c r="F66" s="40">
        <f t="shared" ref="F66:H67" si="4">F15</f>
        <v>2022</v>
      </c>
      <c r="G66" s="40">
        <f t="shared" si="4"/>
        <v>2023</v>
      </c>
      <c r="H66" s="71">
        <f t="shared" si="4"/>
        <v>2024</v>
      </c>
    </row>
    <row r="67" spans="2:8">
      <c r="B67" s="57"/>
      <c r="C67" s="24" t="s">
        <v>12</v>
      </c>
      <c r="D67" s="27">
        <f t="shared" si="3"/>
        <v>44926</v>
      </c>
      <c r="E67" s="27">
        <f t="shared" si="3"/>
        <v>45291</v>
      </c>
      <c r="F67" s="27">
        <f t="shared" si="4"/>
        <v>44926</v>
      </c>
      <c r="G67" s="27">
        <f t="shared" si="4"/>
        <v>45291</v>
      </c>
      <c r="H67" s="51">
        <f t="shared" si="4"/>
        <v>45657</v>
      </c>
    </row>
    <row r="68" spans="2:8">
      <c r="B68" s="57"/>
      <c r="H68" s="67"/>
    </row>
    <row r="69" spans="2:8">
      <c r="B69" s="57"/>
      <c r="C69" s="121" t="s">
        <v>137</v>
      </c>
      <c r="D69" s="87">
        <f>5647+1180</f>
        <v>6827</v>
      </c>
      <c r="E69" s="87">
        <v>4295</v>
      </c>
      <c r="F69" s="87">
        <f>4208+103</f>
        <v>4311</v>
      </c>
      <c r="G69" s="87">
        <f>4680+727</f>
        <v>5407</v>
      </c>
      <c r="H69" s="88">
        <f>5893+1084</f>
        <v>6977</v>
      </c>
    </row>
    <row r="70" spans="2:8">
      <c r="B70" s="57" t="s">
        <v>13</v>
      </c>
      <c r="C70" s="121" t="s">
        <v>177</v>
      </c>
      <c r="D70" s="106">
        <f>1494+250</f>
        <v>1744</v>
      </c>
      <c r="E70" s="106">
        <f>2879+631</f>
        <v>3510</v>
      </c>
      <c r="F70" s="106">
        <f>680+1789</f>
        <v>2469</v>
      </c>
      <c r="G70" s="106">
        <f>1519+805</f>
        <v>2324</v>
      </c>
      <c r="H70" s="108">
        <f>545+2172</f>
        <v>2717</v>
      </c>
    </row>
    <row r="71" spans="2:8">
      <c r="B71" s="57"/>
      <c r="C71" s="121" t="s">
        <v>138</v>
      </c>
      <c r="D71" s="106">
        <v>1073</v>
      </c>
      <c r="E71" s="106">
        <v>2439</v>
      </c>
      <c r="F71" s="106">
        <v>2779</v>
      </c>
      <c r="G71" s="106">
        <v>3404</v>
      </c>
      <c r="H71" s="108">
        <v>3333</v>
      </c>
    </row>
    <row r="72" spans="2:8">
      <c r="B72" s="57"/>
      <c r="C72" s="121" t="s">
        <v>178</v>
      </c>
      <c r="D72" s="106">
        <v>1215</v>
      </c>
      <c r="E72" s="106">
        <v>1454</v>
      </c>
      <c r="F72" s="106">
        <v>1479</v>
      </c>
      <c r="G72" s="106">
        <v>1681</v>
      </c>
      <c r="H72" s="108">
        <v>1390</v>
      </c>
    </row>
    <row r="73" spans="2:8">
      <c r="B73" s="57"/>
      <c r="C73" s="121" t="s">
        <v>200</v>
      </c>
      <c r="D73" s="106">
        <v>0</v>
      </c>
      <c r="E73" s="106">
        <v>0</v>
      </c>
      <c r="F73" s="106">
        <v>1614</v>
      </c>
      <c r="G73" s="106">
        <v>4779</v>
      </c>
      <c r="H73" s="108">
        <v>7019</v>
      </c>
    </row>
    <row r="74" spans="2:8">
      <c r="B74" s="57"/>
      <c r="C74" s="121" t="s">
        <v>179</v>
      </c>
      <c r="D74" s="106">
        <v>517</v>
      </c>
      <c r="E74" s="106">
        <v>0</v>
      </c>
      <c r="F74" s="106">
        <v>0</v>
      </c>
      <c r="G74" s="106">
        <v>0</v>
      </c>
      <c r="H74" s="108">
        <v>0</v>
      </c>
    </row>
    <row r="75" spans="2:8">
      <c r="B75" s="57"/>
      <c r="C75" s="24" t="s">
        <v>180</v>
      </c>
      <c r="D75" s="106">
        <v>860</v>
      </c>
      <c r="E75" s="106">
        <v>0</v>
      </c>
      <c r="F75" s="106">
        <v>0</v>
      </c>
      <c r="G75" s="106">
        <v>0</v>
      </c>
      <c r="H75" s="108">
        <v>0</v>
      </c>
    </row>
    <row r="76" spans="2:8">
      <c r="B76" s="57"/>
      <c r="C76" s="24" t="s">
        <v>181</v>
      </c>
      <c r="D76" s="106">
        <v>9052</v>
      </c>
      <c r="E76" s="106">
        <v>11806</v>
      </c>
      <c r="F76" s="106">
        <v>4401</v>
      </c>
      <c r="G76" s="106">
        <v>6101</v>
      </c>
      <c r="H76" s="108">
        <v>8460</v>
      </c>
    </row>
    <row r="77" spans="2:8">
      <c r="B77" s="57" t="s">
        <v>13</v>
      </c>
      <c r="C77" s="24" t="s">
        <v>183</v>
      </c>
      <c r="D77" s="106">
        <v>1814</v>
      </c>
      <c r="E77" s="106">
        <v>1853</v>
      </c>
      <c r="F77" s="106">
        <v>2082</v>
      </c>
      <c r="G77" s="106">
        <v>2073</v>
      </c>
      <c r="H77" s="108">
        <v>1952</v>
      </c>
    </row>
    <row r="78" spans="2:8">
      <c r="B78" s="57"/>
      <c r="C78" s="24" t="s">
        <v>184</v>
      </c>
      <c r="D78" s="106">
        <v>1274</v>
      </c>
      <c r="E78" s="106">
        <v>1388</v>
      </c>
      <c r="F78" s="106">
        <v>1449</v>
      </c>
      <c r="G78" s="106">
        <v>1241</v>
      </c>
      <c r="H78" s="108">
        <v>1158</v>
      </c>
    </row>
    <row r="79" spans="2:8">
      <c r="B79" s="57"/>
      <c r="C79" s="24" t="s">
        <v>185</v>
      </c>
      <c r="D79" s="106">
        <v>1564</v>
      </c>
      <c r="E79" s="106">
        <v>2412</v>
      </c>
      <c r="F79" s="106">
        <v>1874</v>
      </c>
      <c r="G79" s="106">
        <v>1425</v>
      </c>
      <c r="H79" s="108">
        <v>1125</v>
      </c>
    </row>
    <row r="80" spans="2:8">
      <c r="B80" s="57"/>
      <c r="C80" s="24" t="s">
        <v>186</v>
      </c>
      <c r="D80" s="106">
        <v>6109</v>
      </c>
      <c r="E80" s="106">
        <v>8420</v>
      </c>
      <c r="F80" s="106">
        <v>8263</v>
      </c>
      <c r="G80" s="106">
        <v>8151</v>
      </c>
      <c r="H80" s="108">
        <v>8066</v>
      </c>
    </row>
    <row r="81" spans="1:8" s="44" customFormat="1">
      <c r="A81" s="58"/>
      <c r="C81" s="24" t="s">
        <v>140</v>
      </c>
      <c r="D81" s="106">
        <v>0</v>
      </c>
      <c r="E81" s="106">
        <v>0</v>
      </c>
      <c r="F81" s="106">
        <v>0</v>
      </c>
      <c r="G81" s="106">
        <v>170</v>
      </c>
      <c r="H81" s="108">
        <v>6171</v>
      </c>
    </row>
    <row r="82" spans="1:8">
      <c r="A82" s="57" t="s">
        <v>13</v>
      </c>
      <c r="B82" s="54" t="s">
        <v>33</v>
      </c>
      <c r="C82" s="24" t="s">
        <v>182</v>
      </c>
      <c r="D82" s="106">
        <v>1079</v>
      </c>
      <c r="E82" s="106">
        <v>800</v>
      </c>
      <c r="F82" s="106">
        <v>870</v>
      </c>
      <c r="G82" s="106">
        <v>353</v>
      </c>
      <c r="H82" s="108">
        <v>302</v>
      </c>
    </row>
    <row r="83" spans="1:8">
      <c r="C83" s="24" t="s">
        <v>187</v>
      </c>
      <c r="D83" s="103">
        <v>124</v>
      </c>
      <c r="E83" s="103">
        <v>397</v>
      </c>
      <c r="F83" s="103">
        <v>518</v>
      </c>
      <c r="G83" s="103">
        <v>1590</v>
      </c>
      <c r="H83" s="107">
        <v>2574</v>
      </c>
    </row>
    <row r="84" spans="1:8">
      <c r="C84" s="37" t="s">
        <v>27</v>
      </c>
      <c r="D84" s="93">
        <f t="shared" ref="D84:F84" si="5">SUM(D69:D83)</f>
        <v>33252</v>
      </c>
      <c r="E84" s="93">
        <f t="shared" si="5"/>
        <v>38774</v>
      </c>
      <c r="F84" s="93">
        <f t="shared" si="5"/>
        <v>32109</v>
      </c>
      <c r="G84" s="93">
        <f t="shared" ref="G84:H84" si="6">SUM(G69:G83)</f>
        <v>38699</v>
      </c>
      <c r="H84" s="94">
        <f t="shared" si="6"/>
        <v>51244</v>
      </c>
    </row>
    <row r="85" spans="1:8">
      <c r="H85" s="67"/>
    </row>
    <row r="86" spans="1:8">
      <c r="C86" s="121" t="s">
        <v>28</v>
      </c>
      <c r="D86" s="87">
        <v>235</v>
      </c>
      <c r="E86" s="87">
        <v>860</v>
      </c>
      <c r="F86" s="87">
        <v>728</v>
      </c>
      <c r="G86" s="87">
        <v>790</v>
      </c>
      <c r="H86" s="88">
        <v>858</v>
      </c>
    </row>
    <row r="87" spans="1:8">
      <c r="C87" s="121" t="s">
        <v>188</v>
      </c>
      <c r="D87" s="106">
        <v>1243</v>
      </c>
      <c r="E87" s="106">
        <v>1442</v>
      </c>
      <c r="F87" s="106">
        <v>1692</v>
      </c>
      <c r="G87" s="106">
        <v>2077</v>
      </c>
      <c r="H87" s="108">
        <v>2754</v>
      </c>
    </row>
    <row r="88" spans="1:8">
      <c r="C88" s="121" t="s">
        <v>189</v>
      </c>
      <c r="D88" s="106">
        <v>175</v>
      </c>
      <c r="E88" s="106">
        <v>185</v>
      </c>
      <c r="F88" s="106">
        <v>201</v>
      </c>
      <c r="G88" s="106">
        <v>190</v>
      </c>
      <c r="H88" s="108">
        <v>175</v>
      </c>
    </row>
    <row r="89" spans="1:8">
      <c r="C89" s="24" t="s">
        <v>190</v>
      </c>
      <c r="D89" s="106">
        <v>5112</v>
      </c>
      <c r="E89" s="106">
        <v>6537</v>
      </c>
      <c r="F89" s="106">
        <v>6232</v>
      </c>
      <c r="G89" s="106">
        <v>6397</v>
      </c>
      <c r="H89" s="108">
        <v>7689</v>
      </c>
    </row>
    <row r="90" spans="1:8">
      <c r="C90" s="24" t="s">
        <v>191</v>
      </c>
      <c r="D90" s="106">
        <v>100</v>
      </c>
      <c r="E90" s="106">
        <v>0</v>
      </c>
      <c r="F90" s="106">
        <v>0</v>
      </c>
      <c r="G90" s="106">
        <v>0</v>
      </c>
      <c r="H90" s="108">
        <v>0</v>
      </c>
    </row>
    <row r="91" spans="1:8">
      <c r="C91" s="24" t="s">
        <v>192</v>
      </c>
      <c r="D91" s="106">
        <v>2223</v>
      </c>
      <c r="E91" s="106">
        <v>2546</v>
      </c>
      <c r="F91" s="106">
        <v>3028</v>
      </c>
      <c r="G91" s="106">
        <v>4909</v>
      </c>
      <c r="H91" s="108">
        <v>7042</v>
      </c>
    </row>
    <row r="92" spans="1:8">
      <c r="C92" s="24" t="s">
        <v>193</v>
      </c>
      <c r="D92" s="106">
        <v>7560</v>
      </c>
      <c r="E92" s="106">
        <v>9276</v>
      </c>
      <c r="F92" s="106">
        <v>9265</v>
      </c>
      <c r="G92" s="106">
        <v>9459</v>
      </c>
      <c r="H92" s="108">
        <v>8347</v>
      </c>
    </row>
    <row r="93" spans="1:8">
      <c r="C93" s="24" t="s">
        <v>201</v>
      </c>
      <c r="D93" s="106">
        <v>1544</v>
      </c>
      <c r="E93" s="106">
        <v>1644</v>
      </c>
      <c r="F93" s="106">
        <v>1673</v>
      </c>
      <c r="G93" s="106">
        <v>1550</v>
      </c>
      <c r="H93" s="108">
        <v>1454</v>
      </c>
    </row>
    <row r="94" spans="1:8">
      <c r="C94" s="24" t="s">
        <v>194</v>
      </c>
      <c r="D94" s="103">
        <v>1306</v>
      </c>
      <c r="E94" s="103">
        <v>935</v>
      </c>
      <c r="F94" s="103">
        <v>786</v>
      </c>
      <c r="G94" s="103">
        <v>645</v>
      </c>
      <c r="H94" s="107">
        <v>449</v>
      </c>
    </row>
    <row r="95" spans="1:8">
      <c r="C95" s="37" t="s">
        <v>29</v>
      </c>
      <c r="D95" s="93">
        <f t="shared" ref="D95:H95" si="7">SUM(D86:D94)</f>
        <v>19498</v>
      </c>
      <c r="E95" s="93">
        <f t="shared" si="7"/>
        <v>23425</v>
      </c>
      <c r="F95" s="93">
        <f t="shared" si="7"/>
        <v>23605</v>
      </c>
      <c r="G95" s="93">
        <f t="shared" si="7"/>
        <v>26017</v>
      </c>
      <c r="H95" s="94">
        <f t="shared" si="7"/>
        <v>28768</v>
      </c>
    </row>
    <row r="96" spans="1:8">
      <c r="C96" s="37"/>
      <c r="D96" s="91"/>
      <c r="E96" s="91"/>
      <c r="F96" s="91"/>
      <c r="G96" s="91"/>
      <c r="H96" s="92"/>
    </row>
    <row r="97" spans="3:8">
      <c r="C97" s="38" t="s">
        <v>110</v>
      </c>
      <c r="H97" s="67"/>
    </row>
    <row r="98" spans="3:8">
      <c r="C98" s="24" t="s">
        <v>198</v>
      </c>
      <c r="D98" s="87">
        <v>787</v>
      </c>
      <c r="E98" s="106">
        <v>204</v>
      </c>
      <c r="F98" s="106">
        <v>430</v>
      </c>
      <c r="G98" s="87">
        <v>654</v>
      </c>
      <c r="H98" s="88">
        <v>93</v>
      </c>
    </row>
    <row r="99" spans="3:8">
      <c r="D99" s="143"/>
      <c r="E99" s="139"/>
      <c r="F99" s="139"/>
      <c r="G99" s="143"/>
      <c r="H99" s="144"/>
    </row>
    <row r="100" spans="3:8">
      <c r="C100" s="24" t="s">
        <v>30</v>
      </c>
      <c r="D100" s="87">
        <v>35931</v>
      </c>
      <c r="E100" s="87">
        <v>38608</v>
      </c>
      <c r="F100" s="87">
        <v>40550</v>
      </c>
      <c r="G100" s="87">
        <v>42264</v>
      </c>
      <c r="H100" s="88">
        <v>42801</v>
      </c>
    </row>
    <row r="101" spans="3:8">
      <c r="C101" s="24" t="s">
        <v>195</v>
      </c>
      <c r="D101" s="106">
        <v>-23130</v>
      </c>
      <c r="E101" s="106">
        <v>-23626</v>
      </c>
      <c r="F101" s="106">
        <v>-32767</v>
      </c>
      <c r="G101" s="106">
        <v>-30594</v>
      </c>
      <c r="H101" s="108">
        <v>-20726</v>
      </c>
    </row>
    <row r="102" spans="3:8">
      <c r="C102" s="24" t="s">
        <v>196</v>
      </c>
      <c r="D102" s="103">
        <v>-535</v>
      </c>
      <c r="E102" s="103">
        <v>-524</v>
      </c>
      <c r="F102" s="103">
        <v>-443</v>
      </c>
      <c r="G102" s="103">
        <v>-421</v>
      </c>
      <c r="H102" s="107">
        <v>-517</v>
      </c>
    </row>
    <row r="103" spans="3:8">
      <c r="C103" s="47" t="s">
        <v>202</v>
      </c>
      <c r="D103" s="120">
        <f t="shared" ref="D103:F103" si="8">SUM(D100:D102)</f>
        <v>12266</v>
      </c>
      <c r="E103" s="120">
        <f t="shared" si="8"/>
        <v>14458</v>
      </c>
      <c r="F103" s="120">
        <f t="shared" si="8"/>
        <v>7340</v>
      </c>
      <c r="G103" s="120">
        <f>SUM(G100:G102)</f>
        <v>11249</v>
      </c>
      <c r="H103" s="149">
        <f>SUM(H100:H102)</f>
        <v>21558</v>
      </c>
    </row>
    <row r="104" spans="3:8">
      <c r="C104" s="24" t="s">
        <v>197</v>
      </c>
      <c r="D104" s="103">
        <v>701</v>
      </c>
      <c r="E104" s="103">
        <v>687</v>
      </c>
      <c r="F104" s="103">
        <v>734</v>
      </c>
      <c r="G104" s="103">
        <v>779</v>
      </c>
      <c r="H104" s="107">
        <v>825</v>
      </c>
    </row>
    <row r="105" spans="3:8">
      <c r="C105" s="37" t="s">
        <v>31</v>
      </c>
      <c r="D105" s="91">
        <f>SUM(D103:D104)+D98</f>
        <v>13754</v>
      </c>
      <c r="E105" s="91">
        <f t="shared" ref="E105:G105" si="9">SUM(E103:E104)+E98</f>
        <v>15349</v>
      </c>
      <c r="F105" s="91">
        <f t="shared" si="9"/>
        <v>8504</v>
      </c>
      <c r="G105" s="91">
        <f t="shared" si="9"/>
        <v>12682</v>
      </c>
      <c r="H105" s="92">
        <f>SUM(H103:H104)+H98</f>
        <v>22476</v>
      </c>
    </row>
    <row r="106" spans="3:8">
      <c r="C106" s="43"/>
      <c r="D106" s="91"/>
      <c r="E106" s="91"/>
      <c r="F106" s="91"/>
      <c r="G106" s="91"/>
      <c r="H106" s="92"/>
    </row>
    <row r="107" spans="3:8">
      <c r="H107" s="67"/>
    </row>
    <row r="108" spans="3:8">
      <c r="C108" s="44" t="s">
        <v>32</v>
      </c>
      <c r="D108" s="44">
        <f>ROUND(D84-D95-D105,3)</f>
        <v>0</v>
      </c>
      <c r="E108" s="44">
        <f>ROUND(E84-E95-E105,3)</f>
        <v>0</v>
      </c>
      <c r="F108" s="44">
        <f>ROUND(F84-F95-F105,3)</f>
        <v>0</v>
      </c>
      <c r="G108" s="44">
        <f>ROUND(G84-G95-G105,3)</f>
        <v>0</v>
      </c>
      <c r="H108" s="72">
        <f>ROUND(H84-H95-H105,3)</f>
        <v>0</v>
      </c>
    </row>
  </sheetData>
  <dataValidations disablePrompts="1" count="1">
    <dataValidation type="list" allowBlank="1" showInputMessage="1" showErrorMessage="1" sqref="D11" xr:uid="{17C77E39-4927-974C-9C75-C7D4699CC1B5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A264-95D8-4E85-A241-FDBEC9F45157}">
  <dimension ref="A1:S223"/>
  <sheetViews>
    <sheetView showGridLines="0" zoomScale="150" zoomScaleNormal="100" workbookViewId="0">
      <selection activeCell="F17" sqref="F17"/>
    </sheetView>
  </sheetViews>
  <sheetFormatPr baseColWidth="10" defaultColWidth="8.83203125" defaultRowHeight="15"/>
  <cols>
    <col min="1" max="1" width="2" style="57" customWidth="1"/>
    <col min="2" max="2" width="2.33203125" style="24" customWidth="1"/>
    <col min="3" max="3" width="59.6640625" style="24" customWidth="1"/>
    <col min="4" max="11" width="13.33203125" style="24" customWidth="1"/>
    <col min="12" max="12" width="10.1640625" style="24" bestFit="1" customWidth="1"/>
    <col min="13" max="15" width="12.5" style="24" customWidth="1"/>
    <col min="16" max="16384" width="8.83203125" style="24"/>
  </cols>
  <sheetData>
    <row r="1" spans="1:14" ht="19">
      <c r="C1" s="28" t="str">
        <f>D5&amp;" ("&amp;D6&amp;")"</f>
        <v>Uber Inc. (UBER)</v>
      </c>
      <c r="D1" s="28"/>
      <c r="E1" s="28"/>
      <c r="F1" s="28"/>
      <c r="G1" s="28"/>
      <c r="H1" s="28"/>
      <c r="I1" s="28"/>
      <c r="J1" s="28"/>
      <c r="K1" s="28"/>
    </row>
    <row r="2" spans="1:14" ht="19">
      <c r="C2" s="28" t="s">
        <v>0</v>
      </c>
      <c r="D2" s="28"/>
      <c r="E2" s="28"/>
      <c r="F2" s="28"/>
      <c r="G2" s="28"/>
      <c r="H2" s="28"/>
      <c r="I2" s="28"/>
      <c r="J2" s="28"/>
      <c r="K2" s="28"/>
    </row>
    <row r="3" spans="1:14" ht="19">
      <c r="C3" s="29" t="str">
        <f>'3-Stmt Model Data Worksheet'!C3</f>
        <v>($ in millions,  fiscal year ending Dec. 31)</v>
      </c>
      <c r="D3" s="28"/>
      <c r="E3" s="28"/>
      <c r="F3" s="28"/>
      <c r="G3" s="28"/>
      <c r="H3" s="28"/>
      <c r="I3" s="28"/>
      <c r="J3" s="28"/>
      <c r="K3" s="28"/>
    </row>
    <row r="5" spans="1:14" ht="16">
      <c r="C5" s="24" t="s">
        <v>1</v>
      </c>
      <c r="D5" s="30" t="str">
        <f>'3-Stmt Model Data Worksheet'!D5</f>
        <v>Uber Inc.</v>
      </c>
    </row>
    <row r="6" spans="1:14" ht="16">
      <c r="C6" s="24" t="s">
        <v>2</v>
      </c>
      <c r="D6" s="30" t="str">
        <f>'3-Stmt Model Data Worksheet'!D6</f>
        <v>UBER</v>
      </c>
    </row>
    <row r="7" spans="1:14">
      <c r="C7" s="24" t="s">
        <v>3</v>
      </c>
      <c r="D7" s="31">
        <v>1</v>
      </c>
    </row>
    <row r="8" spans="1:14">
      <c r="C8" s="24" t="s">
        <v>4</v>
      </c>
      <c r="D8" s="100">
        <v>98.45</v>
      </c>
    </row>
    <row r="9" spans="1:14">
      <c r="C9" s="24" t="s">
        <v>5</v>
      </c>
      <c r="D9" s="32">
        <f>'3-Stmt Model Data Worksheet'!D9</f>
        <v>45929</v>
      </c>
    </row>
    <row r="10" spans="1:14">
      <c r="C10" s="24" t="s">
        <v>6</v>
      </c>
      <c r="D10" s="32">
        <f>'3-Stmt Model Data Worksheet'!D10</f>
        <v>46022</v>
      </c>
    </row>
    <row r="11" spans="1:14">
      <c r="C11" s="24" t="s">
        <v>7</v>
      </c>
      <c r="D11" s="31" t="s">
        <v>8</v>
      </c>
      <c r="G11" s="115"/>
    </row>
    <row r="13" spans="1:14" ht="16" thickBot="1">
      <c r="D13" s="206" t="s">
        <v>9</v>
      </c>
      <c r="E13" s="206"/>
      <c r="F13" s="206"/>
      <c r="G13" s="206"/>
      <c r="H13" s="206"/>
      <c r="I13" s="206" t="s">
        <v>199</v>
      </c>
      <c r="J13" s="206"/>
      <c r="K13" s="206"/>
      <c r="L13" s="206"/>
      <c r="M13" s="206"/>
    </row>
    <row r="14" spans="1:14">
      <c r="A14" s="57" t="s">
        <v>13</v>
      </c>
      <c r="C14" s="34" t="s">
        <v>10</v>
      </c>
      <c r="D14" s="35"/>
      <c r="E14" s="35"/>
      <c r="F14" s="141"/>
      <c r="G14" s="35"/>
      <c r="H14" s="35"/>
      <c r="I14" s="35"/>
      <c r="J14" s="141"/>
      <c r="K14" s="141"/>
      <c r="L14" s="141"/>
      <c r="M14" s="141"/>
    </row>
    <row r="15" spans="1:14">
      <c r="C15" s="24" t="s">
        <v>11</v>
      </c>
      <c r="D15" s="25">
        <f>E15-1</f>
        <v>2020</v>
      </c>
      <c r="E15" s="25">
        <f>F15-1</f>
        <v>2021</v>
      </c>
      <c r="F15" s="25">
        <f>G15-1</f>
        <v>2022</v>
      </c>
      <c r="G15" s="25">
        <f>H15-1</f>
        <v>2023</v>
      </c>
      <c r="H15" s="65">
        <f>YEAR(D10)-1</f>
        <v>2024</v>
      </c>
      <c r="I15" s="26">
        <f>H15+1</f>
        <v>2025</v>
      </c>
      <c r="J15" s="26">
        <f t="shared" ref="J15:K15" si="0">I15+1</f>
        <v>2026</v>
      </c>
      <c r="K15" s="26">
        <f t="shared" si="0"/>
        <v>2027</v>
      </c>
      <c r="L15" s="26">
        <f t="shared" ref="L15" si="1">K15+1</f>
        <v>2028</v>
      </c>
      <c r="M15" s="26">
        <f t="shared" ref="M15" si="2">L15+1</f>
        <v>2029</v>
      </c>
      <c r="N15" s="26"/>
    </row>
    <row r="16" spans="1:14">
      <c r="C16" s="24" t="s">
        <v>12</v>
      </c>
      <c r="D16" s="96">
        <f>'3-Stmt Model Data Worksheet'!D16</f>
        <v>44926</v>
      </c>
      <c r="E16" s="96">
        <f>'3-Stmt Model Data Worksheet'!E16</f>
        <v>45291</v>
      </c>
      <c r="F16" s="96">
        <f>'3-Stmt Model Data Worksheet'!F16</f>
        <v>44926</v>
      </c>
      <c r="G16" s="96">
        <f>'3-Stmt Model Data Worksheet'!G16</f>
        <v>45291</v>
      </c>
      <c r="H16" s="97">
        <f>'3-Stmt Model Data Worksheet'!H16</f>
        <v>45657</v>
      </c>
      <c r="I16" s="96">
        <f>DATE(YEAR(H16),MONTH(H16),DAY(H16)+52*7)</f>
        <v>46021</v>
      </c>
      <c r="J16" s="110">
        <f t="shared" ref="J16:M16" si="3">DATE(YEAR(I16),MONTH(I16),DAY(I16)+52*7)</f>
        <v>46385</v>
      </c>
      <c r="K16" s="110">
        <f t="shared" si="3"/>
        <v>46749</v>
      </c>
      <c r="L16" s="110">
        <f t="shared" si="3"/>
        <v>47113</v>
      </c>
      <c r="M16" s="110">
        <f t="shared" si="3"/>
        <v>47477</v>
      </c>
      <c r="N16" s="36"/>
    </row>
    <row r="17" spans="2:17">
      <c r="D17" s="101"/>
      <c r="E17" s="46"/>
      <c r="F17" s="101"/>
      <c r="G17" s="46"/>
      <c r="H17" s="66"/>
      <c r="J17" s="36"/>
      <c r="K17" s="36"/>
      <c r="L17" s="36"/>
      <c r="M17" s="36"/>
      <c r="N17" s="36"/>
    </row>
    <row r="18" spans="2:17">
      <c r="B18" s="57" t="s">
        <v>13</v>
      </c>
      <c r="C18" s="24" t="s">
        <v>14</v>
      </c>
      <c r="D18" s="87">
        <f>SUM(D19:D22)</f>
        <v>11139</v>
      </c>
      <c r="E18" s="87">
        <f t="shared" ref="E18:H18" si="4">SUM(E19:E22)</f>
        <v>17455</v>
      </c>
      <c r="F18" s="87">
        <f t="shared" si="4"/>
        <v>31877</v>
      </c>
      <c r="G18" s="87">
        <f t="shared" si="4"/>
        <v>37281</v>
      </c>
      <c r="H18" s="87">
        <f t="shared" si="4"/>
        <v>43978</v>
      </c>
      <c r="I18" s="143"/>
      <c r="J18" s="143"/>
      <c r="K18" s="143"/>
      <c r="L18" s="143"/>
      <c r="M18" s="143"/>
      <c r="O18" s="8"/>
      <c r="P18" s="8"/>
      <c r="Q18" s="8"/>
    </row>
    <row r="19" spans="2:17">
      <c r="B19" s="57"/>
      <c r="C19" s="42" t="s">
        <v>163</v>
      </c>
      <c r="D19" s="87">
        <v>6089</v>
      </c>
      <c r="E19" s="87">
        <v>6953</v>
      </c>
      <c r="F19" s="87">
        <v>14029</v>
      </c>
      <c r="G19" s="87">
        <v>19832</v>
      </c>
      <c r="H19" s="88">
        <v>25087</v>
      </c>
      <c r="I19" s="143"/>
      <c r="J19" s="143"/>
      <c r="K19" s="143"/>
      <c r="L19" s="143"/>
      <c r="M19" s="144"/>
      <c r="O19" s="8"/>
      <c r="P19" s="8"/>
      <c r="Q19" s="8"/>
    </row>
    <row r="20" spans="2:17">
      <c r="B20" s="57"/>
      <c r="C20" s="42" t="s">
        <v>164</v>
      </c>
      <c r="D20" s="87">
        <v>3904</v>
      </c>
      <c r="E20" s="87">
        <v>8362</v>
      </c>
      <c r="F20" s="87">
        <v>10901</v>
      </c>
      <c r="G20" s="87">
        <v>12204</v>
      </c>
      <c r="H20" s="88">
        <v>13750</v>
      </c>
      <c r="I20" s="143"/>
      <c r="J20" s="143"/>
      <c r="K20" s="143"/>
      <c r="L20" s="143"/>
      <c r="M20" s="144"/>
      <c r="O20" s="8"/>
      <c r="P20" s="8"/>
      <c r="Q20" s="8"/>
    </row>
    <row r="21" spans="2:17">
      <c r="B21" s="57"/>
      <c r="C21" s="42" t="s">
        <v>165</v>
      </c>
      <c r="D21" s="87">
        <v>1011</v>
      </c>
      <c r="E21" s="87">
        <v>2132</v>
      </c>
      <c r="F21" s="87">
        <v>6947</v>
      </c>
      <c r="G21" s="87">
        <v>5245</v>
      </c>
      <c r="H21" s="88">
        <v>5141</v>
      </c>
      <c r="I21" s="143"/>
      <c r="J21" s="143"/>
      <c r="K21" s="143"/>
      <c r="L21" s="143"/>
      <c r="M21" s="144"/>
      <c r="O21" s="8"/>
      <c r="P21" s="8"/>
      <c r="Q21" s="8"/>
    </row>
    <row r="22" spans="2:17">
      <c r="B22" s="57"/>
      <c r="C22" s="42" t="s">
        <v>175</v>
      </c>
      <c r="D22" s="87">
        <v>135</v>
      </c>
      <c r="E22" s="87">
        <v>8</v>
      </c>
      <c r="F22" s="87">
        <v>0</v>
      </c>
      <c r="G22" s="87">
        <v>0</v>
      </c>
      <c r="H22" s="88">
        <v>0</v>
      </c>
      <c r="I22" s="143"/>
      <c r="J22" s="143"/>
      <c r="K22" s="143"/>
      <c r="L22" s="143"/>
      <c r="M22" s="144"/>
    </row>
    <row r="23" spans="2:17">
      <c r="B23" s="57"/>
      <c r="C23" s="24" t="s">
        <v>15</v>
      </c>
      <c r="D23" s="103">
        <v>-5154</v>
      </c>
      <c r="E23" s="103">
        <v>-9351</v>
      </c>
      <c r="F23" s="103">
        <v>-19659</v>
      </c>
      <c r="G23" s="103">
        <v>-22457</v>
      </c>
      <c r="H23" s="107">
        <v>-26651</v>
      </c>
      <c r="I23" s="145"/>
      <c r="J23" s="145"/>
      <c r="K23" s="145"/>
      <c r="L23" s="145"/>
      <c r="M23" s="146"/>
      <c r="N23" s="129"/>
      <c r="O23" s="129"/>
      <c r="P23" s="129"/>
    </row>
    <row r="24" spans="2:17">
      <c r="B24" s="57"/>
      <c r="C24" s="37" t="s">
        <v>16</v>
      </c>
      <c r="D24" s="89">
        <f>D18+D23</f>
        <v>5985</v>
      </c>
      <c r="E24" s="89">
        <f>E18+E23</f>
        <v>8104</v>
      </c>
      <c r="F24" s="89">
        <f>F18+F23</f>
        <v>12218</v>
      </c>
      <c r="G24" s="89">
        <f>G18+G23</f>
        <v>14824</v>
      </c>
      <c r="H24" s="90">
        <f t="shared" ref="H24" si="5">H18+H23</f>
        <v>17327</v>
      </c>
      <c r="I24" s="89"/>
      <c r="J24" s="89"/>
      <c r="K24" s="89"/>
      <c r="L24" s="89"/>
      <c r="M24" s="90"/>
      <c r="N24" s="129"/>
      <c r="O24" s="129"/>
      <c r="P24" s="129"/>
    </row>
    <row r="25" spans="2:17">
      <c r="B25" s="57"/>
      <c r="C25" s="24" t="s">
        <v>147</v>
      </c>
      <c r="D25" s="106">
        <v>-1819</v>
      </c>
      <c r="E25" s="106">
        <v>-1877</v>
      </c>
      <c r="F25" s="106">
        <v>-2413</v>
      </c>
      <c r="G25" s="106">
        <v>-2689</v>
      </c>
      <c r="H25" s="88">
        <v>-2732</v>
      </c>
      <c r="I25" s="139"/>
      <c r="J25" s="139"/>
      <c r="K25" s="139"/>
      <c r="L25" s="139"/>
      <c r="M25" s="144"/>
      <c r="N25" s="129"/>
      <c r="O25" s="129"/>
      <c r="P25" s="129"/>
    </row>
    <row r="26" spans="2:17">
      <c r="B26" s="57"/>
      <c r="C26" s="24" t="s">
        <v>148</v>
      </c>
      <c r="D26" s="106">
        <v>-3583</v>
      </c>
      <c r="E26" s="106">
        <v>-4789</v>
      </c>
      <c r="F26" s="106">
        <v>-4756</v>
      </c>
      <c r="G26" s="106">
        <v>-4356</v>
      </c>
      <c r="H26" s="88">
        <v>-4337</v>
      </c>
      <c r="I26" s="139"/>
      <c r="J26" s="139"/>
      <c r="K26" s="139"/>
      <c r="L26" s="139"/>
      <c r="M26" s="144"/>
    </row>
    <row r="27" spans="2:17">
      <c r="B27" s="57"/>
      <c r="C27" s="24" t="s">
        <v>134</v>
      </c>
      <c r="D27" s="106">
        <v>-2205</v>
      </c>
      <c r="E27" s="106">
        <v>-2054</v>
      </c>
      <c r="F27" s="106">
        <v>-2798</v>
      </c>
      <c r="G27" s="106">
        <v>-3164</v>
      </c>
      <c r="H27" s="88">
        <v>-3109</v>
      </c>
      <c r="I27" s="139"/>
      <c r="J27" s="139"/>
      <c r="K27" s="139"/>
      <c r="L27" s="139"/>
      <c r="M27" s="144"/>
    </row>
    <row r="28" spans="2:17">
      <c r="B28" s="57"/>
      <c r="C28" s="24" t="s">
        <v>149</v>
      </c>
      <c r="D28" s="106">
        <v>-2666</v>
      </c>
      <c r="E28" s="106">
        <v>-2316</v>
      </c>
      <c r="F28" s="106">
        <v>-3136</v>
      </c>
      <c r="G28" s="106">
        <v>-2682</v>
      </c>
      <c r="H28" s="108">
        <v>-3639</v>
      </c>
      <c r="I28" s="139"/>
      <c r="J28" s="139"/>
      <c r="K28" s="139"/>
      <c r="L28" s="139"/>
      <c r="M28" s="140"/>
    </row>
    <row r="29" spans="2:17">
      <c r="B29" s="57"/>
      <c r="C29" s="24" t="s">
        <v>150</v>
      </c>
      <c r="D29" s="103">
        <v>-575</v>
      </c>
      <c r="E29" s="103">
        <v>-902</v>
      </c>
      <c r="F29" s="103">
        <v>-947</v>
      </c>
      <c r="G29" s="103">
        <v>-823</v>
      </c>
      <c r="H29" s="107">
        <v>-711</v>
      </c>
      <c r="I29" s="189"/>
      <c r="J29" s="189"/>
      <c r="K29" s="189"/>
      <c r="L29" s="189"/>
      <c r="M29" s="189"/>
    </row>
    <row r="30" spans="2:17">
      <c r="B30" s="57"/>
      <c r="C30" s="37" t="s">
        <v>17</v>
      </c>
      <c r="D30" s="89">
        <f>SUM(D24:D29)</f>
        <v>-4863</v>
      </c>
      <c r="E30" s="89">
        <f>SUM(E24:E29)</f>
        <v>-3834</v>
      </c>
      <c r="F30" s="89">
        <f>SUM(F24:F29)</f>
        <v>-1832</v>
      </c>
      <c r="G30" s="89">
        <f>SUM(G24:G29)</f>
        <v>1110</v>
      </c>
      <c r="H30" s="90">
        <f>SUM(H24:H29)</f>
        <v>2799</v>
      </c>
      <c r="I30" s="89"/>
      <c r="J30" s="89"/>
      <c r="K30" s="89"/>
      <c r="L30" s="89"/>
      <c r="M30" s="90"/>
    </row>
    <row r="31" spans="2:17">
      <c r="B31" s="57"/>
      <c r="C31" s="24" t="s">
        <v>18</v>
      </c>
      <c r="D31" s="106">
        <v>-458</v>
      </c>
      <c r="E31" s="106">
        <v>-483</v>
      </c>
      <c r="F31" s="106">
        <v>-565</v>
      </c>
      <c r="G31" s="106">
        <v>-633</v>
      </c>
      <c r="H31" s="108">
        <v>-523</v>
      </c>
      <c r="I31" s="137"/>
      <c r="J31" s="137"/>
      <c r="K31" s="137"/>
      <c r="L31" s="137"/>
      <c r="M31" s="137"/>
    </row>
    <row r="32" spans="2:17">
      <c r="B32" s="57"/>
      <c r="C32" s="24" t="s">
        <v>153</v>
      </c>
      <c r="D32" s="103">
        <v>-1625</v>
      </c>
      <c r="E32" s="103">
        <v>3292</v>
      </c>
      <c r="F32" s="103">
        <v>-7029</v>
      </c>
      <c r="G32" s="103">
        <v>1844</v>
      </c>
      <c r="H32" s="107">
        <v>1849</v>
      </c>
      <c r="I32" s="145"/>
      <c r="J32" s="145"/>
      <c r="K32" s="145"/>
      <c r="L32" s="145"/>
      <c r="M32" s="146"/>
    </row>
    <row r="33" spans="1:15">
      <c r="B33" s="57"/>
      <c r="C33" s="37" t="s">
        <v>20</v>
      </c>
      <c r="D33" s="89">
        <f>SUM(D30:D32)</f>
        <v>-6946</v>
      </c>
      <c r="E33" s="89">
        <f>SUM(E30:E32)</f>
        <v>-1025</v>
      </c>
      <c r="F33" s="89">
        <f>SUM(F30:F32)</f>
        <v>-9426</v>
      </c>
      <c r="G33" s="89">
        <f>SUM(G30:G32)</f>
        <v>2321</v>
      </c>
      <c r="H33" s="90">
        <f>SUM(H30:H32)</f>
        <v>4125</v>
      </c>
      <c r="I33" s="89"/>
      <c r="J33" s="89"/>
      <c r="K33" s="89"/>
      <c r="L33" s="89"/>
      <c r="M33" s="90"/>
      <c r="O33" s="82"/>
    </row>
    <row r="34" spans="1:15">
      <c r="B34" s="57"/>
      <c r="C34" s="24" t="s">
        <v>152</v>
      </c>
      <c r="D34" s="106">
        <v>192</v>
      </c>
      <c r="E34" s="106">
        <v>492</v>
      </c>
      <c r="F34" s="106">
        <v>181</v>
      </c>
      <c r="G34" s="106">
        <v>-213</v>
      </c>
      <c r="H34" s="108">
        <v>5758</v>
      </c>
      <c r="I34" s="139"/>
      <c r="J34" s="139"/>
      <c r="K34" s="139"/>
      <c r="L34" s="139"/>
      <c r="M34" s="140"/>
      <c r="O34" s="82"/>
    </row>
    <row r="35" spans="1:15">
      <c r="B35" s="57"/>
      <c r="C35" s="24" t="s">
        <v>151</v>
      </c>
      <c r="D35" s="106">
        <v>-34</v>
      </c>
      <c r="E35" s="106">
        <v>-37</v>
      </c>
      <c r="F35" s="106">
        <v>107</v>
      </c>
      <c r="G35" s="106">
        <v>48</v>
      </c>
      <c r="H35" s="108">
        <v>-38</v>
      </c>
      <c r="I35" s="139"/>
      <c r="J35" s="139"/>
      <c r="K35" s="139"/>
      <c r="L35" s="139"/>
      <c r="M35" s="140"/>
      <c r="O35" s="82"/>
    </row>
    <row r="36" spans="1:15">
      <c r="B36" s="57" t="s">
        <v>13</v>
      </c>
      <c r="C36" s="24" t="s">
        <v>170</v>
      </c>
      <c r="D36" s="103">
        <v>20</v>
      </c>
      <c r="E36" s="103">
        <v>74</v>
      </c>
      <c r="F36" s="103">
        <v>-3</v>
      </c>
      <c r="G36" s="103">
        <v>-269</v>
      </c>
      <c r="H36" s="107">
        <v>11</v>
      </c>
      <c r="I36" s="145"/>
      <c r="J36" s="145"/>
      <c r="K36" s="145"/>
      <c r="L36" s="145"/>
      <c r="M36" s="146"/>
      <c r="N36" s="115"/>
    </row>
    <row r="37" spans="1:15">
      <c r="B37" s="57"/>
      <c r="C37" s="37" t="s">
        <v>21</v>
      </c>
      <c r="D37" s="89">
        <f>SUM(D33:D36)</f>
        <v>-6768</v>
      </c>
      <c r="E37" s="89">
        <f>SUM(E33:E36)</f>
        <v>-496</v>
      </c>
      <c r="F37" s="89">
        <f>SUM(F33:F36)</f>
        <v>-9141</v>
      </c>
      <c r="G37" s="89">
        <f>SUM(G33:G36)</f>
        <v>1887</v>
      </c>
      <c r="H37" s="90">
        <f>SUM(H33:H36)</f>
        <v>9856</v>
      </c>
      <c r="I37" s="89"/>
      <c r="J37" s="89"/>
      <c r="K37" s="89"/>
      <c r="L37" s="89"/>
      <c r="M37" s="90"/>
      <c r="N37" s="115"/>
    </row>
    <row r="38" spans="1:15">
      <c r="B38" s="57"/>
      <c r="C38" s="24" t="s">
        <v>154</v>
      </c>
      <c r="D38" s="139"/>
      <c r="E38" s="139"/>
      <c r="F38" s="139"/>
      <c r="G38" s="139"/>
      <c r="H38" s="140"/>
      <c r="I38" s="139"/>
      <c r="J38" s="139"/>
      <c r="K38" s="139"/>
      <c r="L38" s="139"/>
      <c r="M38" s="140"/>
      <c r="N38" s="115"/>
    </row>
    <row r="39" spans="1:15">
      <c r="B39" s="57"/>
      <c r="C39" s="42" t="s">
        <v>155</v>
      </c>
      <c r="D39" s="106">
        <f>-D36</f>
        <v>-20</v>
      </c>
      <c r="E39" s="106">
        <f>-E36</f>
        <v>-74</v>
      </c>
      <c r="F39" s="106">
        <f>-F36</f>
        <v>3</v>
      </c>
      <c r="G39" s="106">
        <f>-G36</f>
        <v>269</v>
      </c>
      <c r="H39" s="108">
        <f>-H36</f>
        <v>-11</v>
      </c>
      <c r="I39" s="139"/>
      <c r="J39" s="139"/>
      <c r="K39" s="139"/>
      <c r="L39" s="139"/>
      <c r="M39" s="140"/>
      <c r="N39" s="115"/>
    </row>
    <row r="40" spans="1:15">
      <c r="B40" s="57"/>
      <c r="C40" s="42" t="s">
        <v>156</v>
      </c>
      <c r="D40" s="106">
        <f>-D35</f>
        <v>34</v>
      </c>
      <c r="E40" s="106">
        <f>-E35</f>
        <v>37</v>
      </c>
      <c r="F40" s="106">
        <f>-F35</f>
        <v>-107</v>
      </c>
      <c r="G40" s="106">
        <f>-G35</f>
        <v>-48</v>
      </c>
      <c r="H40" s="108">
        <f>-H35</f>
        <v>38</v>
      </c>
      <c r="I40" s="139"/>
      <c r="J40" s="139"/>
      <c r="K40" s="139"/>
      <c r="L40" s="139"/>
      <c r="M40" s="140"/>
      <c r="N40" s="115"/>
    </row>
    <row r="41" spans="1:15">
      <c r="B41" s="57"/>
      <c r="C41" s="42" t="s">
        <v>158</v>
      </c>
      <c r="D41" s="106">
        <f>-D34</f>
        <v>-192</v>
      </c>
      <c r="E41" s="106">
        <f>-E34</f>
        <v>-492</v>
      </c>
      <c r="F41" s="106">
        <f>-F34</f>
        <v>-181</v>
      </c>
      <c r="G41" s="106">
        <f>-G34</f>
        <v>213</v>
      </c>
      <c r="H41" s="108">
        <f>-H34</f>
        <v>-5758</v>
      </c>
      <c r="I41" s="139"/>
      <c r="J41" s="139"/>
      <c r="K41" s="139"/>
      <c r="L41" s="139"/>
      <c r="M41" s="140"/>
      <c r="N41" s="115"/>
    </row>
    <row r="42" spans="1:15">
      <c r="B42" s="57"/>
      <c r="C42" s="42" t="s">
        <v>19</v>
      </c>
      <c r="D42" s="106">
        <f>-D32</f>
        <v>1625</v>
      </c>
      <c r="E42" s="106">
        <f>-E32</f>
        <v>-3292</v>
      </c>
      <c r="F42" s="106">
        <f>-F32</f>
        <v>7029</v>
      </c>
      <c r="G42" s="106">
        <f>-G32</f>
        <v>-1844</v>
      </c>
      <c r="H42" s="108">
        <f>-H32</f>
        <v>-1849</v>
      </c>
      <c r="I42" s="139"/>
      <c r="J42" s="139"/>
      <c r="K42" s="139"/>
      <c r="L42" s="139"/>
      <c r="M42" s="140"/>
    </row>
    <row r="43" spans="1:15" customFormat="1">
      <c r="A43" s="57"/>
      <c r="B43" s="57"/>
      <c r="C43" s="42" t="s">
        <v>18</v>
      </c>
      <c r="D43" s="106">
        <f t="shared" ref="D43" si="6">-D31</f>
        <v>458</v>
      </c>
      <c r="E43" s="106">
        <f t="shared" ref="E43:F43" si="7">-E31</f>
        <v>483</v>
      </c>
      <c r="F43" s="106">
        <f t="shared" si="7"/>
        <v>565</v>
      </c>
      <c r="G43" s="106">
        <f>-G31</f>
        <v>633</v>
      </c>
      <c r="H43" s="108">
        <f>-H31</f>
        <v>523</v>
      </c>
      <c r="I43" s="139"/>
      <c r="J43" s="139"/>
      <c r="K43" s="139"/>
      <c r="L43" s="139"/>
      <c r="M43" s="140"/>
      <c r="N43" s="105"/>
    </row>
    <row r="44" spans="1:15">
      <c r="B44" s="57" t="s">
        <v>13</v>
      </c>
      <c r="C44" s="42" t="s">
        <v>22</v>
      </c>
      <c r="D44" s="103">
        <f>-D29</f>
        <v>575</v>
      </c>
      <c r="E44" s="103">
        <f>-E29</f>
        <v>902</v>
      </c>
      <c r="F44" s="103">
        <f>-F29</f>
        <v>947</v>
      </c>
      <c r="G44" s="103">
        <f>-G29</f>
        <v>823</v>
      </c>
      <c r="H44" s="107">
        <f>-H29</f>
        <v>711</v>
      </c>
      <c r="I44" s="145"/>
      <c r="J44" s="145"/>
      <c r="K44" s="145"/>
      <c r="L44" s="145"/>
      <c r="M44" s="146"/>
      <c r="N44" s="138"/>
    </row>
    <row r="45" spans="1:15">
      <c r="B45" s="57"/>
      <c r="C45" s="37" t="s">
        <v>23</v>
      </c>
      <c r="D45" s="93">
        <f>SUM(D37:D44)</f>
        <v>-4288</v>
      </c>
      <c r="E45" s="93">
        <f>SUM(E37:E44)</f>
        <v>-2932</v>
      </c>
      <c r="F45" s="93">
        <f>SUM(F37:F44)</f>
        <v>-885</v>
      </c>
      <c r="G45" s="93">
        <f>SUM(G37:G44)</f>
        <v>1933</v>
      </c>
      <c r="H45" s="92">
        <f>SUM(H37:H44)</f>
        <v>3510</v>
      </c>
      <c r="I45" s="93"/>
      <c r="J45" s="93"/>
      <c r="K45" s="93"/>
      <c r="L45" s="93"/>
      <c r="M45" s="92"/>
      <c r="N45" s="138"/>
    </row>
    <row r="46" spans="1:15">
      <c r="B46" s="57"/>
      <c r="C46" s="24" t="s">
        <v>154</v>
      </c>
      <c r="D46" s="138">
        <f>D47/D18</f>
        <v>7.4243648442409549E-2</v>
      </c>
      <c r="E46" s="138">
        <f t="shared" ref="E46:H46" si="8">E47/E18</f>
        <v>6.6914924090518482E-2</v>
      </c>
      <c r="F46" s="138">
        <f t="shared" si="8"/>
        <v>5.6247451140320606E-2</v>
      </c>
      <c r="G46" s="138">
        <f t="shared" si="8"/>
        <v>5.1903114186851208E-2</v>
      </c>
      <c r="H46" s="138">
        <f t="shared" si="8"/>
        <v>4.0838601118741186E-2</v>
      </c>
      <c r="I46" s="91"/>
      <c r="J46" s="91"/>
      <c r="K46" s="91"/>
      <c r="L46" s="91"/>
      <c r="M46" s="92"/>
      <c r="N46" s="138"/>
    </row>
    <row r="47" spans="1:15">
      <c r="B47" s="57"/>
      <c r="C47" s="42" t="s">
        <v>157</v>
      </c>
      <c r="D47" s="106">
        <v>827</v>
      </c>
      <c r="E47" s="106">
        <v>1168</v>
      </c>
      <c r="F47" s="106">
        <v>1793</v>
      </c>
      <c r="G47" s="106">
        <v>1935</v>
      </c>
      <c r="H47" s="108">
        <v>1796</v>
      </c>
      <c r="I47" s="139"/>
      <c r="J47" s="139"/>
      <c r="K47" s="139"/>
      <c r="L47" s="139"/>
      <c r="M47" s="140"/>
      <c r="N47" s="138"/>
    </row>
    <row r="48" spans="1:15">
      <c r="B48" s="57"/>
      <c r="C48" s="42" t="s">
        <v>159</v>
      </c>
      <c r="D48" s="106">
        <v>-35</v>
      </c>
      <c r="E48" s="106">
        <v>526</v>
      </c>
      <c r="F48" s="106">
        <v>732</v>
      </c>
      <c r="G48" s="106">
        <v>9</v>
      </c>
      <c r="H48" s="108">
        <v>1123</v>
      </c>
      <c r="I48" s="139"/>
      <c r="J48" s="139"/>
      <c r="K48" s="139"/>
      <c r="L48" s="139"/>
      <c r="M48" s="140"/>
      <c r="N48" s="138"/>
    </row>
    <row r="49" spans="2:14">
      <c r="B49" s="57"/>
      <c r="C49" s="42" t="s">
        <v>160</v>
      </c>
      <c r="D49" s="106">
        <v>317</v>
      </c>
      <c r="E49" s="106">
        <v>157</v>
      </c>
      <c r="F49" s="106">
        <v>25</v>
      </c>
      <c r="G49" s="106">
        <v>84</v>
      </c>
      <c r="H49" s="108">
        <v>3</v>
      </c>
      <c r="I49" s="139"/>
      <c r="J49" s="139"/>
      <c r="K49" s="139"/>
      <c r="L49" s="139"/>
      <c r="M49" s="140"/>
      <c r="N49" s="138"/>
    </row>
    <row r="50" spans="2:14">
      <c r="B50" s="57"/>
      <c r="C50" s="42" t="s">
        <v>161</v>
      </c>
      <c r="D50" s="106">
        <v>86</v>
      </c>
      <c r="E50" s="106">
        <v>102</v>
      </c>
      <c r="F50" s="106">
        <v>46</v>
      </c>
      <c r="G50" s="106">
        <v>36</v>
      </c>
      <c r="H50" s="108">
        <v>25</v>
      </c>
      <c r="I50" s="139"/>
      <c r="J50" s="139"/>
      <c r="K50" s="139"/>
      <c r="L50" s="139"/>
      <c r="M50" s="140"/>
      <c r="N50" s="138"/>
    </row>
    <row r="51" spans="2:14">
      <c r="B51" s="57"/>
      <c r="C51" s="42" t="s">
        <v>176</v>
      </c>
      <c r="D51" s="106">
        <v>-5</v>
      </c>
      <c r="E51" s="106">
        <v>0</v>
      </c>
      <c r="F51" s="106">
        <v>7</v>
      </c>
      <c r="G51" s="106">
        <v>4</v>
      </c>
      <c r="H51" s="108">
        <v>2</v>
      </c>
      <c r="I51" s="139"/>
      <c r="J51" s="139"/>
      <c r="K51" s="139"/>
      <c r="L51" s="139"/>
      <c r="M51" s="140"/>
    </row>
    <row r="52" spans="2:14">
      <c r="B52" s="57"/>
      <c r="C52" s="42" t="s">
        <v>173</v>
      </c>
      <c r="D52" s="106">
        <v>0</v>
      </c>
      <c r="E52" s="106">
        <v>103</v>
      </c>
      <c r="F52" s="106">
        <v>0</v>
      </c>
      <c r="G52" s="106">
        <v>0</v>
      </c>
      <c r="H52" s="108">
        <v>0</v>
      </c>
      <c r="I52" s="139"/>
      <c r="J52" s="139"/>
      <c r="K52" s="139"/>
      <c r="L52" s="139"/>
      <c r="M52" s="140"/>
      <c r="N52" s="37"/>
    </row>
    <row r="53" spans="2:14">
      <c r="B53" s="57"/>
      <c r="C53" s="42" t="s">
        <v>174</v>
      </c>
      <c r="D53" s="106">
        <v>106</v>
      </c>
      <c r="E53" s="106">
        <v>54</v>
      </c>
      <c r="F53" s="106">
        <v>1</v>
      </c>
      <c r="G53" s="106">
        <v>0</v>
      </c>
      <c r="H53" s="108">
        <v>0</v>
      </c>
      <c r="I53" s="139"/>
      <c r="J53" s="139"/>
      <c r="K53" s="139"/>
      <c r="L53" s="139"/>
      <c r="M53" s="140"/>
      <c r="N53" s="37"/>
    </row>
    <row r="54" spans="2:14">
      <c r="B54" s="57"/>
      <c r="C54" s="42" t="s">
        <v>171</v>
      </c>
      <c r="D54" s="106">
        <v>0</v>
      </c>
      <c r="E54" s="106">
        <v>43</v>
      </c>
      <c r="F54" s="106">
        <v>-14</v>
      </c>
      <c r="G54" s="106">
        <v>0</v>
      </c>
      <c r="H54" s="108">
        <v>0</v>
      </c>
      <c r="I54" s="139"/>
      <c r="J54" s="139"/>
      <c r="K54" s="139"/>
      <c r="L54" s="139"/>
      <c r="M54" s="140"/>
    </row>
    <row r="55" spans="2:14">
      <c r="B55" s="57"/>
      <c r="C55" s="42" t="s">
        <v>172</v>
      </c>
      <c r="D55" s="106">
        <v>102</v>
      </c>
      <c r="E55" s="106">
        <v>5</v>
      </c>
      <c r="F55" s="106">
        <v>6</v>
      </c>
      <c r="G55" s="106">
        <v>0</v>
      </c>
      <c r="H55" s="108">
        <v>0</v>
      </c>
      <c r="I55" s="139"/>
      <c r="J55" s="139"/>
      <c r="K55" s="139"/>
      <c r="L55" s="139"/>
      <c r="M55" s="140"/>
    </row>
    <row r="56" spans="2:14">
      <c r="B56" s="57" t="s">
        <v>13</v>
      </c>
      <c r="C56" s="42" t="s">
        <v>162</v>
      </c>
      <c r="D56" s="103">
        <v>362</v>
      </c>
      <c r="E56" s="103">
        <v>0</v>
      </c>
      <c r="F56" s="103">
        <v>2</v>
      </c>
      <c r="G56" s="103">
        <v>51</v>
      </c>
      <c r="H56" s="107">
        <v>25</v>
      </c>
      <c r="I56" s="145"/>
      <c r="J56" s="145"/>
      <c r="K56" s="145"/>
      <c r="L56" s="145"/>
      <c r="M56" s="146"/>
    </row>
    <row r="57" spans="2:14">
      <c r="B57" s="57"/>
      <c r="C57" s="37" t="s">
        <v>24</v>
      </c>
      <c r="D57" s="91">
        <f>SUM(D45:D56)</f>
        <v>-2527.9257563515575</v>
      </c>
      <c r="E57" s="91">
        <f>SUM(E45:E56)</f>
        <v>-773.93308507590928</v>
      </c>
      <c r="F57" s="91">
        <f>SUM(F45:F56)</f>
        <v>1713.0562474511403</v>
      </c>
      <c r="G57" s="91">
        <f>SUM(G45:G56)</f>
        <v>4052.0519031141866</v>
      </c>
      <c r="H57" s="92">
        <f>SUM(H45:H56)</f>
        <v>6484.0408386011186</v>
      </c>
      <c r="I57" s="91"/>
      <c r="J57" s="91"/>
      <c r="K57" s="91"/>
      <c r="L57" s="91"/>
      <c r="M57" s="92"/>
    </row>
    <row r="58" spans="2:14">
      <c r="B58" s="57"/>
      <c r="C58" s="37"/>
      <c r="D58" s="37"/>
      <c r="E58" s="37"/>
      <c r="F58" s="37"/>
      <c r="G58" s="37"/>
      <c r="H58" s="68"/>
      <c r="I58" s="37"/>
      <c r="J58" s="37"/>
      <c r="K58" s="37"/>
      <c r="L58" s="37"/>
      <c r="M58" s="68"/>
    </row>
    <row r="59" spans="2:14">
      <c r="B59" s="57"/>
      <c r="C59" s="49" t="s">
        <v>25</v>
      </c>
      <c r="D59" s="55">
        <v>1752.96</v>
      </c>
      <c r="E59" s="55">
        <v>1895.519</v>
      </c>
      <c r="F59" s="55">
        <v>1974.9280000000001</v>
      </c>
      <c r="G59" s="55">
        <v>2091.7820000000002</v>
      </c>
      <c r="H59" s="69">
        <v>2150.5079999999998</v>
      </c>
      <c r="I59" s="147"/>
      <c r="J59" s="147"/>
      <c r="K59" s="147"/>
      <c r="L59" s="147"/>
      <c r="M59" s="148"/>
    </row>
    <row r="60" spans="2:14">
      <c r="B60" s="57"/>
      <c r="F60"/>
      <c r="G60" s="102"/>
      <c r="H60" s="70"/>
      <c r="I60"/>
      <c r="J60"/>
      <c r="K60"/>
      <c r="L60"/>
      <c r="M60"/>
    </row>
    <row r="61" spans="2:14">
      <c r="B61" s="57"/>
      <c r="C61" s="24" t="s">
        <v>212</v>
      </c>
      <c r="D61" s="115">
        <f>D24/D18</f>
        <v>0.5373013735523835</v>
      </c>
      <c r="E61" s="115">
        <f t="shared" ref="E61:H61" si="9">E24/E18</f>
        <v>0.46427957605270698</v>
      </c>
      <c r="F61" s="115">
        <f t="shared" si="9"/>
        <v>0.38328575461931802</v>
      </c>
      <c r="G61" s="115">
        <f t="shared" si="9"/>
        <v>0.39762881896944824</v>
      </c>
      <c r="H61" s="166">
        <f t="shared" si="9"/>
        <v>0.39399245077083994</v>
      </c>
      <c r="I61"/>
      <c r="J61"/>
      <c r="K61"/>
      <c r="L61"/>
      <c r="M61"/>
    </row>
    <row r="62" spans="2:14">
      <c r="B62" s="57"/>
      <c r="C62" s="24" t="s">
        <v>213</v>
      </c>
      <c r="D62" s="115">
        <f>-D26/D18</f>
        <v>0.32166262680671515</v>
      </c>
      <c r="E62" s="115">
        <f t="shared" ref="E62:H62" si="10">-E26/E18</f>
        <v>0.27436264680607275</v>
      </c>
      <c r="F62" s="115">
        <f t="shared" si="10"/>
        <v>0.1491984816638956</v>
      </c>
      <c r="G62" s="115">
        <f t="shared" si="10"/>
        <v>0.11684235937877203</v>
      </c>
      <c r="H62" s="166">
        <f t="shared" si="10"/>
        <v>9.8617490563463556E-2</v>
      </c>
      <c r="I62"/>
      <c r="J62"/>
      <c r="K62"/>
      <c r="L62"/>
      <c r="M62"/>
    </row>
    <row r="63" spans="2:14">
      <c r="B63" s="57"/>
      <c r="C63" s="24" t="s">
        <v>214</v>
      </c>
      <c r="D63" s="115">
        <f>-D27/D18</f>
        <v>0.19795313762456235</v>
      </c>
      <c r="E63" s="115">
        <f t="shared" ref="E63:H63" si="11">-E27/E18</f>
        <v>0.11767401890575767</v>
      </c>
      <c r="F63" s="115">
        <f t="shared" si="11"/>
        <v>8.7774884713116036E-2</v>
      </c>
      <c r="G63" s="115">
        <f t="shared" si="11"/>
        <v>8.4868968107078668E-2</v>
      </c>
      <c r="H63" s="166">
        <f t="shared" si="11"/>
        <v>7.0694438128154985E-2</v>
      </c>
      <c r="I63"/>
      <c r="J63"/>
      <c r="K63"/>
      <c r="L63"/>
      <c r="M63"/>
    </row>
    <row r="64" spans="2:14">
      <c r="B64" s="57"/>
      <c r="C64" s="24" t="s">
        <v>215</v>
      </c>
      <c r="D64" s="115">
        <f>-D25/D18</f>
        <v>0.16330011670706526</v>
      </c>
      <c r="E64" s="115">
        <f t="shared" ref="E64:H64" si="12">-E25/E18</f>
        <v>0.10753365797765684</v>
      </c>
      <c r="F64" s="115">
        <f t="shared" si="12"/>
        <v>7.5697211155378488E-2</v>
      </c>
      <c r="G64" s="115">
        <f t="shared" si="12"/>
        <v>7.2127893565086768E-2</v>
      </c>
      <c r="H64" s="166">
        <f t="shared" si="12"/>
        <v>6.2121970075947067E-2</v>
      </c>
      <c r="I64"/>
      <c r="J64"/>
      <c r="K64"/>
      <c r="L64"/>
      <c r="M64"/>
    </row>
    <row r="65" spans="1:13">
      <c r="B65" s="57"/>
      <c r="F65"/>
      <c r="H65" s="67"/>
      <c r="I65"/>
      <c r="J65"/>
      <c r="K65"/>
      <c r="L65"/>
      <c r="M65"/>
    </row>
    <row r="66" spans="1:13">
      <c r="A66" s="57" t="s">
        <v>13</v>
      </c>
      <c r="B66" s="57"/>
      <c r="C66" s="34" t="s">
        <v>26</v>
      </c>
      <c r="D66" s="34"/>
      <c r="E66" s="34"/>
      <c r="F66" s="35"/>
      <c r="G66" s="35"/>
      <c r="H66" s="64"/>
      <c r="I66"/>
      <c r="J66"/>
      <c r="K66"/>
      <c r="L66"/>
      <c r="M66"/>
    </row>
    <row r="67" spans="1:13">
      <c r="B67" s="57"/>
      <c r="C67" s="24" t="s">
        <v>11</v>
      </c>
      <c r="D67" s="40">
        <f t="shared" ref="D67:E67" si="13">D15</f>
        <v>2020</v>
      </c>
      <c r="E67" s="40">
        <f t="shared" si="13"/>
        <v>2021</v>
      </c>
      <c r="F67" s="40">
        <f t="shared" ref="F67:H68" si="14">F15</f>
        <v>2022</v>
      </c>
      <c r="G67" s="40">
        <f t="shared" si="14"/>
        <v>2023</v>
      </c>
      <c r="H67" s="71">
        <f t="shared" si="14"/>
        <v>2024</v>
      </c>
      <c r="I67"/>
      <c r="J67"/>
      <c r="K67"/>
      <c r="L67"/>
      <c r="M67"/>
    </row>
    <row r="68" spans="1:13">
      <c r="B68" s="57"/>
      <c r="C68" s="24" t="s">
        <v>12</v>
      </c>
      <c r="D68" s="27">
        <f t="shared" ref="D68:E68" si="15">D16</f>
        <v>44926</v>
      </c>
      <c r="E68" s="27">
        <f t="shared" si="15"/>
        <v>45291</v>
      </c>
      <c r="F68" s="27">
        <f t="shared" si="14"/>
        <v>44926</v>
      </c>
      <c r="G68" s="27">
        <f t="shared" si="14"/>
        <v>45291</v>
      </c>
      <c r="H68" s="51">
        <f t="shared" si="14"/>
        <v>45657</v>
      </c>
      <c r="I68"/>
      <c r="J68"/>
      <c r="K68"/>
      <c r="L68"/>
      <c r="M68"/>
    </row>
    <row r="69" spans="1:13">
      <c r="B69" s="57"/>
      <c r="H69" s="67"/>
      <c r="I69"/>
      <c r="J69"/>
      <c r="K69"/>
      <c r="L69"/>
      <c r="M69"/>
    </row>
    <row r="70" spans="1:13">
      <c r="B70" s="57"/>
      <c r="C70" s="121" t="s">
        <v>137</v>
      </c>
      <c r="D70" s="87">
        <f>5647+1180</f>
        <v>6827</v>
      </c>
      <c r="E70" s="87">
        <v>4295</v>
      </c>
      <c r="F70" s="87">
        <f>4208+103</f>
        <v>4311</v>
      </c>
      <c r="G70" s="87">
        <f>4680+727</f>
        <v>5407</v>
      </c>
      <c r="H70" s="88">
        <f>5893+1084</f>
        <v>6977</v>
      </c>
      <c r="I70"/>
      <c r="J70"/>
      <c r="K70"/>
      <c r="L70"/>
      <c r="M70"/>
    </row>
    <row r="71" spans="1:13">
      <c r="B71" s="57"/>
      <c r="C71" s="121" t="s">
        <v>177</v>
      </c>
      <c r="D71" s="106">
        <f>1494+250</f>
        <v>1744</v>
      </c>
      <c r="E71" s="106">
        <f>2879+631</f>
        <v>3510</v>
      </c>
      <c r="F71" s="106">
        <f>680+1789</f>
        <v>2469</v>
      </c>
      <c r="G71" s="106">
        <f>1519+805</f>
        <v>2324</v>
      </c>
      <c r="H71" s="108">
        <f>545+2172</f>
        <v>2717</v>
      </c>
      <c r="I71"/>
      <c r="J71"/>
      <c r="K71"/>
      <c r="L71"/>
      <c r="M71"/>
    </row>
    <row r="72" spans="1:13">
      <c r="B72" s="57"/>
      <c r="C72" s="121" t="s">
        <v>138</v>
      </c>
      <c r="D72" s="106">
        <v>1073</v>
      </c>
      <c r="E72" s="106">
        <v>2439</v>
      </c>
      <c r="F72" s="106">
        <v>2779</v>
      </c>
      <c r="G72" s="106">
        <v>3404</v>
      </c>
      <c r="H72" s="108">
        <v>3333</v>
      </c>
      <c r="I72"/>
      <c r="J72"/>
      <c r="K72"/>
      <c r="L72"/>
      <c r="M72"/>
    </row>
    <row r="73" spans="1:13">
      <c r="B73" s="57"/>
      <c r="C73" s="121" t="s">
        <v>178</v>
      </c>
      <c r="D73" s="106">
        <v>1215</v>
      </c>
      <c r="E73" s="106">
        <v>1454</v>
      </c>
      <c r="F73" s="106">
        <v>1479</v>
      </c>
      <c r="G73" s="106">
        <v>1681</v>
      </c>
      <c r="H73" s="108">
        <v>1390</v>
      </c>
      <c r="I73"/>
      <c r="J73"/>
      <c r="K73"/>
      <c r="L73"/>
      <c r="M73"/>
    </row>
    <row r="74" spans="1:13">
      <c r="B74" s="57"/>
      <c r="C74" s="121" t="s">
        <v>200</v>
      </c>
      <c r="D74" s="106">
        <v>0</v>
      </c>
      <c r="E74" s="106">
        <v>0</v>
      </c>
      <c r="F74" s="106">
        <v>1614</v>
      </c>
      <c r="G74" s="106">
        <v>4779</v>
      </c>
      <c r="H74" s="108">
        <v>7019</v>
      </c>
      <c r="I74"/>
      <c r="J74"/>
      <c r="K74"/>
      <c r="L74"/>
      <c r="M74"/>
    </row>
    <row r="75" spans="1:13">
      <c r="B75" s="57"/>
      <c r="C75" s="121" t="s">
        <v>179</v>
      </c>
      <c r="D75" s="106">
        <v>517</v>
      </c>
      <c r="E75" s="106">
        <v>0</v>
      </c>
      <c r="F75" s="106">
        <v>0</v>
      </c>
      <c r="G75" s="106">
        <v>0</v>
      </c>
      <c r="H75" s="108">
        <v>0</v>
      </c>
      <c r="I75"/>
      <c r="J75"/>
      <c r="K75"/>
      <c r="L75"/>
      <c r="M75"/>
    </row>
    <row r="76" spans="1:13">
      <c r="B76" s="57"/>
      <c r="C76" s="24" t="s">
        <v>180</v>
      </c>
      <c r="D76" s="106">
        <v>860</v>
      </c>
      <c r="E76" s="106">
        <v>0</v>
      </c>
      <c r="F76" s="106">
        <v>0</v>
      </c>
      <c r="G76" s="106">
        <v>0</v>
      </c>
      <c r="H76" s="108">
        <v>0</v>
      </c>
      <c r="I76"/>
      <c r="J76"/>
      <c r="K76"/>
      <c r="L76"/>
      <c r="M76"/>
    </row>
    <row r="77" spans="1:13">
      <c r="B77" s="57"/>
      <c r="C77" s="24" t="s">
        <v>181</v>
      </c>
      <c r="D77" s="106">
        <v>9052</v>
      </c>
      <c r="E77" s="106">
        <v>11806</v>
      </c>
      <c r="F77" s="106">
        <v>4401</v>
      </c>
      <c r="G77" s="106">
        <v>6101</v>
      </c>
      <c r="H77" s="108">
        <v>8460</v>
      </c>
      <c r="I77"/>
      <c r="J77"/>
      <c r="K77"/>
      <c r="L77"/>
      <c r="M77"/>
    </row>
    <row r="78" spans="1:13">
      <c r="B78" s="57"/>
      <c r="C78" s="24" t="s">
        <v>183</v>
      </c>
      <c r="D78" s="106">
        <v>1814</v>
      </c>
      <c r="E78" s="106">
        <v>1853</v>
      </c>
      <c r="F78" s="106">
        <v>2082</v>
      </c>
      <c r="G78" s="106">
        <v>2073</v>
      </c>
      <c r="H78" s="108">
        <v>1952</v>
      </c>
      <c r="I78"/>
      <c r="J78"/>
      <c r="K78"/>
      <c r="L78"/>
      <c r="M78"/>
    </row>
    <row r="79" spans="1:13">
      <c r="B79" s="57"/>
      <c r="C79" s="24" t="s">
        <v>184</v>
      </c>
      <c r="D79" s="106">
        <v>1274</v>
      </c>
      <c r="E79" s="106">
        <v>1388</v>
      </c>
      <c r="F79" s="106">
        <v>1449</v>
      </c>
      <c r="G79" s="106">
        <v>1241</v>
      </c>
      <c r="H79" s="108">
        <v>1158</v>
      </c>
      <c r="I79"/>
      <c r="J79"/>
      <c r="K79"/>
      <c r="L79"/>
      <c r="M79"/>
    </row>
    <row r="80" spans="1:13">
      <c r="B80" s="57"/>
      <c r="C80" s="24" t="s">
        <v>185</v>
      </c>
      <c r="D80" s="106">
        <v>1564</v>
      </c>
      <c r="E80" s="106">
        <v>2412</v>
      </c>
      <c r="F80" s="106">
        <v>1874</v>
      </c>
      <c r="G80" s="106">
        <v>1425</v>
      </c>
      <c r="H80" s="108">
        <v>1125</v>
      </c>
      <c r="I80"/>
      <c r="J80"/>
      <c r="K80"/>
      <c r="L80"/>
      <c r="M80"/>
    </row>
    <row r="81" spans="2:15">
      <c r="B81" s="57"/>
      <c r="C81" s="24" t="s">
        <v>186</v>
      </c>
      <c r="D81" s="106">
        <v>6109</v>
      </c>
      <c r="E81" s="106">
        <v>8420</v>
      </c>
      <c r="F81" s="106">
        <v>8263</v>
      </c>
      <c r="G81" s="106">
        <v>8151</v>
      </c>
      <c r="H81" s="108">
        <v>8066</v>
      </c>
      <c r="I81"/>
      <c r="J81"/>
      <c r="K81"/>
      <c r="L81"/>
      <c r="M81"/>
    </row>
    <row r="82" spans="2:15">
      <c r="B82" s="57"/>
      <c r="C82" s="24" t="s">
        <v>140</v>
      </c>
      <c r="D82" s="106">
        <v>0</v>
      </c>
      <c r="E82" s="106">
        <v>0</v>
      </c>
      <c r="F82" s="106">
        <v>0</v>
      </c>
      <c r="G82" s="106">
        <v>170</v>
      </c>
      <c r="H82" s="108">
        <v>6171</v>
      </c>
      <c r="I82"/>
      <c r="J82"/>
      <c r="K82"/>
      <c r="L82"/>
      <c r="M82"/>
    </row>
    <row r="83" spans="2:15">
      <c r="B83" s="57"/>
      <c r="C83" s="24" t="s">
        <v>182</v>
      </c>
      <c r="D83" s="106">
        <v>1079</v>
      </c>
      <c r="E83" s="106">
        <v>800</v>
      </c>
      <c r="F83" s="106">
        <v>870</v>
      </c>
      <c r="G83" s="106">
        <v>353</v>
      </c>
      <c r="H83" s="108">
        <v>302</v>
      </c>
      <c r="I83"/>
      <c r="J83"/>
      <c r="K83"/>
      <c r="L83"/>
      <c r="M83"/>
    </row>
    <row r="84" spans="2:15">
      <c r="B84" s="57"/>
      <c r="C84" s="24" t="s">
        <v>187</v>
      </c>
      <c r="D84" s="103">
        <v>124</v>
      </c>
      <c r="E84" s="103">
        <v>397</v>
      </c>
      <c r="F84" s="103">
        <v>518</v>
      </c>
      <c r="G84" s="103">
        <v>1590</v>
      </c>
      <c r="H84" s="107">
        <v>2574</v>
      </c>
      <c r="I84"/>
      <c r="J84"/>
      <c r="K84"/>
      <c r="L84"/>
      <c r="M84"/>
    </row>
    <row r="85" spans="2:15">
      <c r="B85" s="57"/>
      <c r="C85" s="37" t="s">
        <v>27</v>
      </c>
      <c r="D85" s="93">
        <f t="shared" ref="D85:F85" si="16">SUM(D70:D84)</f>
        <v>33252</v>
      </c>
      <c r="E85" s="93">
        <f t="shared" si="16"/>
        <v>38774</v>
      </c>
      <c r="F85" s="93">
        <f t="shared" si="16"/>
        <v>32109</v>
      </c>
      <c r="G85" s="93">
        <f t="shared" ref="G85:H85" si="17">SUM(G70:G84)</f>
        <v>38699</v>
      </c>
      <c r="H85" s="94">
        <f t="shared" si="17"/>
        <v>51244</v>
      </c>
      <c r="I85"/>
      <c r="J85"/>
      <c r="K85"/>
      <c r="L85"/>
      <c r="M85"/>
    </row>
    <row r="86" spans="2:15">
      <c r="B86" s="57" t="s">
        <v>13</v>
      </c>
      <c r="H86" s="67"/>
      <c r="I86"/>
      <c r="J86"/>
      <c r="K86"/>
      <c r="L86"/>
      <c r="M86"/>
    </row>
    <row r="87" spans="2:15">
      <c r="B87" s="57"/>
      <c r="C87" s="121" t="s">
        <v>28</v>
      </c>
      <c r="D87" s="87">
        <v>235</v>
      </c>
      <c r="E87" s="87">
        <v>860</v>
      </c>
      <c r="F87" s="87">
        <v>728</v>
      </c>
      <c r="G87" s="87">
        <v>790</v>
      </c>
      <c r="H87" s="88">
        <v>858</v>
      </c>
      <c r="I87"/>
      <c r="J87"/>
      <c r="K87"/>
      <c r="L87"/>
      <c r="M87"/>
    </row>
    <row r="88" spans="2:15">
      <c r="B88" s="57"/>
      <c r="C88" s="121" t="s">
        <v>188</v>
      </c>
      <c r="D88" s="106">
        <v>1243</v>
      </c>
      <c r="E88" s="106">
        <v>1442</v>
      </c>
      <c r="F88" s="106">
        <v>1692</v>
      </c>
      <c r="G88" s="106">
        <v>2077</v>
      </c>
      <c r="H88" s="108">
        <v>2754</v>
      </c>
      <c r="I88"/>
      <c r="J88"/>
      <c r="K88"/>
      <c r="L88"/>
      <c r="M88"/>
    </row>
    <row r="89" spans="2:15">
      <c r="B89" s="57"/>
      <c r="C89" s="121" t="s">
        <v>189</v>
      </c>
      <c r="D89" s="106">
        <v>175</v>
      </c>
      <c r="E89" s="106">
        <v>185</v>
      </c>
      <c r="F89" s="106">
        <v>201</v>
      </c>
      <c r="G89" s="106">
        <v>190</v>
      </c>
      <c r="H89" s="108">
        <v>175</v>
      </c>
      <c r="I89"/>
      <c r="J89"/>
      <c r="K89"/>
      <c r="L89"/>
      <c r="M89"/>
      <c r="O89"/>
    </row>
    <row r="90" spans="2:15">
      <c r="B90" s="57"/>
      <c r="C90" s="24" t="s">
        <v>190</v>
      </c>
      <c r="D90" s="106">
        <v>5112</v>
      </c>
      <c r="E90" s="106">
        <v>6537</v>
      </c>
      <c r="F90" s="106">
        <v>6232</v>
      </c>
      <c r="G90" s="106">
        <v>6397</v>
      </c>
      <c r="H90" s="108">
        <v>7689</v>
      </c>
      <c r="I90"/>
      <c r="J90"/>
      <c r="K90"/>
      <c r="L90"/>
      <c r="M90"/>
      <c r="O90"/>
    </row>
    <row r="91" spans="2:15">
      <c r="B91" s="57"/>
      <c r="C91" s="24" t="s">
        <v>191</v>
      </c>
      <c r="D91" s="106">
        <v>100</v>
      </c>
      <c r="E91" s="106">
        <v>0</v>
      </c>
      <c r="F91" s="106">
        <v>0</v>
      </c>
      <c r="G91" s="106">
        <v>0</v>
      </c>
      <c r="H91" s="108">
        <v>0</v>
      </c>
      <c r="I91"/>
      <c r="J91"/>
      <c r="K91"/>
      <c r="L91"/>
      <c r="M91"/>
    </row>
    <row r="92" spans="2:15">
      <c r="B92" s="57"/>
      <c r="C92" s="24" t="s">
        <v>192</v>
      </c>
      <c r="D92" s="106">
        <v>2223</v>
      </c>
      <c r="E92" s="106">
        <v>2546</v>
      </c>
      <c r="F92" s="106">
        <v>3028</v>
      </c>
      <c r="G92" s="106">
        <v>4909</v>
      </c>
      <c r="H92" s="108">
        <v>7042</v>
      </c>
      <c r="I92"/>
      <c r="J92"/>
      <c r="K92"/>
      <c r="L92"/>
      <c r="M92"/>
    </row>
    <row r="93" spans="2:15">
      <c r="B93" s="57"/>
      <c r="C93" s="24" t="s">
        <v>193</v>
      </c>
      <c r="D93" s="106">
        <v>7560</v>
      </c>
      <c r="E93" s="106">
        <v>9276</v>
      </c>
      <c r="F93" s="106">
        <v>9265</v>
      </c>
      <c r="G93" s="106">
        <v>9459</v>
      </c>
      <c r="H93" s="108">
        <v>8347</v>
      </c>
      <c r="I93"/>
      <c r="J93"/>
      <c r="K93"/>
      <c r="L93"/>
      <c r="M93"/>
    </row>
    <row r="94" spans="2:15">
      <c r="B94" s="57"/>
      <c r="C94" s="24" t="s">
        <v>201</v>
      </c>
      <c r="D94" s="106">
        <v>1544</v>
      </c>
      <c r="E94" s="106">
        <v>1644</v>
      </c>
      <c r="F94" s="106">
        <v>1673</v>
      </c>
      <c r="G94" s="106">
        <v>1550</v>
      </c>
      <c r="H94" s="108">
        <v>1454</v>
      </c>
      <c r="I94"/>
      <c r="J94"/>
      <c r="K94"/>
      <c r="L94"/>
      <c r="M94"/>
    </row>
    <row r="95" spans="2:15">
      <c r="B95" s="57" t="s">
        <v>13</v>
      </c>
      <c r="C95" s="24" t="s">
        <v>194</v>
      </c>
      <c r="D95" s="103">
        <v>1306</v>
      </c>
      <c r="E95" s="103">
        <v>935</v>
      </c>
      <c r="F95" s="103">
        <v>786</v>
      </c>
      <c r="G95" s="103">
        <v>645</v>
      </c>
      <c r="H95" s="107">
        <v>449</v>
      </c>
      <c r="I95"/>
      <c r="J95"/>
      <c r="K95"/>
      <c r="L95"/>
      <c r="M95"/>
    </row>
    <row r="96" spans="2:15">
      <c r="B96" s="57"/>
      <c r="C96" s="37" t="s">
        <v>29</v>
      </c>
      <c r="D96" s="93">
        <f t="shared" ref="D96" si="18">SUM(D87:D95)</f>
        <v>19498</v>
      </c>
      <c r="E96" s="93">
        <f t="shared" ref="E96" si="19">SUM(E87:E95)</f>
        <v>23425</v>
      </c>
      <c r="F96" s="93">
        <f t="shared" ref="F96:H96" si="20">SUM(F87:F95)</f>
        <v>23605</v>
      </c>
      <c r="G96" s="93">
        <f t="shared" si="20"/>
        <v>26017</v>
      </c>
      <c r="H96" s="94">
        <f t="shared" si="20"/>
        <v>28768</v>
      </c>
      <c r="I96"/>
      <c r="J96"/>
      <c r="K96"/>
      <c r="L96"/>
      <c r="M96"/>
    </row>
    <row r="97" spans="1:15">
      <c r="B97" s="57"/>
      <c r="C97" s="37"/>
      <c r="D97" s="91"/>
      <c r="E97" s="91"/>
      <c r="F97" s="91"/>
      <c r="G97" s="91"/>
      <c r="H97" s="92"/>
      <c r="I97"/>
      <c r="J97"/>
      <c r="K97"/>
      <c r="L97"/>
      <c r="M97"/>
      <c r="O97" s="135"/>
    </row>
    <row r="98" spans="1:15">
      <c r="B98" s="57"/>
      <c r="C98" s="38" t="s">
        <v>110</v>
      </c>
      <c r="H98" s="67"/>
      <c r="I98"/>
      <c r="J98"/>
      <c r="K98"/>
      <c r="L98"/>
      <c r="M98"/>
    </row>
    <row r="99" spans="1:15">
      <c r="B99" s="57"/>
      <c r="C99" s="24" t="s">
        <v>198</v>
      </c>
      <c r="D99" s="87">
        <v>787</v>
      </c>
      <c r="E99" s="106">
        <v>204</v>
      </c>
      <c r="F99" s="106">
        <v>430</v>
      </c>
      <c r="G99" s="87">
        <v>654</v>
      </c>
      <c r="H99" s="88">
        <v>93</v>
      </c>
      <c r="I99"/>
      <c r="J99"/>
      <c r="K99"/>
      <c r="L99"/>
      <c r="M99"/>
    </row>
    <row r="100" spans="1:15">
      <c r="B100" s="57"/>
      <c r="D100" s="143"/>
      <c r="E100" s="139"/>
      <c r="F100" s="139"/>
      <c r="G100" s="143"/>
      <c r="H100" s="144"/>
      <c r="I100"/>
      <c r="J100"/>
      <c r="K100"/>
      <c r="L100"/>
      <c r="M100"/>
    </row>
    <row r="101" spans="1:15">
      <c r="B101" s="57"/>
      <c r="C101" s="24" t="s">
        <v>30</v>
      </c>
      <c r="D101" s="87">
        <v>35931</v>
      </c>
      <c r="E101" s="87">
        <v>38608</v>
      </c>
      <c r="F101" s="87">
        <v>40550</v>
      </c>
      <c r="G101" s="87">
        <v>42264</v>
      </c>
      <c r="H101" s="88">
        <v>42801</v>
      </c>
      <c r="I101"/>
      <c r="J101"/>
      <c r="K101"/>
      <c r="L101"/>
      <c r="M101"/>
    </row>
    <row r="102" spans="1:15">
      <c r="B102" s="57"/>
      <c r="C102" s="24" t="s">
        <v>195</v>
      </c>
      <c r="D102" s="106">
        <v>-23130</v>
      </c>
      <c r="E102" s="106">
        <v>-23626</v>
      </c>
      <c r="F102" s="106">
        <v>-32767</v>
      </c>
      <c r="G102" s="106">
        <v>-30594</v>
      </c>
      <c r="H102" s="108">
        <v>-20726</v>
      </c>
      <c r="I102"/>
      <c r="J102"/>
      <c r="K102"/>
      <c r="L102"/>
      <c r="M102"/>
    </row>
    <row r="103" spans="1:15">
      <c r="B103" s="57"/>
      <c r="C103" s="24" t="s">
        <v>196</v>
      </c>
      <c r="D103" s="103">
        <v>-535</v>
      </c>
      <c r="E103" s="103">
        <v>-524</v>
      </c>
      <c r="F103" s="103">
        <v>-443</v>
      </c>
      <c r="G103" s="103">
        <v>-421</v>
      </c>
      <c r="H103" s="107">
        <v>-517</v>
      </c>
      <c r="I103"/>
      <c r="J103"/>
      <c r="K103"/>
      <c r="L103"/>
      <c r="M103"/>
    </row>
    <row r="104" spans="1:15">
      <c r="B104" s="57"/>
      <c r="C104" s="47" t="s">
        <v>202</v>
      </c>
      <c r="D104" s="120">
        <f t="shared" ref="D104:F104" si="21">SUM(D101:D103)</f>
        <v>12266</v>
      </c>
      <c r="E104" s="120">
        <f t="shared" si="21"/>
        <v>14458</v>
      </c>
      <c r="F104" s="120">
        <f t="shared" si="21"/>
        <v>7340</v>
      </c>
      <c r="G104" s="120">
        <f>SUM(G101:G103)</f>
        <v>11249</v>
      </c>
      <c r="H104" s="149">
        <f>SUM(H101:H103)</f>
        <v>21558</v>
      </c>
      <c r="I104"/>
      <c r="J104"/>
      <c r="K104"/>
      <c r="L104"/>
      <c r="M104"/>
    </row>
    <row r="105" spans="1:15">
      <c r="B105" s="57"/>
      <c r="C105" s="24" t="s">
        <v>197</v>
      </c>
      <c r="D105" s="103">
        <v>701</v>
      </c>
      <c r="E105" s="103">
        <v>687</v>
      </c>
      <c r="F105" s="103">
        <v>734</v>
      </c>
      <c r="G105" s="103">
        <v>779</v>
      </c>
      <c r="H105" s="107">
        <v>825</v>
      </c>
      <c r="I105"/>
      <c r="J105"/>
      <c r="K105"/>
      <c r="L105"/>
      <c r="M105"/>
    </row>
    <row r="106" spans="1:15">
      <c r="B106" s="57" t="s">
        <v>13</v>
      </c>
      <c r="C106" s="37" t="s">
        <v>31</v>
      </c>
      <c r="D106" s="91">
        <f>SUM(D104:D105)+D99</f>
        <v>13754</v>
      </c>
      <c r="E106" s="91">
        <f t="shared" ref="E106:G106" si="22">SUM(E104:E105)+E99</f>
        <v>15349</v>
      </c>
      <c r="F106" s="91">
        <f t="shared" si="22"/>
        <v>8504</v>
      </c>
      <c r="G106" s="91">
        <f t="shared" si="22"/>
        <v>12682</v>
      </c>
      <c r="H106" s="92">
        <f>SUM(H104:H105)+H99</f>
        <v>22476</v>
      </c>
      <c r="I106"/>
      <c r="J106"/>
      <c r="K106"/>
      <c r="L106"/>
      <c r="M106"/>
    </row>
    <row r="107" spans="1:15">
      <c r="B107" s="57"/>
      <c r="C107" s="43"/>
      <c r="D107" s="91"/>
      <c r="E107" s="91"/>
      <c r="F107" s="91"/>
      <c r="G107" s="91"/>
      <c r="H107" s="92"/>
      <c r="I107"/>
      <c r="J107"/>
      <c r="K107"/>
      <c r="L107"/>
      <c r="M107"/>
    </row>
    <row r="108" spans="1:15">
      <c r="B108" s="57"/>
      <c r="H108" s="67"/>
      <c r="I108"/>
      <c r="J108"/>
      <c r="K108"/>
      <c r="L108"/>
      <c r="M108"/>
    </row>
    <row r="109" spans="1:15" s="44" customFormat="1">
      <c r="B109" s="58"/>
      <c r="C109" s="44" t="s">
        <v>32</v>
      </c>
      <c r="D109" s="44">
        <f>ROUND(D85-D96-D106,3)</f>
        <v>0</v>
      </c>
      <c r="E109" s="44">
        <f>ROUND(E85-E96-E106,3)</f>
        <v>0</v>
      </c>
      <c r="F109" s="44">
        <f>ROUND(F85-F96-F106,3)</f>
        <v>0</v>
      </c>
      <c r="G109" s="44">
        <f>ROUND(G85-G96-G106,3)</f>
        <v>0</v>
      </c>
      <c r="H109" s="72">
        <f>ROUND(H85-H96-H106,3)</f>
        <v>0</v>
      </c>
      <c r="I109"/>
      <c r="J109"/>
      <c r="K109"/>
      <c r="L109"/>
      <c r="M109"/>
    </row>
    <row r="110" spans="1:15" s="44" customFormat="1">
      <c r="B110" s="58"/>
      <c r="F110" s="24"/>
      <c r="G110" s="118"/>
      <c r="H110" s="92"/>
      <c r="I110"/>
      <c r="J110"/>
      <c r="K110"/>
      <c r="L110"/>
      <c r="M110"/>
    </row>
    <row r="111" spans="1:15">
      <c r="A111" s="57" t="s">
        <v>13</v>
      </c>
      <c r="C111" s="34" t="s">
        <v>34</v>
      </c>
      <c r="D111" s="35"/>
      <c r="E111" s="35"/>
      <c r="F111" s="35"/>
      <c r="G111" s="119"/>
      <c r="H111" s="64"/>
      <c r="I111" s="117"/>
      <c r="J111" s="117"/>
      <c r="K111" s="117"/>
    </row>
    <row r="112" spans="1:15">
      <c r="C112" s="24" t="s">
        <v>11</v>
      </c>
      <c r="E112" s="45"/>
      <c r="H112" s="67"/>
      <c r="I112" s="41">
        <f>$H$67+1</f>
        <v>2025</v>
      </c>
      <c r="J112" s="41">
        <f>I112+1</f>
        <v>2026</v>
      </c>
      <c r="K112" s="41">
        <f>J112+1</f>
        <v>2027</v>
      </c>
      <c r="L112" s="41">
        <f>K112+1</f>
        <v>2028</v>
      </c>
      <c r="M112" s="41">
        <f>L112+1</f>
        <v>2029</v>
      </c>
    </row>
    <row r="113" spans="1:13">
      <c r="C113" s="24" t="s">
        <v>12</v>
      </c>
      <c r="E113" s="46"/>
      <c r="H113" s="73"/>
      <c r="I113" s="27">
        <f>$I$16</f>
        <v>46021</v>
      </c>
      <c r="J113" s="27">
        <f>EOMONTH(I113,12)</f>
        <v>46387</v>
      </c>
      <c r="K113" s="27">
        <f>EOMONTH(J113,12)</f>
        <v>46752</v>
      </c>
      <c r="L113" s="27">
        <f>EOMONTH(K113,12)</f>
        <v>47118</v>
      </c>
      <c r="M113" s="27">
        <f>EOMONTH(L113,12)</f>
        <v>47483</v>
      </c>
    </row>
    <row r="114" spans="1:13">
      <c r="H114" s="67"/>
    </row>
    <row r="115" spans="1:13">
      <c r="C115" s="24" t="s">
        <v>21</v>
      </c>
      <c r="H115" s="67"/>
      <c r="I115" s="23"/>
      <c r="J115" s="23"/>
      <c r="K115" s="23"/>
      <c r="L115" s="23"/>
      <c r="M115" s="23"/>
    </row>
    <row r="116" spans="1:13">
      <c r="C116" s="24" t="s">
        <v>35</v>
      </c>
      <c r="D116" s="105"/>
      <c r="E116" s="105"/>
      <c r="H116" s="109"/>
      <c r="I116" s="105"/>
      <c r="J116" s="105"/>
      <c r="K116" s="105"/>
      <c r="L116" s="105"/>
      <c r="M116" s="105"/>
    </row>
    <row r="117" spans="1:13">
      <c r="C117" s="24" t="s">
        <v>36</v>
      </c>
      <c r="D117" s="105"/>
      <c r="E117" s="105"/>
      <c r="H117" s="109"/>
      <c r="I117" s="105"/>
      <c r="J117" s="105"/>
      <c r="K117" s="105"/>
      <c r="L117" s="105"/>
      <c r="M117" s="105"/>
    </row>
    <row r="118" spans="1:13">
      <c r="C118" s="24" t="s">
        <v>37</v>
      </c>
      <c r="D118" s="105"/>
      <c r="E118" s="105"/>
      <c r="H118" s="109"/>
      <c r="I118" s="105"/>
      <c r="J118" s="105"/>
      <c r="K118" s="105"/>
      <c r="L118" s="105"/>
      <c r="M118" s="105"/>
    </row>
    <row r="119" spans="1:13">
      <c r="C119" s="24" t="s">
        <v>38</v>
      </c>
      <c r="D119" s="105"/>
      <c r="E119" s="105"/>
      <c r="H119" s="109"/>
      <c r="I119" s="105"/>
      <c r="J119" s="105"/>
      <c r="K119" s="105"/>
      <c r="L119" s="105"/>
      <c r="M119" s="105"/>
    </row>
    <row r="120" spans="1:13">
      <c r="C120" s="24" t="s">
        <v>139</v>
      </c>
      <c r="D120" s="105"/>
      <c r="E120" s="105"/>
      <c r="H120" s="109"/>
      <c r="I120" s="105"/>
      <c r="J120" s="105"/>
      <c r="K120" s="105"/>
      <c r="L120" s="105"/>
      <c r="M120" s="105"/>
    </row>
    <row r="121" spans="1:13">
      <c r="C121" s="24" t="s">
        <v>143</v>
      </c>
      <c r="D121" s="105"/>
      <c r="E121" s="105"/>
      <c r="H121" s="109"/>
      <c r="I121" s="105"/>
      <c r="J121" s="105"/>
      <c r="K121" s="105"/>
      <c r="L121" s="105"/>
      <c r="M121" s="105"/>
    </row>
    <row r="122" spans="1:13">
      <c r="C122" s="24" t="s">
        <v>39</v>
      </c>
      <c r="D122" s="105"/>
      <c r="E122" s="105"/>
      <c r="H122" s="109"/>
      <c r="I122" s="105"/>
      <c r="J122" s="105"/>
      <c r="K122" s="105"/>
      <c r="L122" s="105"/>
      <c r="M122" s="105"/>
    </row>
    <row r="123" spans="1:13">
      <c r="C123" s="24" t="s">
        <v>40</v>
      </c>
      <c r="D123" s="105"/>
      <c r="E123" s="105"/>
      <c r="H123" s="109"/>
      <c r="I123" s="104"/>
      <c r="J123" s="104"/>
      <c r="K123" s="104"/>
      <c r="L123" s="104"/>
      <c r="M123" s="104"/>
    </row>
    <row r="124" spans="1:13">
      <c r="A124" s="57" t="s">
        <v>13</v>
      </c>
      <c r="C124" s="37" t="s">
        <v>41</v>
      </c>
      <c r="H124" s="92"/>
      <c r="I124" s="91">
        <f>SUM(I115:I123)</f>
        <v>0</v>
      </c>
      <c r="J124" s="91">
        <f>SUM(J115:J123)</f>
        <v>0</v>
      </c>
      <c r="K124" s="91">
        <f>SUM(K115:K123)</f>
        <v>0</v>
      </c>
      <c r="L124" s="91">
        <f>SUM(L115:L123)</f>
        <v>0</v>
      </c>
      <c r="M124" s="91">
        <f>SUM(M115:M123)</f>
        <v>0</v>
      </c>
    </row>
    <row r="125" spans="1:13">
      <c r="H125" s="67"/>
      <c r="I125" s="23"/>
      <c r="J125" s="23"/>
      <c r="K125" s="23"/>
      <c r="L125" s="23"/>
      <c r="M125" s="23"/>
    </row>
    <row r="126" spans="1:13">
      <c r="C126" s="24" t="s">
        <v>42</v>
      </c>
      <c r="H126" s="67"/>
      <c r="I126" s="119"/>
      <c r="J126" s="119"/>
      <c r="K126" s="119"/>
      <c r="L126" s="119"/>
      <c r="M126" s="119"/>
    </row>
    <row r="127" spans="1:13">
      <c r="A127" s="57" t="s">
        <v>13</v>
      </c>
      <c r="C127" s="37" t="s">
        <v>43</v>
      </c>
      <c r="H127" s="67"/>
      <c r="I127" s="91">
        <f>I126</f>
        <v>0</v>
      </c>
      <c r="J127" s="91">
        <f>J126</f>
        <v>0</v>
      </c>
      <c r="K127" s="91">
        <f>K126</f>
        <v>0</v>
      </c>
      <c r="L127" s="91">
        <f>L126</f>
        <v>0</v>
      </c>
      <c r="M127" s="91">
        <f>M126</f>
        <v>0</v>
      </c>
    </row>
    <row r="128" spans="1:13">
      <c r="H128" s="67"/>
      <c r="I128" s="23"/>
      <c r="J128" s="23"/>
      <c r="K128" s="23"/>
      <c r="L128" s="23"/>
      <c r="M128" s="23"/>
    </row>
    <row r="129" spans="1:19">
      <c r="C129" s="24" t="s">
        <v>44</v>
      </c>
      <c r="H129" s="67"/>
      <c r="I129" s="23"/>
      <c r="J129" s="23"/>
      <c r="K129" s="23"/>
      <c r="L129" s="23"/>
      <c r="M129" s="23"/>
    </row>
    <row r="130" spans="1:19">
      <c r="C130" s="24" t="s">
        <v>45</v>
      </c>
      <c r="H130" s="67"/>
      <c r="I130" s="105"/>
      <c r="J130" s="105"/>
      <c r="K130" s="105"/>
      <c r="L130" s="105"/>
      <c r="M130" s="105"/>
    </row>
    <row r="131" spans="1:19">
      <c r="C131" s="24" t="s">
        <v>46</v>
      </c>
      <c r="H131" s="67"/>
      <c r="I131" s="105"/>
      <c r="J131" s="105"/>
      <c r="K131" s="105"/>
      <c r="L131" s="105"/>
      <c r="M131" s="105"/>
    </row>
    <row r="132" spans="1:19">
      <c r="C132" s="24" t="s">
        <v>47</v>
      </c>
      <c r="H132" s="67"/>
      <c r="I132" s="104"/>
      <c r="J132" s="104"/>
      <c r="K132" s="104"/>
      <c r="L132" s="104"/>
      <c r="M132" s="104"/>
    </row>
    <row r="133" spans="1:19">
      <c r="A133" s="57" t="s">
        <v>13</v>
      </c>
      <c r="C133" s="37" t="s">
        <v>48</v>
      </c>
      <c r="H133" s="67"/>
      <c r="I133" s="91">
        <f>SUM(I129:I132)</f>
        <v>0</v>
      </c>
      <c r="J133" s="91">
        <f>SUM(J129:J132)</f>
        <v>0</v>
      </c>
      <c r="K133" s="91">
        <f>SUM(K129:K132)</f>
        <v>0</v>
      </c>
      <c r="L133" s="91">
        <f>SUM(L129:L132)</f>
        <v>0</v>
      </c>
      <c r="M133" s="91">
        <f>SUM(M129:M132)</f>
        <v>0</v>
      </c>
    </row>
    <row r="134" spans="1:19">
      <c r="H134" s="67"/>
      <c r="I134" s="23"/>
      <c r="J134" s="23"/>
      <c r="K134" s="23"/>
      <c r="L134" s="23"/>
      <c r="M134" s="23"/>
    </row>
    <row r="135" spans="1:19">
      <c r="A135" s="57" t="s">
        <v>13</v>
      </c>
      <c r="C135" s="37" t="s">
        <v>49</v>
      </c>
      <c r="H135" s="67"/>
      <c r="I135" s="91">
        <f>I133+I127+I124</f>
        <v>0</v>
      </c>
      <c r="J135" s="91">
        <f>J133+J127+J124</f>
        <v>0</v>
      </c>
      <c r="K135" s="91">
        <f>K133+K127+K124</f>
        <v>0</v>
      </c>
      <c r="L135" s="91">
        <f>L133+L127+L124</f>
        <v>0</v>
      </c>
      <c r="M135" s="91">
        <f>M133+M127+M124</f>
        <v>0</v>
      </c>
    </row>
    <row r="136" spans="1:19">
      <c r="F136" s="67"/>
      <c r="G136" s="118"/>
    </row>
    <row r="137" spans="1:19">
      <c r="A137" s="57" t="s">
        <v>13</v>
      </c>
      <c r="C137" s="34" t="s">
        <v>50</v>
      </c>
      <c r="D137" s="35"/>
      <c r="E137" s="35"/>
      <c r="F137" s="64"/>
      <c r="G137" s="119"/>
      <c r="H137" s="119"/>
      <c r="I137" s="119"/>
      <c r="J137" s="119"/>
      <c r="K137" s="119"/>
      <c r="L137" s="116"/>
    </row>
    <row r="138" spans="1:19">
      <c r="C138" s="24" t="s">
        <v>11</v>
      </c>
      <c r="F138" s="25">
        <f t="shared" ref="F138:H139" si="23">F15</f>
        <v>2022</v>
      </c>
      <c r="G138" s="25">
        <f t="shared" si="23"/>
        <v>2023</v>
      </c>
      <c r="H138" s="65">
        <f t="shared" si="23"/>
        <v>2024</v>
      </c>
      <c r="I138" s="26">
        <f>H138+1</f>
        <v>2025</v>
      </c>
      <c r="J138" s="26">
        <f>I138+1</f>
        <v>2026</v>
      </c>
      <c r="K138" s="26">
        <f>J138+1</f>
        <v>2027</v>
      </c>
      <c r="L138" s="26">
        <f t="shared" ref="L138:M138" si="24">K138+1</f>
        <v>2028</v>
      </c>
      <c r="M138" s="26">
        <f t="shared" si="24"/>
        <v>2029</v>
      </c>
    </row>
    <row r="139" spans="1:19" ht="20" customHeight="1">
      <c r="C139" s="35" t="s">
        <v>12</v>
      </c>
      <c r="F139" s="27">
        <f t="shared" si="23"/>
        <v>44926</v>
      </c>
      <c r="G139" s="27">
        <f t="shared" si="23"/>
        <v>45291</v>
      </c>
      <c r="H139" s="51">
        <f t="shared" si="23"/>
        <v>45657</v>
      </c>
      <c r="I139" s="27">
        <f>I16</f>
        <v>46021</v>
      </c>
      <c r="J139" s="27">
        <f>EOMONTH(I139,12)</f>
        <v>46387</v>
      </c>
      <c r="K139" s="27">
        <f>EOMONTH(J139,12)</f>
        <v>46752</v>
      </c>
      <c r="L139" s="27">
        <f t="shared" ref="L139:M139" si="25">EOMONTH(K139,12)</f>
        <v>47118</v>
      </c>
      <c r="M139" s="27">
        <f t="shared" si="25"/>
        <v>47483</v>
      </c>
      <c r="N139" s="133"/>
      <c r="O139" s="133"/>
      <c r="Q139" s="131"/>
      <c r="R139" s="131"/>
      <c r="S139" s="133"/>
    </row>
    <row r="140" spans="1:19">
      <c r="H140" s="67"/>
    </row>
    <row r="141" spans="1:19">
      <c r="C141" s="24" t="s">
        <v>14</v>
      </c>
      <c r="F141" s="23">
        <f t="shared" ref="F141:M141" si="26">F18</f>
        <v>31877</v>
      </c>
      <c r="G141" s="23">
        <f t="shared" si="26"/>
        <v>37281</v>
      </c>
      <c r="H141" s="53">
        <f t="shared" si="26"/>
        <v>43978</v>
      </c>
      <c r="I141" s="23">
        <f t="shared" si="26"/>
        <v>0</v>
      </c>
      <c r="J141" s="23">
        <f t="shared" si="26"/>
        <v>0</v>
      </c>
      <c r="K141" s="23">
        <f t="shared" si="26"/>
        <v>0</v>
      </c>
      <c r="L141" s="23">
        <f t="shared" si="26"/>
        <v>0</v>
      </c>
      <c r="M141" s="23">
        <f t="shared" si="26"/>
        <v>0</v>
      </c>
    </row>
    <row r="142" spans="1:19">
      <c r="C142" s="24" t="s">
        <v>51</v>
      </c>
      <c r="F142" s="87"/>
      <c r="G142" s="87"/>
      <c r="H142" s="88"/>
      <c r="I142" s="134"/>
      <c r="J142" s="134"/>
      <c r="K142" s="134"/>
      <c r="L142" s="134"/>
      <c r="M142" s="134"/>
    </row>
    <row r="143" spans="1:19">
      <c r="C143" s="44" t="s">
        <v>52</v>
      </c>
      <c r="F143" s="10">
        <f>-F142/F141</f>
        <v>0</v>
      </c>
      <c r="G143" s="10">
        <f t="shared" ref="G143:M143" si="27">-G142/G141</f>
        <v>0</v>
      </c>
      <c r="H143" s="52">
        <f t="shared" si="27"/>
        <v>0</v>
      </c>
      <c r="I143" s="10" t="e">
        <f t="shared" si="27"/>
        <v>#DIV/0!</v>
      </c>
      <c r="J143" s="10" t="e">
        <f t="shared" si="27"/>
        <v>#DIV/0!</v>
      </c>
      <c r="K143" s="10" t="e">
        <f t="shared" si="27"/>
        <v>#DIV/0!</v>
      </c>
      <c r="L143" s="10" t="e">
        <f t="shared" si="27"/>
        <v>#DIV/0!</v>
      </c>
      <c r="M143" s="10" t="e">
        <f t="shared" si="27"/>
        <v>#DIV/0!</v>
      </c>
    </row>
    <row r="144" spans="1:19">
      <c r="C144" s="44"/>
      <c r="F144" s="10"/>
      <c r="G144" s="10"/>
      <c r="H144" s="52"/>
      <c r="I144" s="10"/>
      <c r="J144" s="10"/>
      <c r="K144" s="10"/>
      <c r="L144" s="10"/>
      <c r="M144" s="10"/>
    </row>
    <row r="145" spans="1:13" s="44" customFormat="1">
      <c r="A145" s="58"/>
      <c r="C145" s="24" t="s">
        <v>53</v>
      </c>
      <c r="F145" s="98">
        <f>F43</f>
        <v>565</v>
      </c>
      <c r="G145" s="98">
        <f>G43</f>
        <v>633</v>
      </c>
      <c r="H145" s="99">
        <f>H43</f>
        <v>523</v>
      </c>
      <c r="I145" s="87"/>
      <c r="J145" s="87"/>
      <c r="K145" s="87"/>
      <c r="L145" s="87"/>
      <c r="M145" s="87"/>
    </row>
    <row r="146" spans="1:13">
      <c r="C146" s="44" t="s">
        <v>54</v>
      </c>
      <c r="F146" s="10" t="e">
        <f>F145/-F142</f>
        <v>#DIV/0!</v>
      </c>
      <c r="G146" s="10" t="e">
        <f>G145/-G142</f>
        <v>#DIV/0!</v>
      </c>
      <c r="H146" s="52" t="e">
        <f>H145/-H142</f>
        <v>#DIV/0!</v>
      </c>
      <c r="I146" s="17" t="e">
        <f>I145/-I142</f>
        <v>#DIV/0!</v>
      </c>
      <c r="J146" s="17" t="e">
        <f t="shared" ref="J146:M146" si="28">J145/-J142</f>
        <v>#DIV/0!</v>
      </c>
      <c r="K146" s="17" t="e">
        <f t="shared" si="28"/>
        <v>#DIV/0!</v>
      </c>
      <c r="L146" s="17" t="e">
        <f t="shared" si="28"/>
        <v>#DIV/0!</v>
      </c>
      <c r="M146" s="17" t="e">
        <f t="shared" si="28"/>
        <v>#DIV/0!</v>
      </c>
    </row>
    <row r="147" spans="1:13">
      <c r="H147" s="67"/>
    </row>
    <row r="148" spans="1:13">
      <c r="C148" s="24" t="s">
        <v>55</v>
      </c>
      <c r="F148" s="83"/>
      <c r="G148" s="83"/>
      <c r="H148" s="85"/>
      <c r="I148" s="23">
        <f>H151</f>
        <v>0</v>
      </c>
      <c r="J148" s="23">
        <f>I151</f>
        <v>0</v>
      </c>
      <c r="K148" s="23">
        <f t="shared" ref="K148:M148" si="29">J151</f>
        <v>0</v>
      </c>
      <c r="L148" s="23">
        <f t="shared" si="29"/>
        <v>0</v>
      </c>
      <c r="M148" s="23">
        <f t="shared" si="29"/>
        <v>0</v>
      </c>
    </row>
    <row r="149" spans="1:13">
      <c r="C149" s="42" t="s">
        <v>56</v>
      </c>
      <c r="F149" s="83"/>
      <c r="G149" s="84" t="s">
        <v>57</v>
      </c>
      <c r="H149" s="85"/>
      <c r="I149" s="105">
        <f>-I142</f>
        <v>0</v>
      </c>
      <c r="J149" s="105">
        <f t="shared" ref="J149:M149" si="30">-J142</f>
        <v>0</v>
      </c>
      <c r="K149" s="105">
        <f t="shared" si="30"/>
        <v>0</v>
      </c>
      <c r="L149" s="105">
        <f t="shared" si="30"/>
        <v>0</v>
      </c>
      <c r="M149" s="105">
        <f t="shared" si="30"/>
        <v>0</v>
      </c>
    </row>
    <row r="150" spans="1:13">
      <c r="C150" s="42" t="s">
        <v>58</v>
      </c>
      <c r="F150" s="83"/>
      <c r="G150" s="83"/>
      <c r="H150" s="85"/>
      <c r="I150" s="105">
        <f>-I145</f>
        <v>0</v>
      </c>
      <c r="J150" s="105">
        <f t="shared" ref="J150:K150" si="31">-J145</f>
        <v>0</v>
      </c>
      <c r="K150" s="105">
        <f t="shared" si="31"/>
        <v>0</v>
      </c>
      <c r="L150" s="105">
        <f t="shared" ref="L150:M150" si="32">-L145</f>
        <v>0</v>
      </c>
      <c r="M150" s="105">
        <f t="shared" si="32"/>
        <v>0</v>
      </c>
    </row>
    <row r="151" spans="1:13">
      <c r="C151" s="47" t="s">
        <v>59</v>
      </c>
      <c r="F151" s="111">
        <f>F76</f>
        <v>0</v>
      </c>
      <c r="G151" s="111">
        <f>G76</f>
        <v>0</v>
      </c>
      <c r="H151" s="112">
        <f>H76</f>
        <v>0</v>
      </c>
      <c r="I151" s="93">
        <f>SUM(I148:I150)</f>
        <v>0</v>
      </c>
      <c r="J151" s="93">
        <f t="shared" ref="J151:K151" si="33">SUM(J148:J150)</f>
        <v>0</v>
      </c>
      <c r="K151" s="93">
        <f t="shared" si="33"/>
        <v>0</v>
      </c>
      <c r="L151" s="93">
        <f t="shared" ref="L151:M151" si="34">SUM(L148:L150)</f>
        <v>0</v>
      </c>
      <c r="M151" s="93">
        <f t="shared" si="34"/>
        <v>0</v>
      </c>
    </row>
    <row r="152" spans="1:13">
      <c r="C152" s="47"/>
      <c r="F152" s="37"/>
      <c r="G152" s="37"/>
      <c r="H152" s="68"/>
      <c r="I152" s="37"/>
      <c r="J152" s="37"/>
      <c r="K152" s="37"/>
      <c r="L152" s="37"/>
      <c r="M152" s="37"/>
    </row>
    <row r="153" spans="1:13">
      <c r="A153" s="57" t="s">
        <v>13</v>
      </c>
      <c r="C153" s="34" t="s">
        <v>60</v>
      </c>
      <c r="D153" s="35"/>
      <c r="E153" s="35"/>
      <c r="F153" s="64"/>
      <c r="G153" s="35"/>
      <c r="H153" s="35"/>
      <c r="I153" s="35"/>
      <c r="J153" s="35"/>
      <c r="K153" s="35"/>
    </row>
    <row r="154" spans="1:13">
      <c r="F154" s="45">
        <f>$F$15</f>
        <v>2022</v>
      </c>
      <c r="G154" s="45">
        <f>$G$15</f>
        <v>2023</v>
      </c>
      <c r="H154" s="73">
        <f>$H$15</f>
        <v>2024</v>
      </c>
      <c r="I154" s="26">
        <f>$H$67+1</f>
        <v>2025</v>
      </c>
      <c r="J154" s="26">
        <f>I154+1</f>
        <v>2026</v>
      </c>
      <c r="K154" s="26">
        <f>J154+1</f>
        <v>2027</v>
      </c>
      <c r="L154" s="26">
        <f t="shared" ref="L154:M154" si="35">K154+1</f>
        <v>2028</v>
      </c>
      <c r="M154" s="26">
        <f t="shared" si="35"/>
        <v>2029</v>
      </c>
    </row>
    <row r="155" spans="1:13">
      <c r="F155" s="27">
        <f>$F$16</f>
        <v>44926</v>
      </c>
      <c r="G155" s="27">
        <f>$G$16</f>
        <v>45291</v>
      </c>
      <c r="H155" s="51">
        <f>$H$16</f>
        <v>45657</v>
      </c>
      <c r="I155" s="27">
        <f>$I$16</f>
        <v>46021</v>
      </c>
      <c r="J155" s="27">
        <f>EOMONTH(I155,12)</f>
        <v>46387</v>
      </c>
      <c r="K155" s="27">
        <f>EOMONTH(J155,12)</f>
        <v>46752</v>
      </c>
      <c r="L155" s="27">
        <f t="shared" ref="L155:M155" si="36">EOMONTH(K155,12)</f>
        <v>47118</v>
      </c>
      <c r="M155" s="27">
        <f t="shared" si="36"/>
        <v>47483</v>
      </c>
    </row>
    <row r="156" spans="1:13">
      <c r="C156" s="24" t="s">
        <v>61</v>
      </c>
      <c r="H156" s="67"/>
      <c r="I156" s="23"/>
      <c r="J156" s="23"/>
      <c r="K156" s="23"/>
      <c r="L156" s="23"/>
      <c r="M156" s="23"/>
    </row>
    <row r="157" spans="1:13">
      <c r="C157" s="42" t="s">
        <v>62</v>
      </c>
      <c r="H157" s="67"/>
      <c r="I157" s="106"/>
      <c r="J157" s="106"/>
      <c r="K157" s="106"/>
      <c r="L157" s="106"/>
      <c r="M157" s="106"/>
    </row>
    <row r="158" spans="1:13">
      <c r="C158" s="42" t="s">
        <v>63</v>
      </c>
      <c r="H158" s="67"/>
      <c r="I158" s="106"/>
      <c r="J158" s="106"/>
      <c r="K158" s="106"/>
      <c r="L158" s="106"/>
      <c r="M158" s="106"/>
    </row>
    <row r="159" spans="1:13">
      <c r="C159" s="42" t="s">
        <v>64</v>
      </c>
      <c r="H159" s="67"/>
      <c r="I159" s="105"/>
      <c r="J159" s="105"/>
      <c r="K159" s="105"/>
      <c r="L159" s="105"/>
      <c r="M159" s="105"/>
    </row>
    <row r="160" spans="1:13">
      <c r="C160" s="42" t="s">
        <v>65</v>
      </c>
      <c r="H160" s="67"/>
      <c r="I160" s="103"/>
      <c r="J160" s="103"/>
      <c r="K160" s="103"/>
      <c r="L160" s="103"/>
      <c r="M160" s="103"/>
    </row>
    <row r="161" spans="3:13">
      <c r="C161" s="24" t="s">
        <v>66</v>
      </c>
      <c r="H161" s="67"/>
      <c r="I161" s="23"/>
      <c r="J161" s="23"/>
      <c r="K161" s="23"/>
      <c r="L161" s="23"/>
      <c r="M161" s="23"/>
    </row>
    <row r="162" spans="3:13">
      <c r="C162" s="42" t="s">
        <v>67</v>
      </c>
      <c r="H162" s="67"/>
      <c r="I162" s="105"/>
      <c r="J162" s="105"/>
      <c r="K162" s="105"/>
      <c r="L162" s="105"/>
      <c r="M162" s="105"/>
    </row>
    <row r="163" spans="3:13">
      <c r="C163" s="42" t="s">
        <v>68</v>
      </c>
      <c r="H163" s="67"/>
      <c r="I163" s="104"/>
      <c r="J163" s="104"/>
      <c r="K163" s="104"/>
      <c r="L163" s="104"/>
      <c r="M163" s="104"/>
    </row>
    <row r="164" spans="3:13">
      <c r="C164" s="37" t="s">
        <v>69</v>
      </c>
      <c r="H164" s="67"/>
      <c r="I164" s="91"/>
      <c r="J164" s="91"/>
      <c r="K164" s="91"/>
      <c r="L164" s="91"/>
      <c r="M164" s="91"/>
    </row>
    <row r="165" spans="3:13">
      <c r="H165" s="67"/>
    </row>
    <row r="166" spans="3:13">
      <c r="C166" s="50" t="s">
        <v>136</v>
      </c>
      <c r="H166" s="67"/>
    </row>
    <row r="167" spans="3:13">
      <c r="C167" s="42" t="s">
        <v>70</v>
      </c>
      <c r="F167" s="83"/>
      <c r="G167" s="83"/>
      <c r="H167" s="85"/>
      <c r="I167" s="23"/>
      <c r="J167" s="23"/>
      <c r="K167" s="23"/>
      <c r="L167" s="23"/>
      <c r="M167" s="23"/>
    </row>
    <row r="168" spans="3:13">
      <c r="C168" s="42" t="s">
        <v>141</v>
      </c>
      <c r="F168" s="83"/>
      <c r="G168" s="83"/>
      <c r="H168" s="85"/>
      <c r="I168" s="104"/>
      <c r="J168" s="104"/>
      <c r="K168" s="104"/>
      <c r="L168" s="104"/>
      <c r="M168" s="104"/>
    </row>
    <row r="169" spans="3:13">
      <c r="C169" s="42" t="s">
        <v>71</v>
      </c>
      <c r="F169" s="91">
        <f>F90</f>
        <v>6232</v>
      </c>
      <c r="G169" s="91">
        <f>G90</f>
        <v>6397</v>
      </c>
      <c r="H169" s="92">
        <f>H90</f>
        <v>7689</v>
      </c>
      <c r="I169" s="91"/>
      <c r="J169" s="91"/>
      <c r="K169" s="91"/>
      <c r="L169" s="91"/>
      <c r="M169" s="91"/>
    </row>
    <row r="170" spans="3:13">
      <c r="H170" s="67"/>
    </row>
    <row r="171" spans="3:13">
      <c r="C171" s="50" t="s">
        <v>72</v>
      </c>
      <c r="H171" s="67"/>
    </row>
    <row r="172" spans="3:13">
      <c r="C172" s="42" t="s">
        <v>70</v>
      </c>
      <c r="F172" s="83"/>
      <c r="G172" s="83"/>
      <c r="H172" s="85"/>
      <c r="I172" s="23"/>
      <c r="J172" s="23"/>
      <c r="K172" s="23"/>
      <c r="L172" s="23"/>
      <c r="M172" s="23"/>
    </row>
    <row r="173" spans="3:13">
      <c r="C173" s="42" t="s">
        <v>73</v>
      </c>
      <c r="F173" s="83"/>
      <c r="G173" s="83"/>
      <c r="H173" s="85"/>
      <c r="I173" s="106"/>
      <c r="J173" s="106"/>
      <c r="K173" s="106"/>
      <c r="L173" s="106"/>
      <c r="M173" s="106"/>
    </row>
    <row r="174" spans="3:13">
      <c r="C174" s="42" t="s">
        <v>74</v>
      </c>
      <c r="F174" s="83"/>
      <c r="G174" s="83"/>
      <c r="H174" s="85"/>
      <c r="I174" s="114"/>
      <c r="J174" s="114"/>
      <c r="K174" s="114"/>
      <c r="L174" s="114"/>
      <c r="M174" s="114"/>
    </row>
    <row r="175" spans="3:13">
      <c r="C175" s="42" t="s">
        <v>71</v>
      </c>
      <c r="F175" s="91">
        <f>F91</f>
        <v>0</v>
      </c>
      <c r="G175" s="91">
        <f>G91</f>
        <v>0</v>
      </c>
      <c r="H175" s="92">
        <f>H91</f>
        <v>0</v>
      </c>
      <c r="I175" s="91"/>
      <c r="J175" s="91"/>
      <c r="K175" s="91"/>
      <c r="L175" s="91"/>
      <c r="M175" s="91"/>
    </row>
    <row r="176" spans="3:13">
      <c r="F176" s="64"/>
    </row>
    <row r="177" spans="1:17">
      <c r="C177" s="56" t="s">
        <v>136</v>
      </c>
      <c r="D177" s="56" t="s">
        <v>75</v>
      </c>
      <c r="E177" s="56"/>
      <c r="F177" s="74"/>
      <c r="I177" s="132"/>
      <c r="J177" s="95"/>
      <c r="K177" s="95"/>
      <c r="L177" s="95"/>
      <c r="M177" s="95"/>
    </row>
    <row r="178" spans="1:17">
      <c r="D178" s="24" t="s">
        <v>76</v>
      </c>
      <c r="F178" s="67"/>
      <c r="I178" s="130"/>
      <c r="J178" s="130"/>
      <c r="K178" s="130"/>
      <c r="L178" s="130"/>
      <c r="M178" s="130"/>
    </row>
    <row r="179" spans="1:17">
      <c r="D179" s="24" t="s">
        <v>18</v>
      </c>
      <c r="E179" s="37"/>
      <c r="F179" s="67"/>
      <c r="I179" s="91"/>
      <c r="J179" s="91"/>
      <c r="K179" s="91"/>
      <c r="L179" s="91"/>
      <c r="M179" s="91"/>
    </row>
    <row r="180" spans="1:17">
      <c r="F180" s="67"/>
    </row>
    <row r="181" spans="1:17">
      <c r="C181" s="24" t="s">
        <v>72</v>
      </c>
      <c r="D181" s="24" t="s">
        <v>75</v>
      </c>
      <c r="F181" s="67"/>
      <c r="I181" s="23"/>
      <c r="J181" s="23"/>
      <c r="K181" s="23"/>
      <c r="L181" s="23"/>
      <c r="M181" s="23"/>
      <c r="N181"/>
      <c r="O181"/>
      <c r="P181"/>
      <c r="Q181"/>
    </row>
    <row r="182" spans="1:17">
      <c r="D182" s="24" t="s">
        <v>76</v>
      </c>
      <c r="F182" s="67"/>
      <c r="I182" s="22"/>
      <c r="J182" s="22"/>
      <c r="K182" s="22"/>
      <c r="L182" s="22"/>
      <c r="M182" s="22"/>
      <c r="N182"/>
      <c r="O182"/>
      <c r="P182"/>
      <c r="Q182"/>
    </row>
    <row r="183" spans="1:17">
      <c r="D183" s="24" t="s">
        <v>18</v>
      </c>
      <c r="E183" s="37"/>
      <c r="F183" s="68"/>
      <c r="I183" s="93"/>
      <c r="J183" s="93"/>
      <c r="K183" s="93"/>
      <c r="L183" s="93"/>
      <c r="M183" s="93"/>
      <c r="N183"/>
      <c r="O183"/>
      <c r="P183"/>
      <c r="Q183"/>
    </row>
    <row r="184" spans="1:17">
      <c r="F184" s="67"/>
      <c r="N184"/>
      <c r="O184"/>
      <c r="P184"/>
      <c r="Q184"/>
    </row>
    <row r="185" spans="1:17">
      <c r="A185" s="57" t="s">
        <v>13</v>
      </c>
      <c r="C185" s="37" t="s">
        <v>77</v>
      </c>
      <c r="F185" s="67"/>
      <c r="I185" s="23"/>
      <c r="J185" s="23"/>
      <c r="K185" s="23"/>
      <c r="L185" s="23"/>
      <c r="M185" s="23"/>
      <c r="N185"/>
      <c r="O185"/>
      <c r="P185"/>
      <c r="Q185"/>
    </row>
    <row r="186" spans="1:17">
      <c r="F186" s="67"/>
      <c r="N186"/>
      <c r="O186"/>
      <c r="P186"/>
      <c r="Q186"/>
    </row>
    <row r="187" spans="1:17">
      <c r="C187" s="24" t="s">
        <v>78</v>
      </c>
      <c r="D187" s="24" t="s">
        <v>75</v>
      </c>
      <c r="F187" s="67"/>
      <c r="I187" s="23"/>
      <c r="J187" s="23"/>
      <c r="K187" s="23"/>
      <c r="L187" s="23"/>
      <c r="M187" s="23"/>
      <c r="N187"/>
      <c r="O187"/>
      <c r="P187"/>
      <c r="Q187"/>
    </row>
    <row r="188" spans="1:17">
      <c r="D188" s="24" t="s">
        <v>76</v>
      </c>
      <c r="F188" s="67"/>
      <c r="I188" s="130"/>
      <c r="J188" s="130"/>
      <c r="K188" s="130"/>
      <c r="L188" s="130"/>
      <c r="M188" s="130"/>
      <c r="N188"/>
      <c r="O188"/>
      <c r="P188"/>
      <c r="Q188"/>
    </row>
    <row r="189" spans="1:17">
      <c r="D189" s="24" t="s">
        <v>79</v>
      </c>
      <c r="E189" s="37"/>
      <c r="F189" s="68"/>
      <c r="I189" s="93"/>
      <c r="J189" s="93"/>
      <c r="K189" s="93"/>
      <c r="L189" s="93"/>
      <c r="M189" s="93"/>
      <c r="N189"/>
      <c r="O189"/>
      <c r="P189"/>
      <c r="Q189"/>
    </row>
    <row r="190" spans="1:17">
      <c r="F190" s="67"/>
      <c r="N190"/>
      <c r="O190"/>
      <c r="P190"/>
      <c r="Q190"/>
    </row>
    <row r="191" spans="1:17">
      <c r="F191" s="67"/>
      <c r="N191"/>
      <c r="O191"/>
      <c r="P191"/>
      <c r="Q191"/>
    </row>
    <row r="192" spans="1:17">
      <c r="F192" s="67"/>
      <c r="N192"/>
      <c r="O192"/>
      <c r="P192"/>
      <c r="Q192"/>
    </row>
    <row r="193" spans="1:13">
      <c r="A193" s="57" t="s">
        <v>13</v>
      </c>
      <c r="C193" s="48" t="s">
        <v>80</v>
      </c>
      <c r="D193" s="35"/>
      <c r="E193" s="35"/>
      <c r="F193" s="64"/>
      <c r="I193" s="35"/>
      <c r="J193" s="35"/>
      <c r="K193" s="35"/>
      <c r="L193" s="35"/>
      <c r="M193" s="35"/>
    </row>
    <row r="194" spans="1:13">
      <c r="C194" s="14" t="s">
        <v>81</v>
      </c>
      <c r="D194" s="83"/>
      <c r="E194" s="83"/>
      <c r="F194" s="86"/>
      <c r="I194" s="23"/>
      <c r="J194" s="23"/>
      <c r="K194" s="23"/>
      <c r="L194" s="23"/>
      <c r="M194" s="23"/>
    </row>
    <row r="195" spans="1:13">
      <c r="C195" s="11" t="s">
        <v>82</v>
      </c>
      <c r="D195" s="83"/>
      <c r="E195" s="84" t="s">
        <v>57</v>
      </c>
      <c r="F195" s="85"/>
    </row>
    <row r="196" spans="1:13">
      <c r="C196" s="11" t="s">
        <v>83</v>
      </c>
      <c r="D196" s="83"/>
      <c r="E196" s="83"/>
      <c r="F196" s="85"/>
      <c r="I196" s="23"/>
      <c r="J196" s="23"/>
      <c r="K196" s="23"/>
      <c r="L196" s="23"/>
      <c r="M196" s="23"/>
    </row>
    <row r="197" spans="1:13">
      <c r="C197" s="42" t="s">
        <v>84</v>
      </c>
      <c r="D197" s="83"/>
      <c r="E197" s="83"/>
      <c r="F197" s="85"/>
      <c r="I197" s="23"/>
      <c r="J197" s="136"/>
      <c r="K197" s="136"/>
      <c r="L197" s="136"/>
      <c r="M197" s="136"/>
    </row>
    <row r="198" spans="1:13">
      <c r="C198" s="47" t="s">
        <v>85</v>
      </c>
      <c r="D198" s="89">
        <f>F102</f>
        <v>-32767</v>
      </c>
      <c r="E198" s="89">
        <f>G102</f>
        <v>-30594</v>
      </c>
      <c r="F198" s="90">
        <f>H102</f>
        <v>-20726</v>
      </c>
      <c r="I198" s="93"/>
      <c r="J198" s="91"/>
      <c r="K198" s="91"/>
      <c r="L198" s="91"/>
      <c r="M198" s="91"/>
    </row>
    <row r="199" spans="1:13">
      <c r="C199" s="47"/>
      <c r="D199" s="49"/>
      <c r="E199" s="49"/>
      <c r="F199" s="75"/>
    </row>
    <row r="200" spans="1:13">
      <c r="A200" s="57" t="s">
        <v>13</v>
      </c>
      <c r="C200" s="48" t="s">
        <v>86</v>
      </c>
      <c r="D200" s="59"/>
      <c r="E200" s="59"/>
      <c r="F200" s="76"/>
      <c r="I200" s="35"/>
      <c r="J200" s="35"/>
      <c r="K200" s="35"/>
      <c r="L200" s="35"/>
      <c r="M200" s="35"/>
    </row>
    <row r="201" spans="1:13">
      <c r="C201" s="47"/>
      <c r="D201" s="49"/>
      <c r="E201" s="49"/>
      <c r="F201" s="75"/>
    </row>
    <row r="202" spans="1:13">
      <c r="C202" s="47"/>
      <c r="D202" s="49"/>
      <c r="E202" s="49"/>
      <c r="F202" s="77" t="s">
        <v>87</v>
      </c>
      <c r="I202" s="26">
        <f>I154</f>
        <v>2025</v>
      </c>
      <c r="J202" s="26">
        <f>I202+1</f>
        <v>2026</v>
      </c>
      <c r="K202" s="26">
        <f>J202+1</f>
        <v>2027</v>
      </c>
      <c r="L202" s="26">
        <f t="shared" ref="L202:M202" si="37">K202+1</f>
        <v>2028</v>
      </c>
      <c r="M202" s="26">
        <f t="shared" si="37"/>
        <v>2029</v>
      </c>
    </row>
    <row r="203" spans="1:13">
      <c r="C203" s="47"/>
      <c r="D203" s="49"/>
      <c r="E203" s="49"/>
      <c r="F203" s="78" t="s">
        <v>88</v>
      </c>
      <c r="I203" s="27">
        <f>I16</f>
        <v>46021</v>
      </c>
      <c r="J203" s="27">
        <f>J16</f>
        <v>46385</v>
      </c>
      <c r="K203" s="27">
        <f>K16</f>
        <v>46749</v>
      </c>
      <c r="L203" s="27">
        <f>L16</f>
        <v>47113</v>
      </c>
      <c r="M203" s="27">
        <f>M16</f>
        <v>47477</v>
      </c>
    </row>
    <row r="204" spans="1:13">
      <c r="C204" s="61" t="s">
        <v>89</v>
      </c>
      <c r="D204" s="24">
        <f>IF($D$11="Base case",1,IF($D$11="Upside",2,3))</f>
        <v>1</v>
      </c>
      <c r="E204" s="49"/>
      <c r="F204" s="75"/>
      <c r="I204" s="36"/>
      <c r="J204" s="36"/>
      <c r="K204" s="36"/>
      <c r="L204" s="36"/>
      <c r="M204" s="36"/>
    </row>
    <row r="205" spans="1:13">
      <c r="C205" s="37" t="s">
        <v>142</v>
      </c>
      <c r="D205" s="49"/>
      <c r="E205" s="49"/>
      <c r="F205" s="75"/>
      <c r="I205" s="62">
        <f>INDEX($I206:$M208,MATCH($D$11,$C206:$C208,0),MATCH(I$203,$I$16:$M$16,0))</f>
        <v>0</v>
      </c>
      <c r="J205" s="62">
        <f>INDEX($I206:$M208,MATCH($D$11,$C206:$C208,0),MATCH(J$203,$I$16:$M$16,0))</f>
        <v>0</v>
      </c>
      <c r="K205" s="62">
        <f>INDEX($I206:$M208,MATCH($D$11,$C206:$C208,0),MATCH(K$203,$I$16:$M$16,0))</f>
        <v>0</v>
      </c>
      <c r="L205" s="62">
        <f>INDEX($I206:$M208,MATCH($D$11,$C206:$C208,0),MATCH(L$203,$I$16:$M$16,0))</f>
        <v>0</v>
      </c>
      <c r="M205" s="62">
        <f>INDEX($I206:$M208,MATCH($D$11,$C206:$C208,0),MATCH(M$203,$I$16:$M$16,0))</f>
        <v>0</v>
      </c>
    </row>
    <row r="206" spans="1:13">
      <c r="C206" s="42" t="s">
        <v>8</v>
      </c>
      <c r="D206" s="49"/>
      <c r="E206" s="49"/>
      <c r="H206" s="79" t="s">
        <v>90</v>
      </c>
      <c r="I206" s="39"/>
      <c r="J206" s="39"/>
      <c r="K206" s="39"/>
      <c r="L206" s="39"/>
      <c r="M206" s="39"/>
    </row>
    <row r="207" spans="1:13">
      <c r="C207" s="42" t="s">
        <v>132</v>
      </c>
      <c r="D207" s="49"/>
      <c r="E207" s="49"/>
      <c r="H207" s="80">
        <v>0.02</v>
      </c>
      <c r="I207" s="60">
        <f t="shared" ref="I207:M208" si="38">$H207+I$206</f>
        <v>0.02</v>
      </c>
      <c r="J207" s="60">
        <f t="shared" si="38"/>
        <v>0.02</v>
      </c>
      <c r="K207" s="60">
        <f t="shared" si="38"/>
        <v>0.02</v>
      </c>
      <c r="L207" s="60">
        <f t="shared" si="38"/>
        <v>0.02</v>
      </c>
      <c r="M207" s="60">
        <f t="shared" si="38"/>
        <v>0.02</v>
      </c>
    </row>
    <row r="208" spans="1:13">
      <c r="C208" s="42" t="s">
        <v>133</v>
      </c>
      <c r="D208" s="49"/>
      <c r="E208" s="49"/>
      <c r="H208" s="81">
        <v>-0.02</v>
      </c>
      <c r="I208" s="60">
        <f t="shared" si="38"/>
        <v>-0.02</v>
      </c>
      <c r="J208" s="60">
        <f t="shared" si="38"/>
        <v>-0.02</v>
      </c>
      <c r="K208" s="60">
        <f t="shared" si="38"/>
        <v>-0.02</v>
      </c>
      <c r="L208" s="60">
        <f t="shared" si="38"/>
        <v>-0.02</v>
      </c>
      <c r="M208" s="60">
        <f t="shared" si="38"/>
        <v>-0.02</v>
      </c>
    </row>
    <row r="209" spans="3:13">
      <c r="H209" s="67"/>
    </row>
    <row r="210" spans="3:13">
      <c r="C210" s="37" t="s">
        <v>91</v>
      </c>
      <c r="D210" s="49"/>
      <c r="E210" s="49"/>
      <c r="H210" s="75"/>
      <c r="I210" s="62">
        <f>INDEX($I211:$M213,MATCH($D$11,$C211:$C213,0),MATCH(I$203,$I$16:$M$16,0))</f>
        <v>0</v>
      </c>
      <c r="J210" s="62">
        <f>INDEX($I211:$M213,MATCH($D$11,$C211:$C213,0),MATCH(J$203,$I$16:$M$16,0))</f>
        <v>0</v>
      </c>
      <c r="K210" s="62">
        <f>INDEX($I211:$M213,MATCH($D$11,$C211:$C213,0),MATCH(K$203,$I$16:$M$16,0))</f>
        <v>0</v>
      </c>
      <c r="L210" s="62">
        <f>INDEX($I211:$M213,MATCH($D$11,$C211:$C213,0),MATCH(L$203,$I$16:$M$16,0))</f>
        <v>0</v>
      </c>
      <c r="M210" s="62">
        <f>INDEX($I211:$M213,MATCH($D$11,$C211:$C213,0),MATCH(M$203,$I$16:$M$16,0))</f>
        <v>0</v>
      </c>
    </row>
    <row r="211" spans="3:13">
      <c r="C211" s="42" t="s">
        <v>8</v>
      </c>
      <c r="D211" s="49"/>
      <c r="E211" s="49"/>
      <c r="H211" s="79" t="s">
        <v>90</v>
      </c>
      <c r="I211" s="39"/>
      <c r="J211" s="39"/>
      <c r="K211" s="39"/>
      <c r="L211" s="39"/>
      <c r="M211" s="39"/>
    </row>
    <row r="212" spans="3:13">
      <c r="C212" s="42" t="s">
        <v>132</v>
      </c>
      <c r="D212" s="49"/>
      <c r="E212" s="49"/>
      <c r="H212" s="80">
        <v>0.01</v>
      </c>
      <c r="I212" s="60">
        <f t="shared" ref="I212:M213" si="39">$H212+I$211</f>
        <v>0.01</v>
      </c>
      <c r="J212" s="60">
        <f t="shared" si="39"/>
        <v>0.01</v>
      </c>
      <c r="K212" s="60">
        <f t="shared" si="39"/>
        <v>0.01</v>
      </c>
      <c r="L212" s="60">
        <f t="shared" si="39"/>
        <v>0.01</v>
      </c>
      <c r="M212" s="60">
        <f t="shared" si="39"/>
        <v>0.01</v>
      </c>
    </row>
    <row r="213" spans="3:13">
      <c r="C213" s="42" t="s">
        <v>133</v>
      </c>
      <c r="D213" s="49"/>
      <c r="E213" s="49"/>
      <c r="H213" s="81">
        <v>-0.01</v>
      </c>
      <c r="I213" s="60">
        <f t="shared" si="39"/>
        <v>-0.01</v>
      </c>
      <c r="J213" s="60">
        <f t="shared" si="39"/>
        <v>-0.01</v>
      </c>
      <c r="K213" s="60">
        <f t="shared" si="39"/>
        <v>-0.01</v>
      </c>
      <c r="L213" s="60">
        <f t="shared" si="39"/>
        <v>-0.01</v>
      </c>
      <c r="M213" s="60">
        <f t="shared" si="39"/>
        <v>-0.01</v>
      </c>
    </row>
    <row r="214" spans="3:13">
      <c r="D214" s="49"/>
      <c r="E214" s="49"/>
      <c r="H214" s="75"/>
    </row>
    <row r="215" spans="3:13">
      <c r="C215" s="37" t="s">
        <v>92</v>
      </c>
      <c r="D215" s="49"/>
      <c r="E215" s="49"/>
      <c r="H215" s="75"/>
      <c r="I215" s="62">
        <f>INDEX($I216:$M218,MATCH($D$11,$C216:$C218,0),MATCH(I$203,$I$16:$M$16,0))</f>
        <v>0</v>
      </c>
      <c r="J215" s="62">
        <f>INDEX($I216:$M218,MATCH($D$11,$C216:$C218,0),MATCH(J$203,$I$16:$M$16,0))</f>
        <v>0</v>
      </c>
      <c r="K215" s="62">
        <f>INDEX($I216:$M218,MATCH($D$11,$C216:$C218,0),MATCH(K$203,$I$16:$M$16,0))</f>
        <v>0</v>
      </c>
      <c r="L215" s="62">
        <f>INDEX($I216:$M218,MATCH($D$11,$C216:$C218,0),MATCH(L$203,$I$16:$M$16,0))</f>
        <v>0</v>
      </c>
      <c r="M215" s="62">
        <f>INDEX($I216:$M218,MATCH($D$11,$C216:$C218,0),MATCH(M$203,$I$16:$M$16,0))</f>
        <v>0</v>
      </c>
    </row>
    <row r="216" spans="3:13">
      <c r="C216" s="42" t="s">
        <v>8</v>
      </c>
      <c r="D216" s="49"/>
      <c r="E216" s="49"/>
      <c r="H216" s="79" t="s">
        <v>90</v>
      </c>
      <c r="I216" s="39"/>
      <c r="J216" s="39"/>
      <c r="K216" s="39"/>
      <c r="L216" s="39"/>
      <c r="M216" s="39"/>
    </row>
    <row r="217" spans="3:13">
      <c r="C217" s="42" t="s">
        <v>132</v>
      </c>
      <c r="D217" s="49"/>
      <c r="E217" s="49"/>
      <c r="H217" s="80">
        <v>0.01</v>
      </c>
      <c r="I217" s="60">
        <f t="shared" ref="I217:M218" si="40">$H217+I$216</f>
        <v>0.01</v>
      </c>
      <c r="J217" s="60">
        <f t="shared" si="40"/>
        <v>0.01</v>
      </c>
      <c r="K217" s="60">
        <f t="shared" si="40"/>
        <v>0.01</v>
      </c>
      <c r="L217" s="60">
        <f t="shared" si="40"/>
        <v>0.01</v>
      </c>
      <c r="M217" s="60">
        <f t="shared" si="40"/>
        <v>0.01</v>
      </c>
    </row>
    <row r="218" spans="3:13">
      <c r="C218" s="42" t="s">
        <v>133</v>
      </c>
      <c r="D218" s="49"/>
      <c r="E218" s="49"/>
      <c r="H218" s="81">
        <v>-0.01</v>
      </c>
      <c r="I218" s="60">
        <f t="shared" si="40"/>
        <v>-0.01</v>
      </c>
      <c r="J218" s="60">
        <f t="shared" si="40"/>
        <v>-0.01</v>
      </c>
      <c r="K218" s="60">
        <f t="shared" si="40"/>
        <v>-0.01</v>
      </c>
      <c r="L218" s="60">
        <f t="shared" si="40"/>
        <v>-0.01</v>
      </c>
      <c r="M218" s="60">
        <f t="shared" si="40"/>
        <v>-0.01</v>
      </c>
    </row>
    <row r="219" spans="3:13">
      <c r="H219" s="67"/>
    </row>
    <row r="220" spans="3:13">
      <c r="C220" s="37" t="s">
        <v>135</v>
      </c>
      <c r="D220" s="49"/>
      <c r="E220" s="49"/>
      <c r="H220" s="75"/>
      <c r="I220" s="62">
        <f>INDEX($I221:$M223,MATCH($D$11,$C221:$C223,0),MATCH(I$203,$I$16:$M$16,0))</f>
        <v>0</v>
      </c>
      <c r="J220" s="62">
        <f>INDEX($I221:$M223,MATCH($D$11,$C221:$C223,0),MATCH(J$203,$I$16:$M$16,0))</f>
        <v>0</v>
      </c>
      <c r="K220" s="62">
        <f>INDEX($I221:$M223,MATCH($D$11,$C221:$C223,0),MATCH(K$203,$I$16:$M$16,0))</f>
        <v>0</v>
      </c>
      <c r="L220" s="62">
        <f>INDEX($I221:$M223,MATCH($D$11,$C221:$C223,0),MATCH(L$203,$I$16:$M$16,0))</f>
        <v>0</v>
      </c>
      <c r="M220" s="62">
        <f>INDEX($I221:$M223,MATCH($D$11,$C221:$C223,0),MATCH(M$203,$I$16:$M$16,0))</f>
        <v>0</v>
      </c>
    </row>
    <row r="221" spans="3:13">
      <c r="C221" s="42" t="s">
        <v>8</v>
      </c>
      <c r="D221" s="49"/>
      <c r="E221" s="49"/>
      <c r="H221" s="79" t="s">
        <v>90</v>
      </c>
      <c r="I221" s="39"/>
      <c r="J221" s="39"/>
      <c r="K221" s="39"/>
      <c r="L221" s="39"/>
      <c r="M221" s="39"/>
    </row>
    <row r="222" spans="3:13">
      <c r="C222" s="42" t="s">
        <v>132</v>
      </c>
      <c r="D222" s="49"/>
      <c r="E222" s="49"/>
      <c r="H222" s="80">
        <v>0.01</v>
      </c>
      <c r="I222" s="60">
        <f t="shared" ref="I222:M223" si="41">$H222+I$216</f>
        <v>0.01</v>
      </c>
      <c r="J222" s="60">
        <f t="shared" si="41"/>
        <v>0.01</v>
      </c>
      <c r="K222" s="60">
        <f t="shared" si="41"/>
        <v>0.01</v>
      </c>
      <c r="L222" s="60">
        <f t="shared" si="41"/>
        <v>0.01</v>
      </c>
      <c r="M222" s="60">
        <f t="shared" si="41"/>
        <v>0.01</v>
      </c>
    </row>
    <row r="223" spans="3:13">
      <c r="C223" s="42" t="s">
        <v>133</v>
      </c>
      <c r="D223" s="49"/>
      <c r="E223" s="49"/>
      <c r="H223" s="81">
        <v>-0.01</v>
      </c>
      <c r="I223" s="60">
        <f t="shared" si="41"/>
        <v>-0.01</v>
      </c>
      <c r="J223" s="60">
        <f t="shared" si="41"/>
        <v>-0.01</v>
      </c>
      <c r="K223" s="60">
        <f t="shared" si="41"/>
        <v>-0.01</v>
      </c>
      <c r="L223" s="60">
        <f t="shared" si="41"/>
        <v>-0.01</v>
      </c>
      <c r="M223" s="60">
        <f t="shared" si="41"/>
        <v>-0.01</v>
      </c>
    </row>
  </sheetData>
  <mergeCells count="2">
    <mergeCell ref="I13:M13"/>
    <mergeCell ref="D13:H13"/>
  </mergeCells>
  <dataValidations disablePrompts="1" count="2">
    <dataValidation type="list" allowBlank="1" showInputMessage="1" showErrorMessage="1" sqref="D11" xr:uid="{D54E6F6C-C8F4-49FD-A09F-23436310A297}">
      <formula1>"Base case, Upside, Downside"</formula1>
    </dataValidation>
    <dataValidation type="list" allowBlank="1" showInputMessage="1" showErrorMessage="1" sqref="D7" xr:uid="{FA101C96-F23B-9B40-9DCD-DA7121EE6912}">
      <formula1>"1, 0"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DCD9-CBB6-4148-AD0B-D2AE5729214C}">
  <sheetPr>
    <tabColor rgb="FF0066FF"/>
  </sheetPr>
  <dimension ref="A1:U80"/>
  <sheetViews>
    <sheetView showGridLines="0" zoomScale="91" zoomScaleNormal="190" workbookViewId="0">
      <selection activeCell="AB39" sqref="AB39"/>
    </sheetView>
  </sheetViews>
  <sheetFormatPr baseColWidth="10" defaultRowHeight="15"/>
  <cols>
    <col min="1" max="1" width="29" bestFit="1" customWidth="1"/>
    <col min="2" max="3" width="11" bestFit="1" customWidth="1"/>
    <col min="4" max="4" width="11.5" bestFit="1" customWidth="1"/>
    <col min="5" max="6" width="11" bestFit="1" customWidth="1"/>
    <col min="7" max="8" width="10" customWidth="1"/>
    <col min="9" max="9" width="10.5" customWidth="1"/>
    <col min="10" max="10" width="10.6640625" customWidth="1"/>
    <col min="11" max="11" width="9.1640625" bestFit="1" customWidth="1"/>
    <col min="12" max="12" width="12.83203125" bestFit="1" customWidth="1"/>
    <col min="13" max="13" width="12.6640625" bestFit="1" customWidth="1"/>
    <col min="14" max="14" width="10.83203125" bestFit="1" customWidth="1"/>
    <col min="15" max="20" width="11" bestFit="1" customWidth="1"/>
  </cols>
  <sheetData>
    <row r="1" spans="1:21">
      <c r="B1" s="153">
        <v>2018</v>
      </c>
      <c r="C1" s="153">
        <v>2019</v>
      </c>
      <c r="D1" s="153">
        <f>'3-SM Forecasting Template Blank'!D15</f>
        <v>2020</v>
      </c>
      <c r="E1" s="153">
        <f>'3-SM Forecasting Template Blank'!E15</f>
        <v>2021</v>
      </c>
      <c r="F1" s="153">
        <f>'3-SM Forecasting Template Blank'!F15</f>
        <v>2022</v>
      </c>
      <c r="G1" s="153">
        <f>'3-SM Forecasting Template Blank'!G15</f>
        <v>2023</v>
      </c>
      <c r="H1" s="154">
        <f>'3-SM Forecasting Template Blank'!H15</f>
        <v>2024</v>
      </c>
    </row>
    <row r="2" spans="1:21">
      <c r="A2" s="5" t="s">
        <v>166</v>
      </c>
      <c r="B2" s="157">
        <v>10297</v>
      </c>
      <c r="C2" s="157">
        <v>12897</v>
      </c>
      <c r="D2" s="157">
        <v>11139</v>
      </c>
      <c r="E2" s="157">
        <v>17455</v>
      </c>
      <c r="F2" s="157">
        <v>31877</v>
      </c>
      <c r="G2" s="157">
        <v>37281</v>
      </c>
      <c r="H2" s="198">
        <v>43978</v>
      </c>
      <c r="I2" s="113"/>
    </row>
    <row r="3" spans="1:21">
      <c r="A3" s="5" t="s">
        <v>211</v>
      </c>
      <c r="B3" s="126">
        <f>B12+B25</f>
        <v>49432</v>
      </c>
      <c r="C3" s="126">
        <f>C12+C25</f>
        <v>64189</v>
      </c>
      <c r="D3" s="126">
        <f>D12+D25</f>
        <v>56858</v>
      </c>
      <c r="E3" s="126">
        <f>E12+E25</f>
        <v>88281</v>
      </c>
      <c r="F3" s="126">
        <f>F12+F25</f>
        <v>108443</v>
      </c>
      <c r="G3" s="126">
        <f>K12+K25</f>
        <v>132623</v>
      </c>
      <c r="H3" s="158">
        <f>P12+P25</f>
        <v>157638</v>
      </c>
      <c r="I3" s="124"/>
      <c r="N3" s="128"/>
      <c r="S3" s="128"/>
    </row>
    <row r="4" spans="1:21">
      <c r="A4" s="142" t="s">
        <v>204</v>
      </c>
      <c r="B4" s="150">
        <f t="shared" ref="B4:H4" si="0">(B2-B35)/B3</f>
        <v>0.2011045476614339</v>
      </c>
      <c r="C4" s="150">
        <f t="shared" si="0"/>
        <v>0.18953403231083207</v>
      </c>
      <c r="D4" s="150">
        <f t="shared" si="0"/>
        <v>0.17812796792008162</v>
      </c>
      <c r="E4" s="150">
        <f t="shared" si="0"/>
        <v>0.17357075701453314</v>
      </c>
      <c r="F4" s="150">
        <f t="shared" si="0"/>
        <v>0.22989035714615053</v>
      </c>
      <c r="G4" s="150">
        <f t="shared" si="0"/>
        <v>0.24155689435467453</v>
      </c>
      <c r="H4" s="152">
        <f t="shared" si="0"/>
        <v>0.24636826145980031</v>
      </c>
      <c r="I4" s="195"/>
      <c r="N4" s="128"/>
      <c r="S4" s="128"/>
    </row>
    <row r="5" spans="1:21">
      <c r="A5" s="5" t="s">
        <v>24</v>
      </c>
      <c r="B5" s="162">
        <v>-1847</v>
      </c>
      <c r="C5" s="162">
        <v>-2752</v>
      </c>
      <c r="D5" s="162">
        <v>-2527.9257563515575</v>
      </c>
      <c r="E5" s="162">
        <v>-773.93308507590928</v>
      </c>
      <c r="F5" s="162">
        <v>1713.0562474511403</v>
      </c>
      <c r="G5" s="162">
        <v>4052.0519031141866</v>
      </c>
      <c r="H5" s="163">
        <v>6484.0408386011186</v>
      </c>
      <c r="K5" s="129"/>
      <c r="L5" s="129"/>
      <c r="M5" s="129"/>
      <c r="N5" s="129"/>
    </row>
    <row r="6" spans="1:21">
      <c r="A6" s="142" t="s">
        <v>203</v>
      </c>
      <c r="B6" s="150">
        <f t="shared" ref="B6:C6" si="1">B5/B2</f>
        <v>-0.17937263280567156</v>
      </c>
      <c r="C6" s="150">
        <f t="shared" si="1"/>
        <v>-0.21338295727688611</v>
      </c>
      <c r="D6" s="150">
        <f>D5/D2</f>
        <v>-0.22694368941121801</v>
      </c>
      <c r="E6" s="150">
        <f>E5/E2</f>
        <v>-4.4338761677221956E-2</v>
      </c>
      <c r="F6" s="150">
        <f>F5/F2</f>
        <v>5.37395692019682E-2</v>
      </c>
      <c r="G6" s="150">
        <f>G5/G2</f>
        <v>0.10868946388546945</v>
      </c>
      <c r="H6" s="152">
        <f>H5/H2</f>
        <v>0.14743828365548953</v>
      </c>
      <c r="K6" s="129"/>
      <c r="L6" s="129"/>
      <c r="M6" s="129"/>
      <c r="N6" s="129"/>
    </row>
    <row r="7" spans="1:21" s="210" customFormat="1" ht="16" thickBot="1"/>
    <row r="8" spans="1:21" ht="16" thickBot="1">
      <c r="A8" s="207" t="s">
        <v>163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9"/>
      <c r="T8" s="123"/>
    </row>
    <row r="9" spans="1:21">
      <c r="B9" s="153">
        <f>C9-1</f>
        <v>2018</v>
      </c>
      <c r="C9" s="153">
        <f>D9-1</f>
        <v>2019</v>
      </c>
      <c r="D9" s="153">
        <f>D1</f>
        <v>2020</v>
      </c>
      <c r="E9" s="153">
        <f>E1</f>
        <v>2021</v>
      </c>
      <c r="F9" s="153">
        <f>F1</f>
        <v>2022</v>
      </c>
      <c r="G9" s="172" t="s">
        <v>302</v>
      </c>
      <c r="H9" s="172" t="s">
        <v>303</v>
      </c>
      <c r="I9" s="172" t="s">
        <v>304</v>
      </c>
      <c r="J9" s="172" t="s">
        <v>305</v>
      </c>
      <c r="K9" s="153">
        <f>G1</f>
        <v>2023</v>
      </c>
      <c r="L9" s="172" t="s">
        <v>217</v>
      </c>
      <c r="M9" s="172" t="s">
        <v>218</v>
      </c>
      <c r="N9" s="172" t="s">
        <v>219</v>
      </c>
      <c r="O9" s="172" t="s">
        <v>220</v>
      </c>
      <c r="P9" s="153">
        <f>H1</f>
        <v>2024</v>
      </c>
      <c r="Q9" s="172" t="s">
        <v>222</v>
      </c>
      <c r="R9" s="172" t="s">
        <v>223</v>
      </c>
      <c r="S9" s="172" t="s">
        <v>306</v>
      </c>
    </row>
    <row r="10" spans="1:21" s="128" customFormat="1">
      <c r="A10" s="161" t="s">
        <v>166</v>
      </c>
      <c r="B10" s="162">
        <v>9165</v>
      </c>
      <c r="C10" s="162">
        <v>10622</v>
      </c>
      <c r="D10" s="162">
        <v>6089</v>
      </c>
      <c r="E10" s="162">
        <v>6953</v>
      </c>
      <c r="F10" s="162">
        <v>14029</v>
      </c>
      <c r="G10" s="162">
        <v>4330</v>
      </c>
      <c r="H10" s="162">
        <v>4894</v>
      </c>
      <c r="I10" s="162">
        <v>5071</v>
      </c>
      <c r="J10" s="162">
        <v>5537</v>
      </c>
      <c r="K10" s="126">
        <f>SUM(G10:J10)</f>
        <v>19832</v>
      </c>
      <c r="L10" s="162">
        <v>5633</v>
      </c>
      <c r="M10" s="162">
        <v>6134</v>
      </c>
      <c r="N10" s="162">
        <v>6409</v>
      </c>
      <c r="O10" s="162">
        <v>6911</v>
      </c>
      <c r="P10" s="126">
        <f>SUM(L10:O10)</f>
        <v>25087</v>
      </c>
      <c r="Q10" s="162">
        <v>6496</v>
      </c>
      <c r="R10" s="162">
        <v>7288</v>
      </c>
      <c r="S10" s="162">
        <v>7289</v>
      </c>
    </row>
    <row r="11" spans="1:21" s="150" customFormat="1">
      <c r="A11" s="151" t="s">
        <v>205</v>
      </c>
      <c r="C11" s="150">
        <f t="shared" ref="C11:D11" si="2">C10/B10-1</f>
        <v>0.15897435897435908</v>
      </c>
      <c r="D11" s="150">
        <f t="shared" si="2"/>
        <v>-0.426755789870081</v>
      </c>
      <c r="E11" s="150">
        <f>E10/D10-1</f>
        <v>0.14189522089012985</v>
      </c>
      <c r="F11" s="150">
        <f>F10/E10-1</f>
        <v>1.0176902056666188</v>
      </c>
      <c r="G11" s="150">
        <f>G10/2518-1</f>
        <v>0.71961874503574275</v>
      </c>
      <c r="H11" s="150">
        <f>H10/3553-1</f>
        <v>0.37742752603433716</v>
      </c>
      <c r="I11" s="150">
        <f>I10/3822-1</f>
        <v>0.32679225536368395</v>
      </c>
      <c r="J11" s="150">
        <f>J10/(14029-9893)-1</f>
        <v>0.33873307543520315</v>
      </c>
      <c r="K11" s="150">
        <f>K10/F10-1</f>
        <v>0.41364316772400023</v>
      </c>
      <c r="L11" s="150">
        <f>L10/G10-1</f>
        <v>0.30092378752886839</v>
      </c>
      <c r="M11" s="150">
        <f t="shared" ref="M11" si="3">M10/H10-1</f>
        <v>0.25337147527584802</v>
      </c>
      <c r="N11" s="150">
        <f t="shared" ref="N11" si="4">N10/I10-1</f>
        <v>0.26385328337605984</v>
      </c>
      <c r="O11" s="150">
        <f t="shared" ref="O11" si="5">O10/J10-1</f>
        <v>0.24814881704894343</v>
      </c>
      <c r="P11" s="150">
        <f>P10/K10-1</f>
        <v>0.2649757966922146</v>
      </c>
      <c r="Q11" s="150">
        <f>Q10/(11767-6134)-1</f>
        <v>0.15320433161725555</v>
      </c>
      <c r="R11" s="150">
        <f>R10/6134-1</f>
        <v>0.18813172481252027</v>
      </c>
      <c r="S11" s="150">
        <f>S10/6134-1</f>
        <v>0.18829475057059009</v>
      </c>
    </row>
    <row r="12" spans="1:21" s="128" customFormat="1">
      <c r="A12" s="161" t="s">
        <v>167</v>
      </c>
      <c r="B12" s="162">
        <v>41513</v>
      </c>
      <c r="C12" s="162">
        <v>49700</v>
      </c>
      <c r="D12" s="162">
        <v>26614</v>
      </c>
      <c r="E12" s="162">
        <v>36636</v>
      </c>
      <c r="F12" s="162">
        <v>52665</v>
      </c>
      <c r="G12" s="162">
        <v>14981</v>
      </c>
      <c r="H12" s="162">
        <v>16728</v>
      </c>
      <c r="I12" s="162">
        <v>17903</v>
      </c>
      <c r="J12" s="162">
        <v>19285</v>
      </c>
      <c r="K12" s="128">
        <f>SUM(G12:J12)</f>
        <v>68897</v>
      </c>
      <c r="L12" s="162">
        <v>18670</v>
      </c>
      <c r="M12" s="162">
        <v>20554</v>
      </c>
      <c r="N12" s="162">
        <v>21002</v>
      </c>
      <c r="O12" s="162">
        <v>22798</v>
      </c>
      <c r="P12" s="126">
        <f>SUM(L12:O12)</f>
        <v>83024</v>
      </c>
      <c r="Q12" s="162">
        <v>21182</v>
      </c>
      <c r="R12" s="162">
        <v>23762</v>
      </c>
      <c r="S12" s="162">
        <v>23763</v>
      </c>
      <c r="T12"/>
      <c r="U12"/>
    </row>
    <row r="13" spans="1:21">
      <c r="A13" s="142" t="s">
        <v>204</v>
      </c>
      <c r="B13" s="150">
        <f>B10/B12</f>
        <v>0.22077421530604871</v>
      </c>
      <c r="C13" s="150">
        <f>C10/C12</f>
        <v>0.21372233400402416</v>
      </c>
      <c r="D13" s="150">
        <f>D10/D12</f>
        <v>0.22878935898399338</v>
      </c>
      <c r="E13" s="150">
        <f t="shared" ref="E13" si="6">E10/E12</f>
        <v>0.18978600283873787</v>
      </c>
      <c r="F13" s="150">
        <f>F10/F12</f>
        <v>0.26638184752682048</v>
      </c>
      <c r="G13" s="150">
        <f t="shared" ref="G13:I13" si="7">G10/G12</f>
        <v>0.28903277484814099</v>
      </c>
      <c r="H13" s="150">
        <f t="shared" si="7"/>
        <v>0.29256336681013867</v>
      </c>
      <c r="I13" s="150">
        <f t="shared" si="7"/>
        <v>0.28324861755013125</v>
      </c>
      <c r="J13" s="150">
        <f t="shared" ref="J13:S13" si="8">J10/J12</f>
        <v>0.2871143375680581</v>
      </c>
      <c r="K13" s="150">
        <f t="shared" si="8"/>
        <v>0.28784997895409087</v>
      </c>
      <c r="L13" s="123">
        <f t="shared" si="8"/>
        <v>0.30171397964649171</v>
      </c>
      <c r="M13" s="123">
        <f t="shared" si="8"/>
        <v>0.29843339495961857</v>
      </c>
      <c r="N13" s="123">
        <f t="shared" si="8"/>
        <v>0.30516141319874296</v>
      </c>
      <c r="O13" s="123">
        <f t="shared" si="8"/>
        <v>0.3031406263707343</v>
      </c>
      <c r="P13" s="150">
        <f t="shared" si="8"/>
        <v>0.30216563885141645</v>
      </c>
      <c r="Q13" s="123">
        <f t="shared" si="8"/>
        <v>0.30667547918043619</v>
      </c>
      <c r="R13" s="123">
        <f t="shared" si="8"/>
        <v>0.3067081895463345</v>
      </c>
      <c r="S13" s="123">
        <f t="shared" si="8"/>
        <v>0.30673736481084041</v>
      </c>
    </row>
    <row r="14" spans="1:21">
      <c r="A14" s="142" t="s">
        <v>221</v>
      </c>
      <c r="B14" s="150"/>
      <c r="C14" s="150">
        <f t="shared" ref="C14:E14" si="9">C13-B13</f>
        <v>-7.0518813020245541E-3</v>
      </c>
      <c r="D14" s="150">
        <f t="shared" si="9"/>
        <v>1.5067024979969229E-2</v>
      </c>
      <c r="E14" s="150">
        <f t="shared" si="9"/>
        <v>-3.9003356145255519E-2</v>
      </c>
      <c r="F14" s="150">
        <f>F13-E13</f>
        <v>7.6595844688082615E-2</v>
      </c>
      <c r="G14" s="123">
        <f>G13-2518/10723</f>
        <v>5.4210430354995426E-2</v>
      </c>
      <c r="H14" s="123">
        <f>H13-3553/13364</f>
        <v>2.6699852892150044E-2</v>
      </c>
      <c r="I14" s="123">
        <f>I13-3822/13684</f>
        <v>3.9443205609467902E-3</v>
      </c>
      <c r="J14" s="123">
        <f>J13-4136/14894</f>
        <v>9.4186211721939972E-3</v>
      </c>
      <c r="K14" s="150">
        <f>K13-F13</f>
        <v>2.1468131427270387E-2</v>
      </c>
      <c r="L14" s="123">
        <f>L13-0.289</f>
        <v>1.2713979646491735E-2</v>
      </c>
      <c r="M14" s="123">
        <f>M13-29.3%</f>
        <v>5.4333949596185871E-3</v>
      </c>
      <c r="N14" s="123">
        <f>N13-28.3%</f>
        <v>2.216141319874293E-2</v>
      </c>
      <c r="O14" s="123">
        <f>O13-28.7%</f>
        <v>1.6140626370734323E-2</v>
      </c>
      <c r="P14" s="150">
        <f>P13-K13</f>
        <v>1.4315659897325583E-2</v>
      </c>
      <c r="Q14" s="123">
        <f>Q13-L13</f>
        <v>4.9614995339444801E-3</v>
      </c>
      <c r="R14" s="123">
        <f>R13-M13</f>
        <v>8.2747945867159278E-3</v>
      </c>
      <c r="S14" s="123">
        <f>S13-N13</f>
        <v>1.5759516120974482E-3</v>
      </c>
    </row>
    <row r="15" spans="1:21">
      <c r="A15" s="142" t="s">
        <v>205</v>
      </c>
      <c r="B15" s="156"/>
      <c r="C15" s="150">
        <f>C12/B12-1</f>
        <v>0.19721533013754722</v>
      </c>
      <c r="D15" s="150">
        <f>D12/C12-1</f>
        <v>-0.46450704225352113</v>
      </c>
      <c r="E15" s="150">
        <f>E12/D12-1</f>
        <v>0.37656872322837609</v>
      </c>
      <c r="F15" s="150">
        <f>F12/E12-1</f>
        <v>0.43752047166721253</v>
      </c>
      <c r="G15" s="123">
        <f>G12/10723-1</f>
        <v>0.39709036650191187</v>
      </c>
      <c r="H15" s="123">
        <f>H12/13364-1</f>
        <v>0.25172104160431008</v>
      </c>
      <c r="I15" s="123">
        <f>I12/13684-1</f>
        <v>0.30831628178895065</v>
      </c>
      <c r="J15" s="123">
        <f>J12/14894-1</f>
        <v>0.29481670471330745</v>
      </c>
      <c r="K15" s="150">
        <f>K12/F12-1</f>
        <v>0.30821228519889865</v>
      </c>
      <c r="L15" s="150">
        <f>L12/14894-1</f>
        <v>0.25352490935947358</v>
      </c>
      <c r="M15" s="150">
        <f>M12/16728-1</f>
        <v>0.22871831659493069</v>
      </c>
      <c r="N15" s="150">
        <f>N12/17903-1</f>
        <v>0.17309948053398871</v>
      </c>
      <c r="O15" s="150">
        <f>O12/19285-1</f>
        <v>0.18216230230749297</v>
      </c>
      <c r="P15" s="150">
        <f>P12/K12-1</f>
        <v>0.20504521241853779</v>
      </c>
      <c r="Q15" s="123">
        <f>Q12/L12-1</f>
        <v>0.13454740224959827</v>
      </c>
      <c r="R15" s="123">
        <f>R12/M12-1</f>
        <v>0.15607667607278386</v>
      </c>
      <c r="S15" s="123">
        <f>S12/N12-1</f>
        <v>0.1314636701266545</v>
      </c>
    </row>
    <row r="16" spans="1:21" s="128" customFormat="1">
      <c r="A16" s="161" t="s">
        <v>24</v>
      </c>
      <c r="B16" s="162">
        <v>1541</v>
      </c>
      <c r="C16" s="162">
        <v>2071</v>
      </c>
      <c r="D16" s="162">
        <v>1169</v>
      </c>
      <c r="E16" s="162">
        <v>1596</v>
      </c>
      <c r="F16" s="162">
        <v>3299</v>
      </c>
      <c r="G16" s="162">
        <v>1060</v>
      </c>
      <c r="H16" s="162">
        <v>1170</v>
      </c>
      <c r="I16" s="162">
        <v>1287</v>
      </c>
      <c r="J16" s="162">
        <v>1446</v>
      </c>
      <c r="K16" s="128">
        <f>SUM(G16:J16)</f>
        <v>4963</v>
      </c>
      <c r="L16" s="162">
        <v>1479</v>
      </c>
      <c r="M16" s="162">
        <v>1567</v>
      </c>
      <c r="N16" s="162">
        <v>1682</v>
      </c>
      <c r="O16" s="162">
        <v>1769</v>
      </c>
      <c r="P16" s="128">
        <f>SUM(L16:O16)</f>
        <v>6497</v>
      </c>
      <c r="Q16" s="162">
        <v>1753</v>
      </c>
      <c r="R16" s="162">
        <v>1905</v>
      </c>
      <c r="S16" s="162">
        <v>1906</v>
      </c>
      <c r="T16"/>
    </row>
    <row r="17" spans="1:19">
      <c r="A17" s="142" t="s">
        <v>203</v>
      </c>
      <c r="B17" s="150">
        <f t="shared" ref="B17:E17" si="10">B16/B10</f>
        <v>0.16813966175668305</v>
      </c>
      <c r="C17" s="150">
        <f t="shared" si="10"/>
        <v>0.19497269817360197</v>
      </c>
      <c r="D17" s="150">
        <f t="shared" si="10"/>
        <v>0.19198554770898341</v>
      </c>
      <c r="E17" s="150">
        <f t="shared" si="10"/>
        <v>0.22954120523515029</v>
      </c>
      <c r="F17" s="150">
        <f>F16/F10</f>
        <v>0.23515574880604462</v>
      </c>
      <c r="G17" s="150">
        <f t="shared" ref="G17:J17" si="11">G16/G10</f>
        <v>0.24480369515011546</v>
      </c>
      <c r="H17" s="150">
        <f t="shared" si="11"/>
        <v>0.23906824683285655</v>
      </c>
      <c r="I17" s="150">
        <f t="shared" si="11"/>
        <v>0.25379609544468545</v>
      </c>
      <c r="J17" s="150">
        <f t="shared" si="11"/>
        <v>0.2611522485100235</v>
      </c>
      <c r="K17" s="150">
        <f t="shared" ref="K17:S17" si="12">K16/K10</f>
        <v>0.25025211778943124</v>
      </c>
      <c r="L17" s="150">
        <f t="shared" si="12"/>
        <v>0.26255991478785728</v>
      </c>
      <c r="M17" s="150">
        <f t="shared" si="12"/>
        <v>0.25546136289533744</v>
      </c>
      <c r="N17" s="150">
        <f t="shared" si="12"/>
        <v>0.26244343891402716</v>
      </c>
      <c r="O17" s="150">
        <f t="shared" si="12"/>
        <v>0.25596874547822313</v>
      </c>
      <c r="P17" s="150">
        <f t="shared" si="12"/>
        <v>0.25897875393630165</v>
      </c>
      <c r="Q17" s="123">
        <f t="shared" si="12"/>
        <v>0.26985837438423643</v>
      </c>
      <c r="R17" s="123">
        <f t="shared" si="12"/>
        <v>0.26138858397365533</v>
      </c>
      <c r="S17" s="123">
        <f t="shared" si="12"/>
        <v>0.26148991631225132</v>
      </c>
    </row>
    <row r="18" spans="1:19" s="123" customFormat="1">
      <c r="A18" s="199" t="s">
        <v>255</v>
      </c>
      <c r="B18" s="184"/>
      <c r="C18" s="184">
        <f t="shared" ref="C18:E18" si="13">C17-B17</f>
        <v>2.6833036416918921E-2</v>
      </c>
      <c r="D18" s="184">
        <f t="shared" si="13"/>
        <v>-2.9871504646185598E-3</v>
      </c>
      <c r="E18" s="184">
        <f t="shared" si="13"/>
        <v>3.755565752616688E-2</v>
      </c>
      <c r="F18" s="184">
        <f>F17-E17</f>
        <v>5.6145435708943314E-3</v>
      </c>
      <c r="G18" s="184">
        <f>G17-618/2518</f>
        <v>-6.2918809055173552E-4</v>
      </c>
      <c r="H18" s="184">
        <f>H17-771/3553</f>
        <v>2.2068528285150379E-2</v>
      </c>
      <c r="I18" s="184">
        <f>I17-898/3822</f>
        <v>1.8840574774879076E-2</v>
      </c>
      <c r="J18" s="184">
        <f>J17-1012/4136</f>
        <v>1.647139744619372E-2</v>
      </c>
      <c r="K18" s="184">
        <f>K17-F17</f>
        <v>1.5096368983386621E-2</v>
      </c>
      <c r="L18" s="184">
        <f>L17-1060/4330</f>
        <v>1.7756219637741821E-2</v>
      </c>
      <c r="M18" s="184">
        <f>M17-1170/4894</f>
        <v>1.6393116062480895E-2</v>
      </c>
      <c r="N18" s="184">
        <f>N17-1287/5071</f>
        <v>8.6473434693417062E-3</v>
      </c>
      <c r="O18" s="184">
        <f>O17-1641/5537</f>
        <v>-4.0401129905558719E-2</v>
      </c>
      <c r="P18" s="184">
        <f>P17-K17</f>
        <v>8.7266361468704146E-3</v>
      </c>
      <c r="Q18" s="184">
        <f>Q17-L17</f>
        <v>7.2984595963791477E-3</v>
      </c>
      <c r="R18" s="184">
        <f>R17-M17</f>
        <v>5.9272210783178902E-3</v>
      </c>
      <c r="S18" s="184">
        <f>S17-N17</f>
        <v>-9.5352260177583581E-4</v>
      </c>
    </row>
    <row r="19" spans="1:19" ht="16" thickBot="1">
      <c r="A19" s="142"/>
      <c r="B19" s="123"/>
      <c r="C19" s="123"/>
      <c r="D19" s="123"/>
      <c r="E19" s="123"/>
      <c r="F19" s="123"/>
      <c r="K19" s="123"/>
      <c r="L19" s="123"/>
      <c r="M19" s="123"/>
      <c r="N19" s="123"/>
      <c r="O19" s="123"/>
      <c r="P19" s="123"/>
      <c r="Q19" s="123"/>
      <c r="R19" s="123"/>
      <c r="S19" s="123"/>
    </row>
    <row r="20" spans="1:19" ht="16" thickBot="1">
      <c r="A20" s="207" t="s">
        <v>164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9"/>
    </row>
    <row r="21" spans="1:19">
      <c r="B21" s="153">
        <v>2018</v>
      </c>
      <c r="C21" s="153">
        <v>2019</v>
      </c>
      <c r="D21" s="153">
        <f>D9</f>
        <v>2020</v>
      </c>
      <c r="E21" s="153">
        <f>E9</f>
        <v>2021</v>
      </c>
      <c r="F21" s="153">
        <f>F9</f>
        <v>2022</v>
      </c>
      <c r="G21" s="172" t="s">
        <v>302</v>
      </c>
      <c r="H21" s="172" t="s">
        <v>303</v>
      </c>
      <c r="I21" s="172" t="s">
        <v>304</v>
      </c>
      <c r="J21" s="172" t="s">
        <v>305</v>
      </c>
      <c r="K21" s="153">
        <f>K9</f>
        <v>2023</v>
      </c>
      <c r="L21" s="172" t="s">
        <v>217</v>
      </c>
      <c r="M21" s="172" t="s">
        <v>218</v>
      </c>
      <c r="N21" s="172" t="s">
        <v>219</v>
      </c>
      <c r="O21" s="172" t="s">
        <v>220</v>
      </c>
      <c r="P21" s="153">
        <f>P9</f>
        <v>2024</v>
      </c>
      <c r="Q21" s="172" t="s">
        <v>222</v>
      </c>
      <c r="R21" s="172" t="s">
        <v>223</v>
      </c>
      <c r="S21" s="172" t="s">
        <v>306</v>
      </c>
    </row>
    <row r="22" spans="1:19" s="128" customFormat="1">
      <c r="A22" s="161" t="s">
        <v>166</v>
      </c>
      <c r="B22" s="162">
        <v>759</v>
      </c>
      <c r="C22" s="162">
        <v>1383</v>
      </c>
      <c r="D22" s="162">
        <v>3904</v>
      </c>
      <c r="E22" s="162">
        <v>8362</v>
      </c>
      <c r="F22" s="162">
        <v>10901</v>
      </c>
      <c r="G22" s="162">
        <v>3093</v>
      </c>
      <c r="H22" s="162">
        <v>3057</v>
      </c>
      <c r="I22" s="162">
        <v>2935</v>
      </c>
      <c r="J22" s="162">
        <v>3119</v>
      </c>
      <c r="K22" s="128">
        <f>SUM(G22:J22)</f>
        <v>12204</v>
      </c>
      <c r="L22" s="162">
        <v>3214</v>
      </c>
      <c r="M22" s="162">
        <v>3293</v>
      </c>
      <c r="N22" s="162">
        <v>3470</v>
      </c>
      <c r="O22" s="162">
        <v>3773</v>
      </c>
      <c r="P22" s="128">
        <f>SUM(L22:O22)</f>
        <v>13750</v>
      </c>
      <c r="Q22" s="162">
        <f>7879-R22</f>
        <v>3777</v>
      </c>
      <c r="R22" s="162">
        <v>4102</v>
      </c>
      <c r="S22" s="162">
        <v>4477</v>
      </c>
    </row>
    <row r="23" spans="1:19" s="150" customFormat="1">
      <c r="A23" s="151" t="s">
        <v>205</v>
      </c>
      <c r="C23" s="150">
        <f t="shared" ref="C23:D23" si="14">C22/B22-1</f>
        <v>0.82213438735177857</v>
      </c>
      <c r="D23" s="150">
        <f t="shared" si="14"/>
        <v>1.8228488792480118</v>
      </c>
      <c r="E23" s="150">
        <f>E22/D22-1</f>
        <v>1.141905737704918</v>
      </c>
      <c r="F23" s="150">
        <f>F22/E22-1</f>
        <v>0.30363549390098066</v>
      </c>
      <c r="G23" s="150">
        <f>G22/2512-1</f>
        <v>0.23128980891719753</v>
      </c>
      <c r="H23" s="150">
        <f>H22/2688-1</f>
        <v>0.13727678571428581</v>
      </c>
      <c r="I23" s="150">
        <f>I22/2770-1</f>
        <v>5.9566787003610067E-2</v>
      </c>
      <c r="J23" s="150">
        <f>J22/2931-1</f>
        <v>6.4141931081542092E-2</v>
      </c>
      <c r="K23" s="150">
        <f>K22/F22-1</f>
        <v>0.11953031831942029</v>
      </c>
      <c r="L23" s="150">
        <f>L22/G22-1</f>
        <v>3.9120594891690841E-2</v>
      </c>
      <c r="M23" s="150">
        <f t="shared" ref="M23:O23" si="15">M22/H22-1</f>
        <v>7.7199869152764222E-2</v>
      </c>
      <c r="N23" s="150">
        <f t="shared" si="15"/>
        <v>0.18228279386712098</v>
      </c>
      <c r="O23" s="150">
        <f t="shared" si="15"/>
        <v>0.20968259057390193</v>
      </c>
      <c r="P23" s="150">
        <f>P22/K22-1</f>
        <v>0.12667977712225498</v>
      </c>
      <c r="Q23" s="150">
        <f t="shared" ref="Q23" si="16">Q22/L22-1</f>
        <v>0.17517112632233967</v>
      </c>
      <c r="R23" s="150">
        <f t="shared" ref="R23:S23" si="17">R22/M22-1</f>
        <v>0.24567263893106595</v>
      </c>
      <c r="S23" s="150">
        <f t="shared" si="17"/>
        <v>0.29020172910662834</v>
      </c>
    </row>
    <row r="24" spans="1:19">
      <c r="A24" s="142" t="s">
        <v>169</v>
      </c>
      <c r="B24" s="150">
        <f t="shared" ref="B24:S24" si="18">B22/(B22+B10)</f>
        <v>7.6481257557436524E-2</v>
      </c>
      <c r="C24" s="150">
        <f t="shared" si="18"/>
        <v>0.11520199916701375</v>
      </c>
      <c r="D24" s="150">
        <f t="shared" si="18"/>
        <v>0.39067347143000097</v>
      </c>
      <c r="E24" s="150">
        <f t="shared" si="18"/>
        <v>0.54600065295461964</v>
      </c>
      <c r="F24" s="150">
        <f t="shared" si="18"/>
        <v>0.43726434015242682</v>
      </c>
      <c r="G24" s="150">
        <f t="shared" si="18"/>
        <v>0.41667789303516101</v>
      </c>
      <c r="H24" s="150">
        <f t="shared" si="18"/>
        <v>0.38447993963023519</v>
      </c>
      <c r="I24" s="150">
        <f t="shared" si="18"/>
        <v>0.3666000499625281</v>
      </c>
      <c r="J24" s="150">
        <f t="shared" si="18"/>
        <v>0.36032809611829947</v>
      </c>
      <c r="K24" s="150">
        <f t="shared" si="18"/>
        <v>0.38094643526033212</v>
      </c>
      <c r="L24" s="150">
        <f t="shared" si="18"/>
        <v>0.36328698994009267</v>
      </c>
      <c r="M24" s="150">
        <f t="shared" si="18"/>
        <v>0.34931579505675187</v>
      </c>
      <c r="N24" s="150">
        <f t="shared" si="18"/>
        <v>0.35125012653102539</v>
      </c>
      <c r="O24" s="150">
        <f t="shared" si="18"/>
        <v>0.35314488955447398</v>
      </c>
      <c r="P24" s="150">
        <f t="shared" si="18"/>
        <v>0.35404382418827407</v>
      </c>
      <c r="Q24" s="150">
        <f t="shared" si="18"/>
        <v>0.36766280541224572</v>
      </c>
      <c r="R24" s="150">
        <f t="shared" si="18"/>
        <v>0.36014047410008782</v>
      </c>
      <c r="S24" s="150">
        <f t="shared" si="18"/>
        <v>0.38050314465408808</v>
      </c>
    </row>
    <row r="25" spans="1:19" s="128" customFormat="1">
      <c r="A25" s="161" t="s">
        <v>167</v>
      </c>
      <c r="B25" s="162">
        <f>2561+2111+1774+1473</f>
        <v>7919</v>
      </c>
      <c r="C25" s="162">
        <f>3071+3386+3658+4374</f>
        <v>14489</v>
      </c>
      <c r="D25" s="162">
        <f>4683+6961+8550+10050</f>
        <v>30244</v>
      </c>
      <c r="E25" s="162">
        <f>13444+12828+12912+12461</f>
        <v>51645</v>
      </c>
      <c r="F25" s="162">
        <f>14315+13684+13876+13903</f>
        <v>55778</v>
      </c>
      <c r="G25" s="162">
        <f>15026</f>
        <v>15026</v>
      </c>
      <c r="H25" s="162">
        <f>15595</f>
        <v>15595</v>
      </c>
      <c r="I25" s="162">
        <f>16094</f>
        <v>16094</v>
      </c>
      <c r="J25" s="162">
        <v>17011</v>
      </c>
      <c r="K25" s="128">
        <f>SUM(G25:J25)</f>
        <v>63726</v>
      </c>
      <c r="L25" s="162">
        <v>17699</v>
      </c>
      <c r="M25" s="162">
        <v>18126</v>
      </c>
      <c r="N25" s="162">
        <v>18663</v>
      </c>
      <c r="O25" s="162">
        <v>20126</v>
      </c>
      <c r="P25" s="126">
        <f>SUM(L25:O25)</f>
        <v>74614</v>
      </c>
      <c r="Q25" s="162">
        <v>20377</v>
      </c>
      <c r="R25" s="162">
        <v>21734</v>
      </c>
      <c r="S25" s="162">
        <v>23322</v>
      </c>
    </row>
    <row r="26" spans="1:19">
      <c r="A26" s="142" t="s">
        <v>204</v>
      </c>
      <c r="B26" s="150">
        <f t="shared" ref="B26:S26" si="19">B22/B25</f>
        <v>9.5845435029675463E-2</v>
      </c>
      <c r="C26" s="150">
        <f t="shared" si="19"/>
        <v>9.5451721995996969E-2</v>
      </c>
      <c r="D26" s="150">
        <f t="shared" si="19"/>
        <v>0.12908345456950138</v>
      </c>
      <c r="E26" s="150">
        <f t="shared" si="19"/>
        <v>0.16191306031561623</v>
      </c>
      <c r="F26" s="150">
        <f t="shared" si="19"/>
        <v>0.19543547635268385</v>
      </c>
      <c r="G26" s="150">
        <f t="shared" si="19"/>
        <v>0.20584320511114068</v>
      </c>
      <c r="H26" s="150">
        <f t="shared" si="19"/>
        <v>0.19602436678422572</v>
      </c>
      <c r="I26" s="150">
        <f t="shared" si="19"/>
        <v>0.18236609916739158</v>
      </c>
      <c r="J26" s="150">
        <f t="shared" si="19"/>
        <v>0.1833519487390512</v>
      </c>
      <c r="K26" s="150">
        <f t="shared" si="19"/>
        <v>0.19150739101779493</v>
      </c>
      <c r="L26" s="150">
        <f t="shared" si="19"/>
        <v>0.18159218034917227</v>
      </c>
      <c r="M26" s="150">
        <f t="shared" si="19"/>
        <v>0.18167273529736291</v>
      </c>
      <c r="N26" s="150">
        <f t="shared" si="19"/>
        <v>0.18592937898515779</v>
      </c>
      <c r="O26" s="150">
        <f t="shared" si="19"/>
        <v>0.18746894564245256</v>
      </c>
      <c r="P26" s="150">
        <f t="shared" si="19"/>
        <v>0.18428177017717853</v>
      </c>
      <c r="Q26" s="150">
        <f t="shared" si="19"/>
        <v>0.18535603867105069</v>
      </c>
      <c r="R26" s="150">
        <f t="shared" si="19"/>
        <v>0.18873654182387042</v>
      </c>
      <c r="S26" s="150">
        <f t="shared" si="19"/>
        <v>0.19196466855329733</v>
      </c>
    </row>
    <row r="27" spans="1:19">
      <c r="A27" s="142" t="s">
        <v>221</v>
      </c>
      <c r="B27" s="150"/>
      <c r="C27" s="150">
        <f t="shared" ref="C27:E27" si="20">C26-B26</f>
        <v>-3.9371303367849442E-4</v>
      </c>
      <c r="D27" s="150">
        <f t="shared" si="20"/>
        <v>3.3631732573504408E-2</v>
      </c>
      <c r="E27" s="150">
        <f t="shared" si="20"/>
        <v>3.2829605746114848E-2</v>
      </c>
      <c r="F27" s="150">
        <f>F26-E26</f>
        <v>3.3522416037067626E-2</v>
      </c>
      <c r="G27" s="123">
        <f>G26-2512/13903</f>
        <v>2.5162776426684103E-2</v>
      </c>
      <c r="H27" s="123">
        <f>H26-2688/13876</f>
        <v>2.3085985513055796E-3</v>
      </c>
      <c r="I27" s="123">
        <f>I26-2770/13684</f>
        <v>-2.0060092004780317E-2</v>
      </c>
      <c r="J27" s="123">
        <f>J26-2931/14315</f>
        <v>-2.1398313223924714E-2</v>
      </c>
      <c r="K27" s="150">
        <f>K26-F26</f>
        <v>-3.92808533488892E-3</v>
      </c>
      <c r="L27" s="150">
        <f>L26-G26</f>
        <v>-2.4251024761968415E-2</v>
      </c>
      <c r="M27" s="150">
        <f t="shared" ref="M27:P27" si="21">M26-H26</f>
        <v>-1.4351631486862804E-2</v>
      </c>
      <c r="N27" s="150">
        <f t="shared" si="21"/>
        <v>3.5632798177662184E-3</v>
      </c>
      <c r="O27" s="150">
        <f t="shared" si="21"/>
        <v>4.1169969034013654E-3</v>
      </c>
      <c r="P27" s="150">
        <f t="shared" si="21"/>
        <v>-7.225620840616398E-3</v>
      </c>
      <c r="Q27" s="150">
        <f>Q26-L26</f>
        <v>3.7638583218784216E-3</v>
      </c>
      <c r="R27" s="150">
        <f>R26-M26</f>
        <v>7.0638065265075101E-3</v>
      </c>
      <c r="S27" s="150">
        <f t="shared" ref="S27" si="22">S26-N26</f>
        <v>6.0352895681395347E-3</v>
      </c>
    </row>
    <row r="28" spans="1:19">
      <c r="A28" s="142" t="s">
        <v>205</v>
      </c>
      <c r="B28" s="156"/>
      <c r="C28" s="150">
        <f t="shared" ref="C28:D28" si="23">C25/B25-1</f>
        <v>0.82965020835964132</v>
      </c>
      <c r="D28" s="150">
        <f t="shared" si="23"/>
        <v>1.0873766305473116</v>
      </c>
      <c r="E28" s="150">
        <f>E25/D25-1</f>
        <v>0.70761142705991276</v>
      </c>
      <c r="F28" s="150">
        <f t="shared" ref="F28" si="24">F25/E25-1</f>
        <v>8.0027108142124215E-2</v>
      </c>
      <c r="G28" s="123">
        <f>G25/10723-1</f>
        <v>0.40128695327800057</v>
      </c>
      <c r="H28" s="123">
        <f>H25/13364-1</f>
        <v>0.16694103561807849</v>
      </c>
      <c r="I28" s="123">
        <f>I25/13684-1</f>
        <v>0.17611809412452506</v>
      </c>
      <c r="J28" s="123">
        <f>J25/14894-1</f>
        <v>0.14213777360010749</v>
      </c>
      <c r="K28" s="150">
        <f>K25/F25-1</f>
        <v>0.14249345620136977</v>
      </c>
      <c r="L28" s="123">
        <f>L25/G25-1</f>
        <v>0.17789165446559307</v>
      </c>
      <c r="M28" s="123">
        <f t="shared" ref="M28:O28" si="25">M25/H25-1</f>
        <v>0.16229560756652783</v>
      </c>
      <c r="N28" s="123">
        <f t="shared" si="25"/>
        <v>0.15962470485895364</v>
      </c>
      <c r="O28" s="123">
        <f t="shared" si="25"/>
        <v>0.18311680677208875</v>
      </c>
      <c r="P28" s="150">
        <f>P25/K25-1</f>
        <v>0.17085647930201175</v>
      </c>
      <c r="Q28" s="123">
        <f>Q25/L25-1</f>
        <v>0.15130798350189267</v>
      </c>
      <c r="R28" s="123">
        <f>R25/M25-1</f>
        <v>0.19905108683658823</v>
      </c>
      <c r="S28" s="123">
        <f>S25/N25-1</f>
        <v>0.24963832181321322</v>
      </c>
    </row>
    <row r="29" spans="1:19" s="128" customFormat="1">
      <c r="A29" s="161" t="s">
        <v>24</v>
      </c>
      <c r="B29" s="162">
        <v>-601</v>
      </c>
      <c r="C29" s="162">
        <v>-1372</v>
      </c>
      <c r="D29" s="162">
        <v>-873</v>
      </c>
      <c r="E29" s="162">
        <v>-348</v>
      </c>
      <c r="F29" s="162">
        <v>551</v>
      </c>
      <c r="G29" s="162">
        <v>288</v>
      </c>
      <c r="H29" s="162">
        <v>329</v>
      </c>
      <c r="I29" s="162">
        <v>413</v>
      </c>
      <c r="J29" s="162">
        <v>476</v>
      </c>
      <c r="K29" s="128">
        <f>SUM(G29:J29)</f>
        <v>1506</v>
      </c>
      <c r="L29" s="162">
        <v>528</v>
      </c>
      <c r="M29" s="162">
        <v>588</v>
      </c>
      <c r="N29" s="162">
        <v>628</v>
      </c>
      <c r="O29" s="162">
        <v>727</v>
      </c>
      <c r="P29" s="128">
        <f>SUM(L29:O29)</f>
        <v>2471</v>
      </c>
      <c r="Q29" s="162">
        <f>1636-R29</f>
        <v>763</v>
      </c>
      <c r="R29" s="162">
        <v>873</v>
      </c>
      <c r="S29" s="162">
        <v>921</v>
      </c>
    </row>
    <row r="30" spans="1:19">
      <c r="A30" s="142" t="s">
        <v>203</v>
      </c>
      <c r="B30" s="150">
        <f t="shared" ref="B30:S30" si="26">B29/B22</f>
        <v>-0.79183135704874841</v>
      </c>
      <c r="C30" s="150">
        <f t="shared" si="26"/>
        <v>-0.99204627621113517</v>
      </c>
      <c r="D30" s="150">
        <f t="shared" si="26"/>
        <v>-0.22361680327868852</v>
      </c>
      <c r="E30" s="150">
        <f t="shared" si="26"/>
        <v>-4.1616838077015071E-2</v>
      </c>
      <c r="F30" s="150">
        <f t="shared" si="26"/>
        <v>5.0545821484267499E-2</v>
      </c>
      <c r="G30" s="150">
        <f t="shared" si="26"/>
        <v>9.3113482056256067E-2</v>
      </c>
      <c r="H30" s="150">
        <f t="shared" si="26"/>
        <v>0.10762185148838731</v>
      </c>
      <c r="I30" s="150">
        <f t="shared" si="26"/>
        <v>0.14071550255536627</v>
      </c>
      <c r="J30" s="150">
        <f t="shared" si="26"/>
        <v>0.15261301699262583</v>
      </c>
      <c r="K30" s="150">
        <f t="shared" si="26"/>
        <v>0.12340216322517207</v>
      </c>
      <c r="L30" s="150">
        <f t="shared" si="26"/>
        <v>0.16428126944617299</v>
      </c>
      <c r="M30" s="150">
        <f t="shared" si="26"/>
        <v>0.17856058305496508</v>
      </c>
      <c r="N30" s="150">
        <f t="shared" si="26"/>
        <v>0.18097982708933719</v>
      </c>
      <c r="O30" s="150">
        <f t="shared" si="26"/>
        <v>0.1926848661542539</v>
      </c>
      <c r="P30" s="150">
        <f t="shared" si="26"/>
        <v>0.1797090909090909</v>
      </c>
      <c r="Q30" s="150">
        <f t="shared" si="26"/>
        <v>0.2020121789780249</v>
      </c>
      <c r="R30" s="150">
        <f t="shared" si="26"/>
        <v>0.2128230131643101</v>
      </c>
      <c r="S30" s="150">
        <f t="shared" si="26"/>
        <v>0.20571811480902391</v>
      </c>
    </row>
    <row r="31" spans="1:19" s="123" customFormat="1">
      <c r="A31" s="184"/>
      <c r="B31" s="184"/>
      <c r="C31" s="184">
        <f t="shared" ref="C31" si="27">C30-B30</f>
        <v>-0.20021491916238676</v>
      </c>
      <c r="D31" s="184">
        <f t="shared" ref="D31" si="28">D30-C30</f>
        <v>0.76842947293244668</v>
      </c>
      <c r="E31" s="184">
        <f t="shared" ref="E31:F31" si="29">E30-D30</f>
        <v>0.18199996520167344</v>
      </c>
      <c r="F31" s="184">
        <f t="shared" si="29"/>
        <v>9.216265956128257E-2</v>
      </c>
      <c r="G31" s="184">
        <f>G30-30/2512</f>
        <v>8.1170806897020401E-2</v>
      </c>
      <c r="H31" s="184">
        <f>H30-99/2688</f>
        <v>7.079149434553017E-2</v>
      </c>
      <c r="I31" s="184">
        <f>I30-181/2770</f>
        <v>7.537254226655761E-2</v>
      </c>
      <c r="J31" s="184">
        <f>J30-241/2931</f>
        <v>7.0388520233840429E-2</v>
      </c>
      <c r="K31" s="184">
        <f>K30-F30</f>
        <v>7.2856341740904579E-2</v>
      </c>
      <c r="L31" s="184">
        <f>L30-G30</f>
        <v>7.1167787389916928E-2</v>
      </c>
      <c r="M31" s="184">
        <f t="shared" ref="M31:O31" si="30">M30-H30</f>
        <v>7.0938731566577776E-2</v>
      </c>
      <c r="N31" s="184">
        <f t="shared" si="30"/>
        <v>4.0264324533970913E-2</v>
      </c>
      <c r="O31" s="184">
        <f t="shared" si="30"/>
        <v>4.0071849161628065E-2</v>
      </c>
      <c r="P31" s="184">
        <f>P30-K30</f>
        <v>5.6306927683918831E-2</v>
      </c>
      <c r="Q31" s="184">
        <f>Q30-L30</f>
        <v>3.7730909531851903E-2</v>
      </c>
      <c r="R31" s="184">
        <f t="shared" ref="R31:S31" si="31">R30-M30</f>
        <v>3.4262430109345016E-2</v>
      </c>
      <c r="S31" s="184">
        <f t="shared" si="31"/>
        <v>2.4738287719686725E-2</v>
      </c>
    </row>
    <row r="32" spans="1:19" ht="16" thickBot="1">
      <c r="E32" s="123"/>
      <c r="F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spans="1:21" ht="16" thickBot="1">
      <c r="A33" s="207" t="s">
        <v>165</v>
      </c>
      <c r="B33" s="208"/>
      <c r="C33" s="208"/>
      <c r="D33" s="208"/>
      <c r="E33" s="208"/>
      <c r="F33" s="208"/>
      <c r="G33" s="208"/>
      <c r="H33" s="20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21">
      <c r="B34" s="173">
        <v>2018</v>
      </c>
      <c r="C34" s="173">
        <v>2019</v>
      </c>
      <c r="D34" s="173">
        <f>D21</f>
        <v>2020</v>
      </c>
      <c r="E34" s="173">
        <f>E21</f>
        <v>2021</v>
      </c>
      <c r="F34" s="173">
        <f>F21</f>
        <v>2022</v>
      </c>
      <c r="G34" s="173">
        <f>K21</f>
        <v>2023</v>
      </c>
      <c r="H34" s="173">
        <f>P21</f>
        <v>2024</v>
      </c>
    </row>
    <row r="35" spans="1:21" s="128" customFormat="1" ht="16" customHeight="1">
      <c r="A35" s="161" t="s">
        <v>166</v>
      </c>
      <c r="B35" s="162">
        <v>356</v>
      </c>
      <c r="C35" s="162">
        <v>731</v>
      </c>
      <c r="D35" s="162">
        <v>1011</v>
      </c>
      <c r="E35" s="162">
        <v>2132</v>
      </c>
      <c r="F35" s="162">
        <v>6947</v>
      </c>
      <c r="G35" s="162">
        <v>5245</v>
      </c>
      <c r="H35" s="162">
        <v>5141</v>
      </c>
      <c r="I35"/>
    </row>
    <row r="36" spans="1:21" s="150" customFormat="1">
      <c r="A36" s="151" t="s">
        <v>205</v>
      </c>
      <c r="C36" s="150">
        <f t="shared" ref="C36" si="32">C35/B35-1</f>
        <v>1.053370786516854</v>
      </c>
      <c r="D36" s="150">
        <f>D35/C35-1</f>
        <v>0.38303693570451447</v>
      </c>
      <c r="E36" s="150">
        <f>E35/D35-1</f>
        <v>1.1088031651829873</v>
      </c>
      <c r="F36" s="150">
        <f t="shared" ref="F36" si="33">F35/E35-1</f>
        <v>2.2584427767354596</v>
      </c>
      <c r="G36" s="150">
        <f>G35/F35-1</f>
        <v>-0.24499784079458764</v>
      </c>
      <c r="H36" s="150">
        <f>H35/G35-1</f>
        <v>-1.9828408007626308E-2</v>
      </c>
      <c r="I36"/>
    </row>
    <row r="37" spans="1:21">
      <c r="A37" s="142" t="s">
        <v>169</v>
      </c>
      <c r="B37" s="150">
        <f t="shared" ref="B37:C37" si="34">B35/B$2</f>
        <v>3.457317665339419E-2</v>
      </c>
      <c r="C37" s="150">
        <f t="shared" si="34"/>
        <v>5.667984802667287E-2</v>
      </c>
      <c r="D37" s="150">
        <f>D35/D$2</f>
        <v>9.0762186910853762E-2</v>
      </c>
      <c r="E37" s="150">
        <f>E35/E$2</f>
        <v>0.12214265253509023</v>
      </c>
      <c r="F37" s="150">
        <f>F35/F$2</f>
        <v>0.21793142391065659</v>
      </c>
      <c r="G37" s="150">
        <f>G35/G$2</f>
        <v>0.14068828625841581</v>
      </c>
      <c r="H37" s="150">
        <f>H35/H$2</f>
        <v>0.11689935877029424</v>
      </c>
    </row>
    <row r="38" spans="1:21" s="128" customFormat="1">
      <c r="A38" s="161" t="s">
        <v>24</v>
      </c>
      <c r="B38" s="162">
        <v>-102</v>
      </c>
      <c r="C38" s="162">
        <v>-217</v>
      </c>
      <c r="D38" s="162">
        <v>-227</v>
      </c>
      <c r="E38" s="162">
        <v>-130</v>
      </c>
      <c r="F38" s="162">
        <v>0</v>
      </c>
      <c r="G38" s="162">
        <v>-64</v>
      </c>
      <c r="H38" s="162">
        <v>-74</v>
      </c>
      <c r="I38"/>
    </row>
    <row r="39" spans="1:21">
      <c r="A39" s="142" t="s">
        <v>203</v>
      </c>
      <c r="B39" s="150">
        <f t="shared" ref="B39:F39" si="35">B38/B35</f>
        <v>-0.28651685393258425</v>
      </c>
      <c r="C39" s="150">
        <f t="shared" si="35"/>
        <v>-0.29685362517099861</v>
      </c>
      <c r="D39" s="150">
        <f t="shared" si="35"/>
        <v>-0.22453016815034618</v>
      </c>
      <c r="E39" s="150">
        <f t="shared" si="35"/>
        <v>-6.097560975609756E-2</v>
      </c>
      <c r="F39" s="150">
        <f t="shared" si="35"/>
        <v>0</v>
      </c>
      <c r="G39" s="150">
        <f>G38/G35</f>
        <v>-1.2202097235462344E-2</v>
      </c>
      <c r="H39" s="150">
        <f>H38/H35</f>
        <v>-1.4394086753549893E-2</v>
      </c>
    </row>
    <row r="40" spans="1:21" s="210" customFormat="1"/>
    <row r="41" spans="1:21" s="168" customFormat="1"/>
    <row r="42" spans="1:21">
      <c r="B42" s="153">
        <v>2018</v>
      </c>
      <c r="C42" s="153">
        <v>2019</v>
      </c>
      <c r="D42" s="153">
        <f>D34</f>
        <v>2020</v>
      </c>
      <c r="E42" s="153">
        <f t="shared" ref="E42:F42" si="36">E34</f>
        <v>2021</v>
      </c>
      <c r="F42" s="153">
        <f t="shared" si="36"/>
        <v>2022</v>
      </c>
      <c r="G42" s="153">
        <f>G34</f>
        <v>2023</v>
      </c>
      <c r="H42" s="153">
        <f>H34</f>
        <v>2024</v>
      </c>
      <c r="I42" s="197" t="s">
        <v>307</v>
      </c>
      <c r="J42" s="197" t="s">
        <v>308</v>
      </c>
      <c r="K42" s="197" t="s">
        <v>309</v>
      </c>
      <c r="M42" s="5">
        <v>2023</v>
      </c>
      <c r="N42" s="5" t="s">
        <v>306</v>
      </c>
    </row>
    <row r="43" spans="1:21">
      <c r="A43" s="5" t="s">
        <v>206</v>
      </c>
      <c r="B43" s="160">
        <v>91</v>
      </c>
      <c r="C43" s="160">
        <v>111</v>
      </c>
      <c r="D43" s="160">
        <v>93</v>
      </c>
      <c r="E43" s="160">
        <v>118</v>
      </c>
      <c r="F43" s="160">
        <v>131</v>
      </c>
      <c r="G43" s="160">
        <v>150</v>
      </c>
      <c r="H43" s="160">
        <v>171</v>
      </c>
      <c r="I43" s="160">
        <v>170</v>
      </c>
      <c r="J43" s="160">
        <v>180</v>
      </c>
      <c r="K43" s="160">
        <v>189</v>
      </c>
      <c r="L43" s="5" t="s">
        <v>313</v>
      </c>
      <c r="M43" s="164">
        <f>G43</f>
        <v>150</v>
      </c>
      <c r="N43" s="164">
        <f>K43</f>
        <v>189</v>
      </c>
      <c r="P43" t="s">
        <v>311</v>
      </c>
    </row>
    <row r="44" spans="1:21">
      <c r="A44" s="142" t="s">
        <v>210</v>
      </c>
      <c r="B44" s="165"/>
      <c r="C44" s="150">
        <f>C43/B43-1</f>
        <v>0.21978021978021989</v>
      </c>
      <c r="D44" s="150">
        <f t="shared" ref="D44:G44" si="37">D43/C43-1</f>
        <v>-0.16216216216216217</v>
      </c>
      <c r="E44" s="150">
        <f t="shared" si="37"/>
        <v>0.26881720430107525</v>
      </c>
      <c r="F44" s="150">
        <f t="shared" si="37"/>
        <v>0.11016949152542366</v>
      </c>
      <c r="G44" s="150">
        <f t="shared" si="37"/>
        <v>0.14503816793893121</v>
      </c>
      <c r="H44" s="150">
        <f>H43/G43-1</f>
        <v>0.1399999999999999</v>
      </c>
      <c r="I44" s="150">
        <f>I43/149-1</f>
        <v>0.14093959731543615</v>
      </c>
      <c r="J44" s="150">
        <f>J43/156-1</f>
        <v>0.15384615384615374</v>
      </c>
      <c r="K44" s="150">
        <f>K43/161-1</f>
        <v>0.17391304347826098</v>
      </c>
      <c r="L44" s="5" t="s">
        <v>314</v>
      </c>
      <c r="M44" s="164">
        <f>G53</f>
        <v>62.986666666666665</v>
      </c>
      <c r="N44" s="164">
        <f>K53</f>
        <v>74.328042328042329</v>
      </c>
    </row>
    <row r="45" spans="1:21" ht="15" customHeight="1">
      <c r="A45" s="142" t="s">
        <v>207</v>
      </c>
      <c r="B45" s="155">
        <f t="shared" ref="B45:F45" si="38">(B$22+B$10)/B43</f>
        <v>109.05494505494505</v>
      </c>
      <c r="C45" s="155">
        <f t="shared" si="38"/>
        <v>108.15315315315316</v>
      </c>
      <c r="D45" s="155">
        <f t="shared" si="38"/>
        <v>107.45161290322581</v>
      </c>
      <c r="E45" s="155">
        <f t="shared" si="38"/>
        <v>129.78813559322035</v>
      </c>
      <c r="F45" s="155">
        <f t="shared" si="38"/>
        <v>190.30534351145039</v>
      </c>
      <c r="G45" s="155">
        <f>(K$22+K$10)/G43</f>
        <v>213.57333333333332</v>
      </c>
      <c r="H45" s="155">
        <f>(P$22+P$10)/H43</f>
        <v>227.11695906432749</v>
      </c>
      <c r="I45" s="155">
        <f>(Q$22+Q$10)/I43*4</f>
        <v>241.71764705882353</v>
      </c>
      <c r="J45" s="155">
        <f t="shared" ref="J45:K45" si="39">(R$22+R$10)/J43*4</f>
        <v>253.11111111111111</v>
      </c>
      <c r="K45" s="155">
        <f t="shared" si="39"/>
        <v>249.01587301587301</v>
      </c>
      <c r="L45" s="5" t="s">
        <v>315</v>
      </c>
      <c r="M45" s="125">
        <f>G55</f>
        <v>3.3907705334462319</v>
      </c>
      <c r="N45" s="125">
        <f>K55</f>
        <v>3.3502277904328017</v>
      </c>
    </row>
    <row r="46" spans="1:21">
      <c r="A46" s="159" t="s">
        <v>210</v>
      </c>
      <c r="B46" s="155"/>
      <c r="C46" s="150">
        <f>C45/B45-1</f>
        <v>-8.2691518604456338E-3</v>
      </c>
      <c r="D46" s="150">
        <f t="shared" ref="D46:G46" si="40">D45/C45-1</f>
        <v>-6.4865445849175973E-3</v>
      </c>
      <c r="E46" s="150">
        <f t="shared" si="40"/>
        <v>0.20787517363849606</v>
      </c>
      <c r="F46" s="150">
        <f t="shared" si="40"/>
        <v>0.46627688764943809</v>
      </c>
      <c r="G46" s="150">
        <f t="shared" si="40"/>
        <v>0.12226661318358056</v>
      </c>
      <c r="H46" s="150">
        <f>H45/G45-1</f>
        <v>6.3414404409074976E-2</v>
      </c>
      <c r="I46" s="150">
        <f t="shared" ref="I46" si="41">I45/H45-1</f>
        <v>6.4287088267858561E-2</v>
      </c>
      <c r="J46" s="150">
        <f>J45/I45-1</f>
        <v>4.7135425116540564E-2</v>
      </c>
      <c r="K46" s="150">
        <f>K45/J45-1</f>
        <v>-1.6179606170826588E-2</v>
      </c>
      <c r="M46" s="200">
        <f>PRODUCT(M43:M45)</f>
        <v>32036</v>
      </c>
      <c r="N46" s="200">
        <f>PRODUCT(N43:N45)</f>
        <v>47064</v>
      </c>
    </row>
    <row r="47" spans="1:21" ht="15" customHeight="1">
      <c r="A47" s="142" t="s">
        <v>208</v>
      </c>
      <c r="B47" s="155">
        <f t="shared" ref="B47" si="42">B$3/B43</f>
        <v>543.20879120879124</v>
      </c>
      <c r="C47" s="155">
        <f>C$3/C43</f>
        <v>578.27927927927931</v>
      </c>
      <c r="D47" s="155">
        <f>D$3/D43</f>
        <v>611.3763440860215</v>
      </c>
      <c r="E47" s="155">
        <f t="shared" ref="E47:F47" si="43">E$3/E43</f>
        <v>748.14406779661022</v>
      </c>
      <c r="F47" s="155">
        <f t="shared" si="43"/>
        <v>827.80916030534354</v>
      </c>
      <c r="G47" s="155">
        <f>G$3/G43</f>
        <v>884.15333333333331</v>
      </c>
      <c r="H47" s="155">
        <f>H$3/H43</f>
        <v>921.85964912280701</v>
      </c>
      <c r="I47" s="155">
        <f>(Q25+Q12)/I43</f>
        <v>244.46470588235294</v>
      </c>
      <c r="J47" s="155">
        <f>(R25+R12)/J43</f>
        <v>252.75555555555556</v>
      </c>
      <c r="K47" s="155">
        <f>(S25+S12)/K43</f>
        <v>249.12698412698413</v>
      </c>
    </row>
    <row r="48" spans="1:21">
      <c r="A48" s="159" t="s">
        <v>210</v>
      </c>
      <c r="B48" s="155"/>
      <c r="C48" s="150">
        <f>C47/B47-1</f>
        <v>6.4561709306004467E-2</v>
      </c>
      <c r="D48" s="150">
        <f t="shared" ref="D48" si="44">D47/C47-1</f>
        <v>5.7233703493564159E-2</v>
      </c>
      <c r="E48" s="150">
        <f t="shared" ref="E48" si="45">E47/D47-1</f>
        <v>0.22370463795920981</v>
      </c>
      <c r="F48" s="150">
        <f t="shared" ref="F48" si="46">F47/E47-1</f>
        <v>0.10648362519716059</v>
      </c>
      <c r="G48" s="150">
        <f t="shared" ref="G48" si="47">G47/F47-1</f>
        <v>6.8064205773232578E-2</v>
      </c>
      <c r="H48" s="150">
        <f>H47/G47-1</f>
        <v>4.2646806122776937E-2</v>
      </c>
      <c r="I48" s="150">
        <f>I47*4/H47-1</f>
        <v>6.0745878681088383E-2</v>
      </c>
      <c r="J48" s="150">
        <f>J47/I47-1</f>
        <v>3.3914301221021681E-2</v>
      </c>
      <c r="K48" s="150">
        <f>K47/J47-1</f>
        <v>-1.4356050139415766E-2</v>
      </c>
      <c r="U48" s="5"/>
    </row>
    <row r="49" spans="1:21">
      <c r="A49" s="5" t="s">
        <v>168</v>
      </c>
      <c r="B49" s="160">
        <v>5220</v>
      </c>
      <c r="C49" s="160">
        <v>6904</v>
      </c>
      <c r="D49" s="160">
        <v>5025</v>
      </c>
      <c r="E49" s="160">
        <v>6368</v>
      </c>
      <c r="F49" s="160">
        <v>7642</v>
      </c>
      <c r="G49" s="160">
        <f>2601+2441+2282+2124</f>
        <v>9448</v>
      </c>
      <c r="H49" s="160">
        <f>3068+2868+2765+2572</f>
        <v>11273</v>
      </c>
      <c r="I49" s="160">
        <v>3036</v>
      </c>
      <c r="J49" s="160">
        <v>3268</v>
      </c>
      <c r="K49" s="160">
        <v>3512</v>
      </c>
      <c r="U49" s="191"/>
    </row>
    <row r="50" spans="1:21">
      <c r="A50" s="142" t="s">
        <v>298</v>
      </c>
      <c r="B50" s="165"/>
      <c r="C50" s="150">
        <f>C49/B49-1</f>
        <v>0.32260536398467443</v>
      </c>
      <c r="D50" s="150">
        <f t="shared" ref="D50:G50" si="48">D49/C49-1</f>
        <v>-0.27216106604866741</v>
      </c>
      <c r="E50" s="150">
        <f t="shared" si="48"/>
        <v>0.26726368159203973</v>
      </c>
      <c r="F50" s="150">
        <f t="shared" si="48"/>
        <v>0.20006281407035176</v>
      </c>
      <c r="G50" s="150">
        <f t="shared" si="48"/>
        <v>0.23632556922271664</v>
      </c>
      <c r="H50" s="150">
        <f>H49/G49-1</f>
        <v>0.19316257408975446</v>
      </c>
      <c r="I50" s="150">
        <f>I49/2572-1</f>
        <v>0.1804043545878693</v>
      </c>
      <c r="J50" s="150">
        <f>J49/2765-1</f>
        <v>0.18191681735985532</v>
      </c>
      <c r="K50" s="150">
        <f>K49/2868-1</f>
        <v>0.22454672245467222</v>
      </c>
    </row>
    <row r="51" spans="1:21">
      <c r="A51" s="142" t="s">
        <v>209</v>
      </c>
      <c r="B51" s="155">
        <f t="shared" ref="B51" si="49">B$3/B49</f>
        <v>9.469731800766283</v>
      </c>
      <c r="C51" s="155">
        <f t="shared" ref="C51:E51" si="50">C$3/C49</f>
        <v>9.297363847045192</v>
      </c>
      <c r="D51" s="155">
        <f t="shared" si="50"/>
        <v>11.315024875621891</v>
      </c>
      <c r="E51" s="155">
        <f t="shared" si="50"/>
        <v>13.863222361809045</v>
      </c>
      <c r="F51" s="155">
        <f>F$3/F49</f>
        <v>14.190395184506674</v>
      </c>
      <c r="G51" s="155">
        <f>G$3/G49</f>
        <v>14.037150719729043</v>
      </c>
      <c r="H51" s="155">
        <f>H$3/H49</f>
        <v>13.983677814246429</v>
      </c>
      <c r="I51" s="155">
        <f>(Q12+Q25)/I49</f>
        <v>13.688735177865613</v>
      </c>
      <c r="J51" s="155">
        <f>(R12+R25)/J49</f>
        <v>13.921664626682986</v>
      </c>
      <c r="K51" s="155">
        <f>(S12+S25)/K49</f>
        <v>13.406890660592255</v>
      </c>
    </row>
    <row r="52" spans="1:21" ht="15" customHeight="1">
      <c r="A52" s="159" t="s">
        <v>210</v>
      </c>
      <c r="C52" s="150">
        <f>C51/B51-1</f>
        <v>-1.8201988963102766E-2</v>
      </c>
      <c r="D52" s="150">
        <f t="shared" ref="D52" si="51">D51/C51-1</f>
        <v>0.21701431306444285</v>
      </c>
      <c r="E52" s="150">
        <f t="shared" ref="E52" si="52">E51/D51-1</f>
        <v>0.22520476218105556</v>
      </c>
      <c r="F52" s="150">
        <f t="shared" ref="F52" si="53">F51/E51-1</f>
        <v>2.3600055900346639E-2</v>
      </c>
      <c r="G52" s="150">
        <f t="shared" ref="G52" si="54">G51/F51-1</f>
        <v>-1.0799168225064326E-2</v>
      </c>
      <c r="H52" s="150">
        <f>H51/G51-1</f>
        <v>-3.8093845788418346E-3</v>
      </c>
      <c r="I52" s="150">
        <f t="shared" ref="I52" si="55">I51/H51-1</f>
        <v>-2.1091921617382381E-2</v>
      </c>
      <c r="J52" s="150">
        <f t="shared" ref="J52" si="56">J51/I51-1</f>
        <v>1.7016141067146551E-2</v>
      </c>
      <c r="K52" s="150">
        <f t="shared" ref="K52" si="57">K51/J51-1</f>
        <v>-3.6976466528585106E-2</v>
      </c>
    </row>
    <row r="53" spans="1:21">
      <c r="A53" s="5" t="s">
        <v>310</v>
      </c>
      <c r="B53" s="164">
        <f>B49/B43</f>
        <v>57.362637362637365</v>
      </c>
      <c r="C53" s="164">
        <f t="shared" ref="C53:F53" si="58">C49/C43</f>
        <v>62.198198198198199</v>
      </c>
      <c r="D53" s="164">
        <f t="shared" si="58"/>
        <v>54.032258064516128</v>
      </c>
      <c r="E53" s="164">
        <f>E49/E43</f>
        <v>53.966101694915253</v>
      </c>
      <c r="F53" s="164">
        <f t="shared" si="58"/>
        <v>58.335877862595417</v>
      </c>
      <c r="G53" s="164">
        <f>G49/G43</f>
        <v>62.986666666666665</v>
      </c>
      <c r="H53" s="164">
        <f>H49/H43</f>
        <v>65.923976608187132</v>
      </c>
      <c r="I53" s="164">
        <f>I49/I43*4</f>
        <v>71.435294117647061</v>
      </c>
      <c r="J53" s="164">
        <f t="shared" ref="J53" si="59">J49/J43*4</f>
        <v>72.62222222222222</v>
      </c>
      <c r="K53" s="164">
        <f>K49/K43*4</f>
        <v>74.328042328042329</v>
      </c>
    </row>
    <row r="54" spans="1:21">
      <c r="A54" s="159" t="s">
        <v>312</v>
      </c>
      <c r="C54" s="150">
        <f>C53/B53-1</f>
        <v>8.4298091194642932E-2</v>
      </c>
      <c r="D54" s="150">
        <f t="shared" ref="D54" si="60">D53/C53-1</f>
        <v>-0.13128901431615148</v>
      </c>
      <c r="E54" s="150">
        <f t="shared" ref="E54" si="61">E53/D53-1</f>
        <v>-1.2243865418669619E-3</v>
      </c>
      <c r="F54" s="150">
        <f>F53/E53-1</f>
        <v>8.0972611147339668E-2</v>
      </c>
      <c r="G54" s="150">
        <f t="shared" ref="G54" si="62">G53/F53-1</f>
        <v>7.9724330454505887E-2</v>
      </c>
      <c r="H54" s="150">
        <f>H53/G53-1</f>
        <v>4.6633836920837224E-2</v>
      </c>
      <c r="I54" s="150">
        <f>I53/H53-1</f>
        <v>8.3601108322332029E-2</v>
      </c>
      <c r="J54" s="150">
        <f t="shared" ref="J54" si="63">J53/I53-1</f>
        <v>1.6615429658907832E-2</v>
      </c>
      <c r="K54" s="150">
        <f>K53/J53-1</f>
        <v>2.3488954945503293E-2</v>
      </c>
    </row>
    <row r="55" spans="1:21">
      <c r="A55" s="5" t="s">
        <v>216</v>
      </c>
      <c r="B55" s="125">
        <f>(B10+B22)/B49</f>
        <v>1.9011494252873564</v>
      </c>
      <c r="C55" s="125">
        <f>(C10+C22)/C49</f>
        <v>1.7388470451911935</v>
      </c>
      <c r="D55" s="125">
        <f>(D10+D22)/D49</f>
        <v>1.9886567164179105</v>
      </c>
      <c r="E55" s="125">
        <f>(E10+E22)/E49</f>
        <v>2.4049937185929648</v>
      </c>
      <c r="F55" s="125">
        <f>(F10+F22)/F49</f>
        <v>3.2622350170112537</v>
      </c>
      <c r="G55" s="125">
        <f>(K10+K22)/G49</f>
        <v>3.3907705334462319</v>
      </c>
      <c r="H55" s="125">
        <f>(P10+P22)/H49</f>
        <v>3.4451343919098734</v>
      </c>
      <c r="I55" s="125">
        <f>(Q10+Q22)/I49</f>
        <v>3.3837285902503296</v>
      </c>
      <c r="J55" s="125">
        <f>(R10+R22)/J49</f>
        <v>3.4853121175030601</v>
      </c>
      <c r="K55" s="125">
        <f>(S10+S22)/K49</f>
        <v>3.3502277904328017</v>
      </c>
    </row>
    <row r="56" spans="1:21" ht="18">
      <c r="A56" s="159" t="s">
        <v>210</v>
      </c>
      <c r="C56" s="150">
        <f>C55/B55-1</f>
        <v>-8.5370659421802775E-2</v>
      </c>
      <c r="D56" s="150">
        <f t="shared" ref="D56" si="64">D55/C55-1</f>
        <v>0.14366397085791371</v>
      </c>
      <c r="E56" s="150">
        <f t="shared" ref="E56" si="65">E55/D55-1</f>
        <v>0.20935589271786736</v>
      </c>
      <c r="F56" s="150">
        <f t="shared" ref="F56" si="66">F55/E55-1</f>
        <v>0.35644221928355613</v>
      </c>
      <c r="G56" s="150">
        <f>G55/F55-1</f>
        <v>3.9401059630810309E-2</v>
      </c>
      <c r="H56" s="150">
        <f>H55/G55-1</f>
        <v>1.6032892207656468E-2</v>
      </c>
      <c r="I56" s="150">
        <f t="shared" ref="I56" si="67">I55/H55-1</f>
        <v>-1.7823920542473393E-2</v>
      </c>
      <c r="J56" s="150">
        <f>J55/I55-1</f>
        <v>3.0021180642391787E-2</v>
      </c>
      <c r="K56" s="150">
        <f>K55/J55-1</f>
        <v>-3.8758172156769466E-2</v>
      </c>
      <c r="L56" s="191"/>
      <c r="P56" s="169"/>
      <c r="Q56" s="169"/>
      <c r="R56" s="170"/>
    </row>
    <row r="57" spans="1:21">
      <c r="D57" s="125"/>
      <c r="E57" s="125"/>
    </row>
    <row r="58" spans="1:21" ht="15" customHeight="1">
      <c r="A58" s="5" t="s">
        <v>330</v>
      </c>
      <c r="C58" s="123">
        <f>IF(OR(C43*C53*C55/(B55*B53*B43)-1&gt;0,C43*C53*C55/(B55*B53*B43)-1=0),LN(C43/B43)/(C43*C53*C55/(B55*B53*B43)-1),-LN(C43/B43)/(C43*C53*C55/(B55*B53*B43)-1))</f>
        <v>0.94743295297952324</v>
      </c>
      <c r="D58" s="123">
        <f>IF(OR(D43*D53*D55/(C55*C53*C43)-1&gt;0,D43*D53*D55/(C55*C53*C43)-1=0),LN(D43/C43)/(D43*D53*D55/(C55*C53*C43)-1),-LN(D43/C43)/(D43*D53*D55/(C55*C53*C43)-1))</f>
        <v>-1.0556924211976813</v>
      </c>
      <c r="E58" s="123">
        <f t="shared" ref="E58:K58" si="68">IF(OR(E43*E53*E55/(D55*D53*D43)-1&gt;0,E43*E53*E55/(D55*D53*D43)-1=0),LN(E43/D43)/(E43*E53*E55/(D55*D53*D43)-1),-LN(E43/D43)/(E43*E53*E55/(D55*D53*D43)-1))</f>
        <v>0.44704710958378446</v>
      </c>
      <c r="F58" s="123">
        <f t="shared" si="68"/>
        <v>0.16647030485012784</v>
      </c>
      <c r="G58" s="123">
        <f t="shared" si="68"/>
        <v>0.47515741829650215</v>
      </c>
      <c r="H58" s="123">
        <f t="shared" si="68"/>
        <v>0.61720650116917519</v>
      </c>
      <c r="I58" s="123">
        <f t="shared" si="68"/>
        <v>-0.10101270251564819</v>
      </c>
      <c r="J58" s="123">
        <f t="shared" si="68"/>
        <v>0.52568342468916185</v>
      </c>
      <c r="K58" s="123">
        <f t="shared" si="68"/>
        <v>1.477978643324021</v>
      </c>
      <c r="L58" s="5"/>
      <c r="M58" s="123"/>
      <c r="N58" s="201"/>
    </row>
    <row r="59" spans="1:21">
      <c r="A59" s="5" t="s">
        <v>331</v>
      </c>
      <c r="C59" s="123">
        <f>IF(OR(C43*C53*C55/(B55*B53*B43)-1&gt;0,C43*C53*C55/(B55*B53*B43)-1=0),LN(C53/B53)/(C43*C53*C55/(B55*B53*B43)-1),-LN(C53/B53)/(C43*C53*C55/(B55*B53*B43)-1))</f>
        <v>0.38595755587315322</v>
      </c>
      <c r="D59" s="123">
        <f t="shared" ref="D59:K59" si="69">IF(OR(D43*D53*D55/(C55*C53*C43)-1&gt;0,D43*D53*D55/(C55*C53*C43)-1=0),LN(D53/C53)/(D43*D53*D55/(C55*C53*C43)-1),-LN(D53/C53)/(D43*D53*D55/(C55*C53*C43)-1))</f>
        <v>-0.83978192051754252</v>
      </c>
      <c r="E59" s="123">
        <f t="shared" si="69"/>
        <v>-2.3004117244749705E-3</v>
      </c>
      <c r="F59" s="123">
        <f t="shared" si="69"/>
        <v>0.1240191684615123</v>
      </c>
      <c r="G59" s="123">
        <f t="shared" si="69"/>
        <v>0.26910703226188476</v>
      </c>
      <c r="H59" s="123">
        <f t="shared" si="69"/>
        <v>0.21469982084415834</v>
      </c>
      <c r="I59" s="123">
        <f t="shared" si="69"/>
        <v>1.3828013576402642</v>
      </c>
      <c r="J59" s="123">
        <f t="shared" si="69"/>
        <v>0.15155575374548869</v>
      </c>
      <c r="K59" s="123">
        <f t="shared" si="69"/>
        <v>0.70331234350722283</v>
      </c>
      <c r="L59" s="5"/>
      <c r="M59" s="123"/>
      <c r="N59" s="193"/>
    </row>
    <row r="60" spans="1:21" ht="18">
      <c r="A60" s="5" t="s">
        <v>332</v>
      </c>
      <c r="C60" s="123">
        <f>IF(OR(C43*C53*C55/(B55*B53*B43)-1&gt;0,C43*C53*C55/(B55*B53*B43)-1=0),LN(C55/B55)/(C43*C53*C55/(B55*B53*B43)-1),-LN(C55/B55)/(C43*C53*C55/(B55*B53*B43)-1))</f>
        <v>-0.42555594182504347</v>
      </c>
      <c r="D60" s="123">
        <f t="shared" ref="D60:K60" si="70">IF(OR(D43*D53*D55/(C55*C53*C43)-1&gt;0,D43*D53*D55/(C55*C53*C43)-1=0),LN(D55/C55)/(D43*D53*D55/(C55*C53*C43)-1),-LN(D55/C55)/(D43*D53*D55/(C55*C53*C43)-1))</f>
        <v>0.80095258553642668</v>
      </c>
      <c r="E60" s="123">
        <f t="shared" si="70"/>
        <v>0.35692378105914724</v>
      </c>
      <c r="F60" s="123">
        <f t="shared" si="70"/>
        <v>0.48559661023437095</v>
      </c>
      <c r="G60" s="123">
        <f t="shared" si="70"/>
        <v>0.13557711108591491</v>
      </c>
      <c r="H60" s="123">
        <f t="shared" si="70"/>
        <v>7.4923649066194545E-2</v>
      </c>
      <c r="I60" s="123">
        <f t="shared" si="70"/>
        <v>-0.30974324000391634</v>
      </c>
      <c r="J60" s="123">
        <f t="shared" si="70"/>
        <v>0.27204012932726485</v>
      </c>
      <c r="K60" s="123">
        <f t="shared" si="70"/>
        <v>-1.1974422048675573</v>
      </c>
      <c r="L60" s="5"/>
      <c r="M60" s="123"/>
      <c r="O60" s="171"/>
    </row>
    <row r="61" spans="1:21" ht="18">
      <c r="C61" s="191"/>
      <c r="L61" s="5"/>
      <c r="M61" s="123"/>
      <c r="O61" s="171"/>
    </row>
    <row r="62" spans="1:21" ht="8" customHeight="1">
      <c r="O62" s="171"/>
    </row>
    <row r="63" spans="1:21" ht="18">
      <c r="C63" s="191"/>
      <c r="G63" s="5" t="s">
        <v>316</v>
      </c>
      <c r="H63" s="5" t="s">
        <v>317</v>
      </c>
      <c r="I63" s="5" t="s">
        <v>318</v>
      </c>
      <c r="J63" s="5" t="s">
        <v>319</v>
      </c>
      <c r="O63" s="171"/>
    </row>
    <row r="64" spans="1:21" ht="18">
      <c r="G64">
        <f>26+24/60</f>
        <v>26.4</v>
      </c>
      <c r="H64" s="175">
        <f>35+49/60</f>
        <v>35.81666666666667</v>
      </c>
      <c r="I64" s="175">
        <f>38+4/60</f>
        <v>38.06666666666667</v>
      </c>
      <c r="J64">
        <f>33+24/60</f>
        <v>33.4</v>
      </c>
      <c r="O64" s="171"/>
    </row>
    <row r="68" spans="2:12">
      <c r="L68" s="167"/>
    </row>
    <row r="69" spans="2:12">
      <c r="L69" s="167"/>
    </row>
    <row r="70" spans="2:12" ht="16">
      <c r="J70" s="202" t="s">
        <v>320</v>
      </c>
      <c r="L70" s="167"/>
    </row>
    <row r="71" spans="2:12" ht="16">
      <c r="J71" s="202" t="s">
        <v>321</v>
      </c>
      <c r="L71" s="167"/>
    </row>
    <row r="72" spans="2:12" ht="16">
      <c r="J72" s="203" t="s">
        <v>322</v>
      </c>
      <c r="L72" s="167"/>
    </row>
    <row r="73" spans="2:12" ht="16">
      <c r="J73" s="204" t="s">
        <v>323</v>
      </c>
    </row>
    <row r="74" spans="2:12" ht="16">
      <c r="J74" s="204" t="s">
        <v>324</v>
      </c>
    </row>
    <row r="75" spans="2:12" ht="16">
      <c r="J75" s="203" t="s">
        <v>329</v>
      </c>
    </row>
    <row r="77" spans="2:12">
      <c r="B77" s="5" t="s">
        <v>326</v>
      </c>
      <c r="C77" s="5" t="s">
        <v>316</v>
      </c>
      <c r="D77" s="5" t="s">
        <v>317</v>
      </c>
      <c r="E77" s="5" t="s">
        <v>318</v>
      </c>
      <c r="F77" s="5"/>
    </row>
    <row r="78" spans="2:12" ht="18">
      <c r="B78" t="s">
        <v>325</v>
      </c>
      <c r="C78" s="205">
        <v>71.790000000000006</v>
      </c>
      <c r="D78" s="205">
        <v>81.45</v>
      </c>
      <c r="E78" s="205">
        <v>77.87</v>
      </c>
    </row>
    <row r="79" spans="2:12" ht="18">
      <c r="B79" t="s">
        <v>327</v>
      </c>
      <c r="C79" s="205">
        <v>158.54</v>
      </c>
      <c r="D79" s="205">
        <v>152.26</v>
      </c>
      <c r="E79" s="205">
        <v>162.63999999999999</v>
      </c>
    </row>
    <row r="80" spans="2:12" ht="18">
      <c r="B80" t="s">
        <v>328</v>
      </c>
      <c r="C80" s="205">
        <v>400.49</v>
      </c>
      <c r="D80" s="205">
        <v>379.61</v>
      </c>
      <c r="E80" s="205">
        <v>394.2</v>
      </c>
    </row>
  </sheetData>
  <mergeCells count="5">
    <mergeCell ref="A33:H33"/>
    <mergeCell ref="A7:XFD7"/>
    <mergeCell ref="A40:XFD40"/>
    <mergeCell ref="A20:S20"/>
    <mergeCell ref="A8:S8"/>
  </mergeCells>
  <phoneticPr fontId="3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C486-C276-164C-8333-9E346DD1127A}">
  <sheetPr>
    <tabColor theme="5" tint="-0.249977111117893"/>
  </sheetPr>
  <dimension ref="A1:AA54"/>
  <sheetViews>
    <sheetView topLeftCell="A15" zoomScaleNormal="114" workbookViewId="0">
      <selection activeCell="M40" sqref="M40"/>
    </sheetView>
  </sheetViews>
  <sheetFormatPr baseColWidth="10" defaultRowHeight="15"/>
  <cols>
    <col min="1" max="1" width="82.5" customWidth="1"/>
    <col min="2" max="2" width="16" bestFit="1" customWidth="1"/>
    <col min="3" max="3" width="13.6640625" bestFit="1" customWidth="1"/>
    <col min="4" max="4" width="22.33203125" bestFit="1" customWidth="1"/>
    <col min="5" max="5" width="13.6640625" bestFit="1" customWidth="1"/>
    <col min="6" max="12" width="12.6640625" bestFit="1" customWidth="1"/>
    <col min="13" max="14" width="14.33203125" bestFit="1" customWidth="1"/>
    <col min="15" max="15" width="13.5" bestFit="1" customWidth="1"/>
    <col min="16" max="16" width="11.6640625" bestFit="1" customWidth="1"/>
  </cols>
  <sheetData>
    <row r="1" spans="1:27">
      <c r="A1" s="211" t="s">
        <v>245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27">
      <c r="A2" s="5" t="s">
        <v>229</v>
      </c>
      <c r="B2" s="173">
        <v>2020</v>
      </c>
      <c r="C2" s="173">
        <v>2021</v>
      </c>
      <c r="D2" s="173">
        <v>2022</v>
      </c>
      <c r="E2" s="173">
        <v>2023</v>
      </c>
      <c r="F2" s="173">
        <v>2024</v>
      </c>
      <c r="G2" s="174">
        <v>2025</v>
      </c>
      <c r="H2" s="174">
        <f>G2+1</f>
        <v>2026</v>
      </c>
      <c r="I2" s="174">
        <f t="shared" ref="I2:N2" si="0">H2+1</f>
        <v>2027</v>
      </c>
      <c r="J2" s="174">
        <f t="shared" si="0"/>
        <v>2028</v>
      </c>
      <c r="K2" s="174">
        <f t="shared" si="0"/>
        <v>2029</v>
      </c>
      <c r="L2" s="174">
        <f t="shared" si="0"/>
        <v>2030</v>
      </c>
      <c r="M2" s="174">
        <f t="shared" si="0"/>
        <v>2031</v>
      </c>
      <c r="N2" s="174">
        <f t="shared" si="0"/>
        <v>2032</v>
      </c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1:27">
      <c r="A3" s="5" t="s">
        <v>228</v>
      </c>
      <c r="B3" s="176">
        <v>0</v>
      </c>
      <c r="C3" s="176">
        <f>B3+1</f>
        <v>1</v>
      </c>
      <c r="D3" s="176">
        <f t="shared" ref="D3:N3" si="1">C3+1</f>
        <v>2</v>
      </c>
      <c r="E3" s="176">
        <f t="shared" si="1"/>
        <v>3</v>
      </c>
      <c r="F3" s="176">
        <f t="shared" si="1"/>
        <v>4</v>
      </c>
      <c r="G3" s="176">
        <f t="shared" si="1"/>
        <v>5</v>
      </c>
      <c r="H3" s="176">
        <f t="shared" si="1"/>
        <v>6</v>
      </c>
      <c r="I3" s="176">
        <f t="shared" si="1"/>
        <v>7</v>
      </c>
      <c r="J3" s="176">
        <f t="shared" si="1"/>
        <v>8</v>
      </c>
      <c r="K3" s="176">
        <f t="shared" si="1"/>
        <v>9</v>
      </c>
      <c r="L3" s="176">
        <f t="shared" si="1"/>
        <v>10</v>
      </c>
      <c r="M3" s="176">
        <f t="shared" si="1"/>
        <v>11</v>
      </c>
      <c r="N3" s="176">
        <f t="shared" si="1"/>
        <v>12</v>
      </c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</row>
    <row r="4" spans="1:27">
      <c r="A4" s="5" t="s">
        <v>224</v>
      </c>
      <c r="B4">
        <v>26614</v>
      </c>
      <c r="C4" s="128">
        <f>'Segment Level Info &amp; Unit Eco'!E12</f>
        <v>36636</v>
      </c>
      <c r="D4" s="128">
        <f>'Segment Level Info &amp; Unit Eco'!F12</f>
        <v>52665</v>
      </c>
      <c r="E4" s="128">
        <f>'Segment Level Info &amp; Unit Eco'!K12</f>
        <v>68897</v>
      </c>
      <c r="F4" s="126">
        <f>'Segment Level Info &amp; Unit Eco'!P12</f>
        <v>83024</v>
      </c>
      <c r="G4" s="122">
        <f t="shared" ref="G4:N4" si="2">(1+G5)*F4</f>
        <v>94373.115810557792</v>
      </c>
      <c r="H4" s="122">
        <f t="shared" si="2"/>
        <v>102973.45162299115</v>
      </c>
      <c r="I4" s="122">
        <f t="shared" si="2"/>
        <v>109229.5148115856</v>
      </c>
      <c r="J4" s="122">
        <f t="shared" si="2"/>
        <v>113653.61141739605</v>
      </c>
      <c r="K4" s="122">
        <f t="shared" si="2"/>
        <v>116722.46789742423</v>
      </c>
      <c r="L4" s="122">
        <f t="shared" si="2"/>
        <v>118823.61539583132</v>
      </c>
      <c r="M4" s="122">
        <f t="shared" si="2"/>
        <v>120249.59588178222</v>
      </c>
      <c r="N4" s="122">
        <f t="shared" si="2"/>
        <v>121211.65815983295</v>
      </c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</row>
    <row r="5" spans="1:27">
      <c r="A5" s="142" t="s">
        <v>205</v>
      </c>
      <c r="B5" s="123">
        <v>-0.46450704225352113</v>
      </c>
      <c r="C5" s="123">
        <f>C4/B4-1</f>
        <v>0.37656872322837609</v>
      </c>
      <c r="D5" s="123">
        <f>D4/C4-1</f>
        <v>0.43752047166721253</v>
      </c>
      <c r="E5" s="123">
        <f>E4/D4-1</f>
        <v>0.30821228519889865</v>
      </c>
      <c r="F5" s="123">
        <f>F4/E4-1</f>
        <v>0.20504521241853779</v>
      </c>
      <c r="G5" s="123">
        <f t="shared" ref="G5:N5" si="3">G6*F5</f>
        <v>0.13669680827902519</v>
      </c>
      <c r="H5" s="123">
        <f t="shared" si="3"/>
        <v>9.1131205519350125E-2</v>
      </c>
      <c r="I5" s="123">
        <f t="shared" si="3"/>
        <v>6.0754137012900084E-2</v>
      </c>
      <c r="J5" s="123">
        <f t="shared" si="3"/>
        <v>4.0502758008600051E-2</v>
      </c>
      <c r="K5" s="123">
        <f t="shared" si="3"/>
        <v>2.7001838672400032E-2</v>
      </c>
      <c r="L5" s="123">
        <f t="shared" si="3"/>
        <v>1.800122578160002E-2</v>
      </c>
      <c r="M5" s="123">
        <f t="shared" si="3"/>
        <v>1.2000817187733347E-2</v>
      </c>
      <c r="N5" s="123">
        <f t="shared" si="3"/>
        <v>8.0005447918222311E-3</v>
      </c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</row>
    <row r="6" spans="1:27">
      <c r="A6" s="142" t="s">
        <v>225</v>
      </c>
      <c r="B6" s="123">
        <v>-2.3553292836289761</v>
      </c>
      <c r="C6" s="123">
        <f t="shared" ref="C6:F6" si="4">C5/B5</f>
        <v>-0.81068463763537602</v>
      </c>
      <c r="D6" s="123">
        <f t="shared" si="4"/>
        <v>1.1618608893385745</v>
      </c>
      <c r="E6" s="123">
        <f t="shared" si="4"/>
        <v>0.70445226031236208</v>
      </c>
      <c r="F6" s="123">
        <f t="shared" si="4"/>
        <v>0.66527267816795799</v>
      </c>
      <c r="G6" s="123">
        <f>2/3</f>
        <v>0.66666666666666663</v>
      </c>
      <c r="H6" s="123">
        <f t="shared" ref="H6:N6" si="5">2/3</f>
        <v>0.66666666666666663</v>
      </c>
      <c r="I6" s="123">
        <f t="shared" si="5"/>
        <v>0.66666666666666663</v>
      </c>
      <c r="J6" s="123">
        <f t="shared" si="5"/>
        <v>0.66666666666666663</v>
      </c>
      <c r="K6" s="123">
        <f t="shared" si="5"/>
        <v>0.66666666666666663</v>
      </c>
      <c r="L6" s="123">
        <f t="shared" si="5"/>
        <v>0.66666666666666663</v>
      </c>
      <c r="M6" s="123">
        <f t="shared" si="5"/>
        <v>0.66666666666666663</v>
      </c>
      <c r="N6" s="123">
        <f t="shared" si="5"/>
        <v>0.66666666666666663</v>
      </c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</row>
    <row r="7" spans="1:27">
      <c r="A7" s="127" t="s">
        <v>231</v>
      </c>
      <c r="B7" s="124">
        <f>$B$12/(1+EXP(-$B$14*(B3-$B$13)))</f>
        <v>21697.334157292375</v>
      </c>
      <c r="C7" s="124">
        <f t="shared" ref="C7:N7" si="6">$B$12/(1+EXP(-$B$14*(C3-$B$13)))</f>
        <v>32247.805019808115</v>
      </c>
      <c r="D7" s="124">
        <f t="shared" si="6"/>
        <v>45581.903281329403</v>
      </c>
      <c r="E7" s="124">
        <f t="shared" si="6"/>
        <v>60675.030203537048</v>
      </c>
      <c r="F7" s="124">
        <f t="shared" si="6"/>
        <v>75768.157125744692</v>
      </c>
      <c r="G7" s="124">
        <f t="shared" si="6"/>
        <v>89102.255387265992</v>
      </c>
      <c r="H7" s="124">
        <f t="shared" si="6"/>
        <v>99652.726249781714</v>
      </c>
      <c r="I7" s="124">
        <f t="shared" si="6"/>
        <v>107295.86723492497</v>
      </c>
      <c r="J7" s="124">
        <f t="shared" si="6"/>
        <v>112486.1055369324</v>
      </c>
      <c r="K7" s="124">
        <f t="shared" si="6"/>
        <v>115857.69684691756</v>
      </c>
      <c r="L7" s="124">
        <f t="shared" si="6"/>
        <v>117985.19549262738</v>
      </c>
      <c r="M7" s="124">
        <f t="shared" si="6"/>
        <v>119303.15498166552</v>
      </c>
      <c r="N7" s="124">
        <f t="shared" si="6"/>
        <v>120110.31675937914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</row>
    <row r="8" spans="1:27">
      <c r="A8" s="127" t="s">
        <v>234</v>
      </c>
      <c r="B8" s="124">
        <f>LN($B$12/B4-1)</f>
        <v>1.2696573203035606</v>
      </c>
      <c r="C8" s="124">
        <f t="shared" ref="C8:N8" si="7">LN($B$12/C4-1)</f>
        <v>0.83825022678518102</v>
      </c>
      <c r="D8" s="124">
        <f t="shared" si="7"/>
        <v>0.26558061596813509</v>
      </c>
      <c r="E8" s="124">
        <f t="shared" si="7"/>
        <v>-0.27269395352870596</v>
      </c>
      <c r="F8" s="124">
        <f t="shared" si="7"/>
        <v>-0.77299962944208478</v>
      </c>
      <c r="G8" s="124">
        <f t="shared" si="7"/>
        <v>-1.2522736450605982</v>
      </c>
      <c r="H8" s="124">
        <f t="shared" si="7"/>
        <v>-1.723392609631349</v>
      </c>
      <c r="I8" s="124">
        <f t="shared" si="7"/>
        <v>-2.1985493131911538</v>
      </c>
      <c r="J8" s="124">
        <f t="shared" si="7"/>
        <v>-2.6923962741372853</v>
      </c>
      <c r="K8" s="124">
        <f t="shared" si="7"/>
        <v>-3.2277622911857349</v>
      </c>
      <c r="L8" s="124">
        <f t="shared" si="7"/>
        <v>-3.850826989250141</v>
      </c>
      <c r="M8" s="124">
        <f t="shared" si="7"/>
        <v>-4.6938371619472905</v>
      </c>
      <c r="N8" s="124">
        <f t="shared" si="7"/>
        <v>-6.7751292570858315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</row>
    <row r="9" spans="1:27">
      <c r="A9" s="127" t="s">
        <v>232</v>
      </c>
      <c r="B9" s="124">
        <f>(B4-B7)^2</f>
        <v>24173603.008847885</v>
      </c>
      <c r="C9" s="124">
        <f t="shared" ref="C9:N9" si="8">(C4-C7)^2</f>
        <v>19256255.184181262</v>
      </c>
      <c r="D9" s="124">
        <f t="shared" si="8"/>
        <v>50170259.126042172</v>
      </c>
      <c r="E9" s="124">
        <f t="shared" si="8"/>
        <v>67600787.333949044</v>
      </c>
      <c r="F9" s="124">
        <f t="shared" si="8"/>
        <v>52647255.815881528</v>
      </c>
      <c r="G9" s="124">
        <f t="shared" si="8"/>
        <v>27781969.601823818</v>
      </c>
      <c r="H9" s="124">
        <f t="shared" si="8"/>
        <v>11027217.004276972</v>
      </c>
      <c r="I9" s="124">
        <f t="shared" si="8"/>
        <v>3738992.9507255303</v>
      </c>
      <c r="J9" s="124">
        <f t="shared" si="8"/>
        <v>1363069.9809172028</v>
      </c>
      <c r="K9" s="124">
        <f t="shared" si="8"/>
        <v>747828.9697943998</v>
      </c>
      <c r="L9" s="124">
        <f t="shared" si="8"/>
        <v>702947.9340885157</v>
      </c>
      <c r="M9" s="124">
        <f t="shared" si="8"/>
        <v>895750.37741372408</v>
      </c>
      <c r="N9" s="124">
        <f t="shared" si="8"/>
        <v>1212952.8803535514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</row>
    <row r="10" spans="1:27">
      <c r="A10" s="127" t="s">
        <v>233</v>
      </c>
      <c r="B10" s="124">
        <f>SUM(B9:N9)</f>
        <v>261318890.16829559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</row>
    <row r="11" spans="1:27">
      <c r="A11" s="211" t="s">
        <v>235</v>
      </c>
      <c r="B11" s="211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</row>
    <row r="12" spans="1:27">
      <c r="A12" s="127" t="s">
        <v>230</v>
      </c>
      <c r="B12" s="122">
        <v>121350.0604070741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</row>
    <row r="13" spans="1:27">
      <c r="A13" s="5" t="s">
        <v>226</v>
      </c>
      <c r="B13" s="164">
        <v>3</v>
      </c>
      <c r="R13" s="123"/>
    </row>
    <row r="14" spans="1:27">
      <c r="A14" s="5" t="s">
        <v>227</v>
      </c>
      <c r="B14" s="175">
        <v>0.50816733381029489</v>
      </c>
    </row>
    <row r="15" spans="1:27">
      <c r="A15" s="5"/>
      <c r="B15" s="175"/>
    </row>
    <row r="16" spans="1:27">
      <c r="A16" s="5"/>
      <c r="B16" s="175"/>
    </row>
    <row r="17" spans="1:27">
      <c r="A17" s="5"/>
      <c r="B17" s="175"/>
    </row>
    <row r="18" spans="1:27" s="181" customFormat="1">
      <c r="A18" s="178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</row>
    <row r="19" spans="1:27">
      <c r="A19" s="211" t="s">
        <v>244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124"/>
      <c r="P19" s="124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</row>
    <row r="20" spans="1:27">
      <c r="B20" s="173">
        <v>2020</v>
      </c>
      <c r="C20" s="173">
        <v>2021</v>
      </c>
      <c r="D20" s="173">
        <v>2022</v>
      </c>
      <c r="E20" s="173">
        <v>2023</v>
      </c>
      <c r="F20" s="173">
        <v>2024</v>
      </c>
      <c r="G20" s="174">
        <v>2025</v>
      </c>
      <c r="H20" s="174">
        <f>G20+1</f>
        <v>2026</v>
      </c>
      <c r="I20" s="174">
        <f t="shared" ref="I20" si="9">H20+1</f>
        <v>2027</v>
      </c>
      <c r="J20" s="174">
        <f t="shared" ref="J20" si="10">I20+1</f>
        <v>2028</v>
      </c>
      <c r="K20" s="174">
        <f t="shared" ref="K20" si="11">J20+1</f>
        <v>2029</v>
      </c>
      <c r="L20" s="174">
        <f t="shared" ref="L20" si="12">K20+1</f>
        <v>2030</v>
      </c>
      <c r="M20" s="174">
        <f t="shared" ref="M20" si="13">L20+1</f>
        <v>2031</v>
      </c>
      <c r="N20" s="174">
        <f t="shared" ref="N20" si="14">M20+1</f>
        <v>2032</v>
      </c>
    </row>
    <row r="21" spans="1:27">
      <c r="B21" s="173"/>
      <c r="C21" s="176"/>
      <c r="D21" s="176">
        <v>0</v>
      </c>
      <c r="E21" s="176">
        <f>D21+1</f>
        <v>1</v>
      </c>
      <c r="F21" s="176">
        <f t="shared" ref="F21" si="15">E21+1</f>
        <v>2</v>
      </c>
      <c r="G21" s="176">
        <f t="shared" ref="G21" si="16">F21+1</f>
        <v>3</v>
      </c>
      <c r="H21" s="176">
        <f t="shared" ref="H21" si="17">G21+1</f>
        <v>4</v>
      </c>
      <c r="I21" s="176">
        <f t="shared" ref="I21" si="18">H21+1</f>
        <v>5</v>
      </c>
      <c r="J21" s="176">
        <f t="shared" ref="J21" si="19">I21+1</f>
        <v>6</v>
      </c>
      <c r="K21" s="176">
        <f t="shared" ref="K21" si="20">J21+1</f>
        <v>7</v>
      </c>
      <c r="L21" s="176">
        <f t="shared" ref="L21" si="21">K21+1</f>
        <v>8</v>
      </c>
      <c r="M21" s="176">
        <f t="shared" ref="M21" si="22">L21+1</f>
        <v>9</v>
      </c>
      <c r="N21" s="176">
        <f t="shared" ref="N21" si="23">M21+1</f>
        <v>10</v>
      </c>
      <c r="Q21" s="176"/>
    </row>
    <row r="22" spans="1:27">
      <c r="A22" s="5" t="s">
        <v>204</v>
      </c>
      <c r="B22" s="123">
        <f>6089/B4</f>
        <v>0.22878935898399338</v>
      </c>
      <c r="C22" s="123">
        <f>'Segment Level Info &amp; Unit Eco'!E13</f>
        <v>0.18978600283873787</v>
      </c>
      <c r="D22" s="123">
        <f>'Segment Level Info &amp; Unit Eco'!F13</f>
        <v>0.26638184752682048</v>
      </c>
      <c r="E22" s="123">
        <f>'Segment Level Info &amp; Unit Eco'!K13</f>
        <v>0.28784997895409087</v>
      </c>
      <c r="F22" s="123">
        <f>'Segment Level Info &amp; Unit Eco'!P13</f>
        <v>0.30216563885141645</v>
      </c>
      <c r="G22" s="123">
        <f>G23+F22</f>
        <v>0.30932346880007922</v>
      </c>
      <c r="H22" s="123">
        <f>G22+H23</f>
        <v>0.3129023837744106</v>
      </c>
      <c r="I22" s="123">
        <f t="shared" ref="I22:N22" si="24">H22+I23</f>
        <v>0.31469184126157629</v>
      </c>
      <c r="J22" s="123">
        <f t="shared" si="24"/>
        <v>0.31558657000515916</v>
      </c>
      <c r="K22" s="123">
        <f t="shared" si="24"/>
        <v>0.3160339343769506</v>
      </c>
      <c r="L22" s="123">
        <f t="shared" si="24"/>
        <v>0.31625761656284629</v>
      </c>
      <c r="M22" s="123">
        <f t="shared" si="24"/>
        <v>0.31636945765579416</v>
      </c>
      <c r="N22" s="123">
        <f t="shared" si="24"/>
        <v>0.31642537820226807</v>
      </c>
    </row>
    <row r="23" spans="1:27">
      <c r="A23" s="142" t="s">
        <v>205</v>
      </c>
      <c r="B23" s="123"/>
      <c r="C23" s="123">
        <f t="shared" ref="C23:F23" si="25">C22-B22</f>
        <v>-3.9003356145255519E-2</v>
      </c>
      <c r="D23" s="123">
        <f t="shared" si="25"/>
        <v>7.6595844688082615E-2</v>
      </c>
      <c r="E23" s="123">
        <f t="shared" si="25"/>
        <v>2.1468131427270387E-2</v>
      </c>
      <c r="F23" s="123">
        <f t="shared" si="25"/>
        <v>1.4315659897325583E-2</v>
      </c>
      <c r="G23" s="123">
        <f>G24*F23</f>
        <v>7.1578299486627917E-3</v>
      </c>
      <c r="H23" s="123">
        <f t="shared" ref="H23:N23" si="26">H24*G23</f>
        <v>3.5789149743313958E-3</v>
      </c>
      <c r="I23" s="123">
        <f t="shared" si="26"/>
        <v>1.7894574871656979E-3</v>
      </c>
      <c r="J23" s="123">
        <f t="shared" si="26"/>
        <v>8.9472874358284896E-4</v>
      </c>
      <c r="K23" s="123">
        <f t="shared" si="26"/>
        <v>4.4736437179142448E-4</v>
      </c>
      <c r="L23" s="123">
        <f t="shared" si="26"/>
        <v>2.2368218589571224E-4</v>
      </c>
      <c r="M23" s="123">
        <f t="shared" si="26"/>
        <v>1.1184109294785612E-4</v>
      </c>
      <c r="N23" s="123">
        <f>N24*M23</f>
        <v>5.592054647392806E-5</v>
      </c>
    </row>
    <row r="24" spans="1:27">
      <c r="A24" s="142" t="s">
        <v>225</v>
      </c>
      <c r="B24" s="123"/>
      <c r="C24" s="123"/>
      <c r="D24" s="123">
        <f t="shared" ref="D24" si="27">D23/C23</f>
        <v>-1.9638270204960286</v>
      </c>
      <c r="E24" s="123">
        <f t="shared" ref="E24" si="28">E23/D23</f>
        <v>0.28027801657771351</v>
      </c>
      <c r="F24" s="123">
        <f t="shared" ref="F24" si="29">F23/E23</f>
        <v>0.66683306583174662</v>
      </c>
      <c r="G24" s="123">
        <v>0.5</v>
      </c>
      <c r="H24" s="123">
        <v>0.5</v>
      </c>
      <c r="I24" s="123">
        <v>0.5</v>
      </c>
      <c r="J24" s="123">
        <v>0.5</v>
      </c>
      <c r="K24" s="123">
        <v>0.5</v>
      </c>
      <c r="L24" s="123">
        <v>0.5</v>
      </c>
      <c r="M24" s="123">
        <v>0.5</v>
      </c>
      <c r="N24" s="123">
        <v>0.5</v>
      </c>
    </row>
    <row r="25" spans="1:27">
      <c r="A25" s="5" t="s">
        <v>236</v>
      </c>
      <c r="B25" s="123"/>
      <c r="C25" s="123"/>
      <c r="D25" s="123">
        <f>(-C22+$B$32)*$B$29+C22</f>
        <v>0.26107070520326409</v>
      </c>
      <c r="E25" s="123">
        <f t="shared" ref="E25:N25" si="30">(-D22+$B$32)*$B$29+D22</f>
        <v>0.2958740864845717</v>
      </c>
      <c r="F25" s="123">
        <f t="shared" si="30"/>
        <v>0.3056287091602945</v>
      </c>
      <c r="G25" s="123">
        <f t="shared" si="30"/>
        <v>0.31213341410517859</v>
      </c>
      <c r="H25" s="123">
        <f t="shared" si="30"/>
        <v>0.31538576657762063</v>
      </c>
      <c r="I25" s="123">
        <f t="shared" si="30"/>
        <v>0.31701194281384165</v>
      </c>
      <c r="J25" s="123">
        <f t="shared" si="30"/>
        <v>0.31782503093195219</v>
      </c>
      <c r="K25" s="123">
        <f t="shared" si="30"/>
        <v>0.31823157499100746</v>
      </c>
      <c r="L25" s="123">
        <f t="shared" si="30"/>
        <v>0.31843484702053509</v>
      </c>
      <c r="M25" s="123">
        <f t="shared" si="30"/>
        <v>0.31853648303529891</v>
      </c>
      <c r="N25" s="123">
        <f t="shared" si="30"/>
        <v>0.31858730104268079</v>
      </c>
    </row>
    <row r="26" spans="1:27">
      <c r="A26" s="5" t="s">
        <v>232</v>
      </c>
      <c r="D26">
        <f t="shared" ref="D26:N26" si="31">(D22-D25)^2</f>
        <v>2.8208232781072021E-5</v>
      </c>
      <c r="E26">
        <f t="shared" si="31"/>
        <v>6.438630166071914E-5</v>
      </c>
      <c r="F26">
        <f t="shared" si="31"/>
        <v>1.199285596423269E-5</v>
      </c>
      <c r="G26">
        <f t="shared" si="31"/>
        <v>7.8957926176499941E-6</v>
      </c>
      <c r="H26">
        <f t="shared" si="31"/>
        <v>6.1671901472793192E-6</v>
      </c>
      <c r="I26">
        <f t="shared" si="31"/>
        <v>5.3828712128241486E-6</v>
      </c>
      <c r="J26">
        <f t="shared" si="31"/>
        <v>5.0107073207791056E-6</v>
      </c>
      <c r="K26">
        <f t="shared" si="31"/>
        <v>4.8296242685522196E-6</v>
      </c>
      <c r="L26">
        <f t="shared" si="31"/>
        <v>4.7403324658878062E-6</v>
      </c>
      <c r="M26">
        <f t="shared" si="31"/>
        <v>4.6959989954177061E-6</v>
      </c>
      <c r="N26">
        <f t="shared" si="31"/>
        <v>4.6739103678982127E-6</v>
      </c>
    </row>
    <row r="27" spans="1:27">
      <c r="A27" s="5" t="s">
        <v>233</v>
      </c>
      <c r="B27">
        <f>SUM(D26:N26)</f>
        <v>1.4798381780231236E-4</v>
      </c>
    </row>
    <row r="28" spans="1:27">
      <c r="A28" s="5" t="s">
        <v>243</v>
      </c>
      <c r="D28">
        <f>LN($B$32/D22-1)</f>
        <v>-1.5949768474935568</v>
      </c>
      <c r="E28">
        <f t="shared" ref="E28:N28" si="32">LN($B$32/E22-1)</f>
        <v>-2.1786098210640419</v>
      </c>
      <c r="F28">
        <f t="shared" si="32"/>
        <v>-2.8057911186368969</v>
      </c>
      <c r="G28">
        <f t="shared" si="32"/>
        <v>-3.3264718481471451</v>
      </c>
      <c r="H28">
        <f t="shared" si="32"/>
        <v>-3.7267487295143167</v>
      </c>
      <c r="I28">
        <f t="shared" si="32"/>
        <v>-4.0037155222277079</v>
      </c>
      <c r="J28">
        <f t="shared" si="32"/>
        <v>-4.1759332775175748</v>
      </c>
      <c r="K28">
        <f t="shared" si="32"/>
        <v>-4.2741738554775432</v>
      </c>
      <c r="L28">
        <f t="shared" si="32"/>
        <v>-4.3270521592270521</v>
      </c>
      <c r="M28">
        <f t="shared" si="32"/>
        <v>-4.3545486176798516</v>
      </c>
      <c r="N28">
        <f t="shared" si="32"/>
        <v>-4.3685781705028122</v>
      </c>
    </row>
    <row r="29" spans="1:27" ht="33">
      <c r="A29" s="5" t="s">
        <v>246</v>
      </c>
      <c r="B29">
        <v>0.54562311541787112</v>
      </c>
      <c r="G29" s="123"/>
      <c r="H29" s="123"/>
      <c r="I29" s="123"/>
      <c r="J29" s="123"/>
      <c r="K29" s="123"/>
      <c r="L29" s="123"/>
      <c r="M29" s="123"/>
      <c r="N29" s="123"/>
      <c r="V29" s="212"/>
    </row>
    <row r="30" spans="1:27">
      <c r="G30" s="123"/>
      <c r="H30" s="123"/>
      <c r="I30" s="123"/>
      <c r="J30" s="123"/>
      <c r="K30" s="123"/>
      <c r="L30" s="123"/>
      <c r="M30" s="123"/>
      <c r="N30" s="123"/>
    </row>
    <row r="31" spans="1:27">
      <c r="A31" s="211" t="s">
        <v>235</v>
      </c>
      <c r="B31" s="211"/>
    </row>
    <row r="32" spans="1:27">
      <c r="A32" s="127" t="s">
        <v>237</v>
      </c>
      <c r="B32" s="123">
        <v>0.32043424766233208</v>
      </c>
    </row>
    <row r="33" spans="1:27">
      <c r="A33" s="5" t="s">
        <v>226</v>
      </c>
      <c r="B33" s="164">
        <v>0</v>
      </c>
    </row>
    <row r="34" spans="1:27">
      <c r="A34" s="5" t="s">
        <v>227</v>
      </c>
      <c r="B34" s="175">
        <v>2.0187055300097532</v>
      </c>
    </row>
    <row r="35" spans="1:27" s="181" customFormat="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</row>
    <row r="36" spans="1:27">
      <c r="A36" s="211" t="s">
        <v>259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</row>
    <row r="37" spans="1:27">
      <c r="B37" s="173">
        <v>2020</v>
      </c>
      <c r="C37" s="173">
        <v>2021</v>
      </c>
      <c r="D37" s="173">
        <v>2022</v>
      </c>
      <c r="E37" s="173">
        <v>2023</v>
      </c>
      <c r="F37" s="173">
        <v>2024</v>
      </c>
      <c r="G37" s="174">
        <v>2025</v>
      </c>
      <c r="H37" s="174">
        <f>G37+1</f>
        <v>2026</v>
      </c>
      <c r="I37" s="174">
        <f t="shared" ref="I37" si="33">H37+1</f>
        <v>2027</v>
      </c>
      <c r="J37" s="174">
        <f t="shared" ref="J37" si="34">I37+1</f>
        <v>2028</v>
      </c>
      <c r="K37" s="174">
        <f t="shared" ref="K37" si="35">J37+1</f>
        <v>2029</v>
      </c>
      <c r="L37" s="174">
        <f t="shared" ref="L37" si="36">K37+1</f>
        <v>2030</v>
      </c>
      <c r="M37" s="174">
        <f t="shared" ref="M37" si="37">L37+1</f>
        <v>2031</v>
      </c>
      <c r="N37" s="174">
        <f t="shared" ref="N37" si="38">M37+1</f>
        <v>2032</v>
      </c>
    </row>
    <row r="38" spans="1:27" s="124" customFormat="1">
      <c r="A38" s="187" t="s">
        <v>260</v>
      </c>
      <c r="B38" s="128">
        <f>SUM(B46:B50)</f>
        <v>27000</v>
      </c>
      <c r="C38" s="128">
        <f t="shared" ref="C38:N38" si="39">SUM(C46:C50)</f>
        <v>50000</v>
      </c>
      <c r="D38" s="128">
        <f t="shared" si="39"/>
        <v>65000</v>
      </c>
      <c r="E38" s="128">
        <f t="shared" si="39"/>
        <v>77000</v>
      </c>
      <c r="F38" s="128">
        <f t="shared" si="39"/>
        <v>92000</v>
      </c>
      <c r="G38" s="128">
        <f>SUM(G46:G50)-G47</f>
        <v>70000</v>
      </c>
      <c r="H38" s="128">
        <f t="shared" ref="H38:L38" si="40">SUM(H46:H50)-H47</f>
        <v>79000</v>
      </c>
      <c r="I38" s="128">
        <f t="shared" si="40"/>
        <v>97000</v>
      </c>
      <c r="J38" s="128">
        <f t="shared" si="40"/>
        <v>113000</v>
      </c>
      <c r="K38" s="128">
        <f t="shared" si="40"/>
        <v>129000</v>
      </c>
      <c r="L38" s="128">
        <f t="shared" si="40"/>
        <v>139000</v>
      </c>
      <c r="M38" s="128">
        <f>L38*(1+M39)</f>
        <v>149775.19379844959</v>
      </c>
      <c r="N38" s="128">
        <f>M38*(1+N39)</f>
        <v>161385.67393786428</v>
      </c>
    </row>
    <row r="39" spans="1:27" s="124" customFormat="1">
      <c r="A39" s="188" t="s">
        <v>205</v>
      </c>
      <c r="C39" s="123">
        <f>C38/B38-1</f>
        <v>0.85185185185185186</v>
      </c>
      <c r="D39" s="123">
        <f t="shared" ref="D39:G39" si="41">D38/C38-1</f>
        <v>0.30000000000000004</v>
      </c>
      <c r="E39" s="123">
        <f t="shared" si="41"/>
        <v>0.18461538461538463</v>
      </c>
      <c r="F39" s="123">
        <f t="shared" si="41"/>
        <v>0.19480519480519476</v>
      </c>
      <c r="G39" s="123">
        <f>G38/F38-1</f>
        <v>-0.23913043478260865</v>
      </c>
      <c r="H39" s="123">
        <f t="shared" ref="H39:L39" si="42">H38/G38-1</f>
        <v>0.12857142857142856</v>
      </c>
      <c r="I39" s="123">
        <f t="shared" si="42"/>
        <v>0.22784810126582289</v>
      </c>
      <c r="J39" s="123">
        <f t="shared" si="42"/>
        <v>0.1649484536082475</v>
      </c>
      <c r="K39" s="123">
        <f t="shared" si="42"/>
        <v>0.1415929203539823</v>
      </c>
      <c r="L39" s="123">
        <f t="shared" si="42"/>
        <v>7.7519379844961156E-2</v>
      </c>
      <c r="M39" s="123">
        <f t="shared" ref="J39:N39" si="43">L39</f>
        <v>7.7519379844961156E-2</v>
      </c>
      <c r="N39" s="123">
        <f t="shared" si="43"/>
        <v>7.7519379844961156E-2</v>
      </c>
    </row>
    <row r="40" spans="1:27">
      <c r="A40" s="5" t="s">
        <v>166</v>
      </c>
      <c r="B40" s="177">
        <f>'Segment Level Info &amp; Unit Eco'!D22</f>
        <v>3904</v>
      </c>
      <c r="C40" s="177">
        <f>'Segment Level Info &amp; Unit Eco'!E22</f>
        <v>8362</v>
      </c>
      <c r="D40" s="177">
        <f>'Segment Level Info &amp; Unit Eco'!F22</f>
        <v>10901</v>
      </c>
      <c r="E40" s="177">
        <f>'Segment Level Info &amp; Unit Eco'!K22</f>
        <v>12204</v>
      </c>
      <c r="F40" s="177">
        <f>'Segment Level Info &amp; Unit Eco'!P22</f>
        <v>13750</v>
      </c>
      <c r="G40" s="177">
        <f>G42*G38</f>
        <v>9831.95652173913</v>
      </c>
      <c r="H40" s="177">
        <f>H42*H38</f>
        <v>10385.065217391302</v>
      </c>
      <c r="I40" s="177">
        <f>I42*I38</f>
        <v>11878.28260869565</v>
      </c>
      <c r="J40" s="177">
        <f>J42*J38</f>
        <v>12820.586956521738</v>
      </c>
      <c r="K40" s="177">
        <f>K42*K38</f>
        <v>13474.891304347826</v>
      </c>
      <c r="L40" s="177">
        <f>L42*L38</f>
        <v>13268.456521739132</v>
      </c>
      <c r="M40" s="177">
        <f>M42*M38</f>
        <v>12949.042298618133</v>
      </c>
      <c r="N40" s="177">
        <f>N42*N38</f>
        <v>12500.372961752404</v>
      </c>
    </row>
    <row r="41" spans="1:27">
      <c r="A41" s="188" t="s">
        <v>290</v>
      </c>
      <c r="B41" s="177"/>
      <c r="C41" s="123">
        <f>C40/B40-1</f>
        <v>1.141905737704918</v>
      </c>
      <c r="D41" s="123">
        <f t="shared" ref="D41:F41" si="44">D40/C40-1</f>
        <v>0.30363549390098066</v>
      </c>
      <c r="E41" s="123">
        <f t="shared" si="44"/>
        <v>0.11953031831942029</v>
      </c>
      <c r="F41" s="123">
        <f t="shared" si="44"/>
        <v>0.12667977712225498</v>
      </c>
      <c r="G41" s="177"/>
      <c r="H41" s="177"/>
      <c r="I41" s="177"/>
      <c r="J41" s="177"/>
      <c r="K41" s="177"/>
      <c r="L41" s="177"/>
      <c r="M41" s="177"/>
      <c r="N41" s="177"/>
    </row>
    <row r="42" spans="1:27">
      <c r="A42" s="127" t="s">
        <v>261</v>
      </c>
      <c r="B42" s="123">
        <f>B40/B38</f>
        <v>0.14459259259259261</v>
      </c>
      <c r="C42" s="123">
        <f>C40/C38</f>
        <v>0.16724</v>
      </c>
      <c r="D42" s="123">
        <f>D40/D38</f>
        <v>0.16770769230769231</v>
      </c>
      <c r="E42" s="123">
        <f>E40/E38</f>
        <v>0.15849350649350649</v>
      </c>
      <c r="F42" s="123">
        <f>F40/F38</f>
        <v>0.14945652173913043</v>
      </c>
      <c r="G42" s="123">
        <f>F42+G43</f>
        <v>0.14045652173913042</v>
      </c>
      <c r="H42" s="123">
        <f t="shared" ref="H42:N42" si="45">G42+H43</f>
        <v>0.13145652173913042</v>
      </c>
      <c r="I42" s="123">
        <f t="shared" si="45"/>
        <v>0.12245652173913042</v>
      </c>
      <c r="J42" s="123">
        <f t="shared" si="45"/>
        <v>0.11345652173913043</v>
      </c>
      <c r="K42" s="123">
        <f t="shared" si="45"/>
        <v>0.10445652173913043</v>
      </c>
      <c r="L42" s="123">
        <f t="shared" si="45"/>
        <v>9.545652173913044E-2</v>
      </c>
      <c r="M42" s="123">
        <f t="shared" si="45"/>
        <v>8.6456521739130446E-2</v>
      </c>
      <c r="N42" s="123">
        <f t="shared" si="45"/>
        <v>7.7456521739130452E-2</v>
      </c>
    </row>
    <row r="43" spans="1:27">
      <c r="A43" s="142" t="s">
        <v>262</v>
      </c>
      <c r="B43" s="123"/>
      <c r="C43" s="123">
        <f>C42-B42</f>
        <v>2.2647407407407394E-2</v>
      </c>
      <c r="D43" s="123">
        <f>D42-C42</f>
        <v>4.6769230769230785E-4</v>
      </c>
      <c r="E43" s="123">
        <f t="shared" ref="E43:F43" si="46">E42-D42</f>
        <v>-9.2141858141858157E-3</v>
      </c>
      <c r="F43" s="123">
        <f t="shared" si="46"/>
        <v>-9.0369847543760595E-3</v>
      </c>
      <c r="G43" s="123">
        <v>-8.9999999999999993E-3</v>
      </c>
      <c r="H43" s="123">
        <f>G43</f>
        <v>-8.9999999999999993E-3</v>
      </c>
      <c r="I43" s="123">
        <f>H43</f>
        <v>-8.9999999999999993E-3</v>
      </c>
      <c r="J43" s="123">
        <f t="shared" ref="J43:N43" si="47">I43</f>
        <v>-8.9999999999999993E-3</v>
      </c>
      <c r="K43" s="123">
        <f t="shared" si="47"/>
        <v>-8.9999999999999993E-3</v>
      </c>
      <c r="L43" s="123">
        <f t="shared" si="47"/>
        <v>-8.9999999999999993E-3</v>
      </c>
      <c r="M43" s="123">
        <f t="shared" si="47"/>
        <v>-8.9999999999999993E-3</v>
      </c>
      <c r="N43" s="123">
        <f t="shared" si="47"/>
        <v>-8.9999999999999993E-3</v>
      </c>
    </row>
    <row r="44" spans="1:27">
      <c r="A44" s="14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</row>
    <row r="45" spans="1:27">
      <c r="A45" s="127" t="s">
        <v>293</v>
      </c>
      <c r="B45" s="173">
        <v>2020</v>
      </c>
      <c r="C45" s="173">
        <v>2021</v>
      </c>
      <c r="D45" s="173">
        <v>2022</v>
      </c>
      <c r="E45" s="173">
        <v>2023</v>
      </c>
      <c r="F45" s="173">
        <v>2024</v>
      </c>
      <c r="G45" s="174">
        <v>2025</v>
      </c>
      <c r="H45" s="174">
        <f>G45+1</f>
        <v>2026</v>
      </c>
      <c r="I45" s="174">
        <f t="shared" ref="I45" si="48">H45+1</f>
        <v>2027</v>
      </c>
      <c r="J45" s="174">
        <f t="shared" ref="J45" si="49">I45+1</f>
        <v>2028</v>
      </c>
      <c r="K45" s="174">
        <f t="shared" ref="K45:L45" si="50">J45+1</f>
        <v>2029</v>
      </c>
      <c r="L45" s="174">
        <f t="shared" si="50"/>
        <v>2030</v>
      </c>
      <c r="M45" s="192" t="s">
        <v>129</v>
      </c>
      <c r="N45" s="113"/>
    </row>
    <row r="46" spans="1:27">
      <c r="A46" s="11" t="s">
        <v>291</v>
      </c>
      <c r="B46" s="177">
        <v>6000</v>
      </c>
      <c r="C46" s="177">
        <v>10000</v>
      </c>
      <c r="D46" s="177">
        <v>14000</v>
      </c>
      <c r="E46" s="177">
        <v>16000</v>
      </c>
      <c r="F46" s="177">
        <v>18000</v>
      </c>
      <c r="G46" s="177">
        <v>22000</v>
      </c>
      <c r="H46" s="177">
        <v>25000</v>
      </c>
      <c r="I46" s="177">
        <v>30000</v>
      </c>
      <c r="J46" s="177">
        <v>35000</v>
      </c>
      <c r="K46" s="177">
        <v>41000</v>
      </c>
      <c r="L46" s="177">
        <v>49000</v>
      </c>
      <c r="M46" s="123">
        <f>_xlfn.RRI(8,F46,L46)</f>
        <v>0.13335364803124095</v>
      </c>
    </row>
    <row r="47" spans="1:27">
      <c r="A47" s="11" t="s">
        <v>292</v>
      </c>
      <c r="B47" s="177">
        <v>9000</v>
      </c>
      <c r="C47" s="177">
        <v>20000</v>
      </c>
      <c r="D47" s="177">
        <v>26000</v>
      </c>
      <c r="E47" s="177">
        <v>31000</v>
      </c>
      <c r="F47" s="177">
        <v>35000</v>
      </c>
      <c r="G47" s="177">
        <v>40000</v>
      </c>
      <c r="H47" s="177">
        <v>46000</v>
      </c>
      <c r="I47" s="177">
        <v>58000</v>
      </c>
      <c r="J47" s="177">
        <v>72000</v>
      </c>
      <c r="K47" s="177">
        <v>86000</v>
      </c>
      <c r="L47" s="177">
        <v>115000</v>
      </c>
      <c r="M47" s="123">
        <f>_xlfn.RRI(8,F47,L47)</f>
        <v>0.16032252858942853</v>
      </c>
    </row>
    <row r="48" spans="1:27">
      <c r="A48" s="11" t="s">
        <v>295</v>
      </c>
      <c r="B48" s="177">
        <v>2000</v>
      </c>
      <c r="C48" s="177">
        <v>3000</v>
      </c>
      <c r="D48" s="177">
        <v>4000</v>
      </c>
      <c r="E48" s="177">
        <v>5000</v>
      </c>
      <c r="F48" s="177">
        <v>6000</v>
      </c>
      <c r="G48" s="177">
        <v>8000</v>
      </c>
      <c r="H48" s="177">
        <v>9000</v>
      </c>
      <c r="I48" s="177">
        <v>12000</v>
      </c>
      <c r="J48" s="177">
        <v>14000</v>
      </c>
      <c r="K48" s="177">
        <v>16000</v>
      </c>
      <c r="L48" s="177">
        <v>14000</v>
      </c>
      <c r="M48" s="123">
        <f>_xlfn.RRI(8,F48,L48)</f>
        <v>0.11172429901592373</v>
      </c>
    </row>
    <row r="49" spans="1:13">
      <c r="A49" s="11" t="s">
        <v>294</v>
      </c>
      <c r="B49" s="177">
        <v>1000</v>
      </c>
      <c r="C49" s="177">
        <v>2000</v>
      </c>
      <c r="D49" s="177">
        <v>2000</v>
      </c>
      <c r="E49" s="177">
        <v>3000</v>
      </c>
      <c r="F49" s="177">
        <v>5000</v>
      </c>
      <c r="G49" s="177">
        <v>8000</v>
      </c>
      <c r="H49" s="177">
        <v>9000</v>
      </c>
      <c r="I49" s="177">
        <v>13000</v>
      </c>
      <c r="J49" s="177">
        <v>15000</v>
      </c>
      <c r="K49" s="177">
        <v>15000</v>
      </c>
      <c r="L49" s="177">
        <v>12000</v>
      </c>
      <c r="M49" s="123">
        <f>_xlfn.RRI(8,F49,L49)</f>
        <v>0.11564598084560695</v>
      </c>
    </row>
    <row r="50" spans="1:13">
      <c r="A50" s="11" t="s">
        <v>296</v>
      </c>
      <c r="B50" s="177">
        <v>9000</v>
      </c>
      <c r="C50" s="177">
        <v>15000</v>
      </c>
      <c r="D50" s="177">
        <v>19000</v>
      </c>
      <c r="E50" s="177">
        <v>22000</v>
      </c>
      <c r="F50" s="177">
        <v>28000</v>
      </c>
      <c r="G50" s="177">
        <v>32000</v>
      </c>
      <c r="H50" s="177">
        <v>36000</v>
      </c>
      <c r="I50" s="177">
        <v>42000</v>
      </c>
      <c r="J50" s="177">
        <v>49000</v>
      </c>
      <c r="K50" s="177">
        <v>57000</v>
      </c>
      <c r="L50" s="177">
        <v>64000</v>
      </c>
      <c r="M50" s="123">
        <f>_xlfn.RRI(8,F50,L50)</f>
        <v>0.10886261813739972</v>
      </c>
    </row>
    <row r="51" spans="1:13">
      <c r="A51" s="5"/>
      <c r="B51" s="194"/>
      <c r="C51" s="194"/>
      <c r="D51" s="194"/>
      <c r="E51" s="194"/>
      <c r="F51" s="194"/>
    </row>
    <row r="52" spans="1:13">
      <c r="B52" s="177"/>
      <c r="C52" s="177"/>
      <c r="D52" s="177"/>
      <c r="E52" s="177"/>
      <c r="F52" s="177"/>
    </row>
    <row r="53" spans="1:13">
      <c r="A53" s="5" t="s">
        <v>297</v>
      </c>
      <c r="B53" s="129">
        <f>0.215/0.843</f>
        <v>0.25504151838671413</v>
      </c>
      <c r="C53" s="129">
        <f>0.215/0.762</f>
        <v>0.28215223097112863</v>
      </c>
      <c r="D53" s="129">
        <f>0.218/0.743</f>
        <v>0.29340511440107669</v>
      </c>
      <c r="E53" s="129">
        <f>0.219/0.73</f>
        <v>0.3</v>
      </c>
      <c r="F53" s="129">
        <f>0.217/0.725</f>
        <v>0.29931034482758623</v>
      </c>
    </row>
    <row r="54" spans="1:13">
      <c r="A54" s="5"/>
      <c r="B54" s="129"/>
      <c r="C54" s="129"/>
      <c r="D54" s="129"/>
      <c r="E54" s="129"/>
      <c r="F54" s="129"/>
    </row>
  </sheetData>
  <mergeCells count="5">
    <mergeCell ref="A36:N36"/>
    <mergeCell ref="A31:B31"/>
    <mergeCell ref="A19:N19"/>
    <mergeCell ref="A1:N1"/>
    <mergeCell ref="A11:B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9CE3-2116-C945-B869-3BC752FC8F9A}">
  <sheetPr>
    <tabColor rgb="FF00B0F0"/>
  </sheetPr>
  <dimension ref="A1:S81"/>
  <sheetViews>
    <sheetView tabSelected="1" zoomScale="139" zoomScaleNormal="149" workbookViewId="0">
      <selection activeCell="B1" sqref="B1"/>
    </sheetView>
  </sheetViews>
  <sheetFormatPr baseColWidth="10" defaultRowHeight="15" outlineLevelRow="1"/>
  <cols>
    <col min="1" max="1" width="39.1640625" bestFit="1" customWidth="1"/>
    <col min="2" max="2" width="12.33203125" bestFit="1" customWidth="1"/>
    <col min="4" max="4" width="11.1640625" bestFit="1" customWidth="1"/>
    <col min="5" max="5" width="10.5" customWidth="1"/>
    <col min="10" max="10" width="30.6640625" bestFit="1" customWidth="1"/>
    <col min="12" max="12" width="12.1640625" bestFit="1" customWidth="1"/>
    <col min="13" max="13" width="11.83203125" bestFit="1" customWidth="1"/>
    <col min="14" max="14" width="38.6640625" bestFit="1" customWidth="1"/>
    <col min="15" max="15" width="18.6640625" customWidth="1"/>
  </cols>
  <sheetData>
    <row r="1" spans="1:16">
      <c r="A1" s="5" t="s">
        <v>338</v>
      </c>
      <c r="B1" t="s">
        <v>339</v>
      </c>
    </row>
    <row r="2" spans="1:16">
      <c r="A2" s="211" t="s">
        <v>163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6">
      <c r="B3" s="173">
        <v>2023</v>
      </c>
      <c r="C3" s="173">
        <v>2024</v>
      </c>
      <c r="D3" s="174">
        <v>2025</v>
      </c>
      <c r="E3" s="174">
        <v>2026</v>
      </c>
      <c r="F3" s="174">
        <v>2027</v>
      </c>
      <c r="G3" s="174">
        <v>2028</v>
      </c>
      <c r="H3" s="174">
        <v>2029</v>
      </c>
      <c r="I3" s="174">
        <v>2030</v>
      </c>
      <c r="J3" s="174">
        <v>2031</v>
      </c>
      <c r="K3" s="174">
        <v>2032</v>
      </c>
      <c r="N3" s="5" t="s">
        <v>300</v>
      </c>
      <c r="P3" s="5" t="s">
        <v>299</v>
      </c>
    </row>
    <row r="4" spans="1:16">
      <c r="A4" s="5" t="s">
        <v>238</v>
      </c>
      <c r="B4" s="122">
        <f>'Segment Level Info &amp; Unit Eco'!K10</f>
        <v>19832</v>
      </c>
      <c r="C4" s="128">
        <f>'Segment Level Info &amp; Unit Eco'!P10</f>
        <v>25087</v>
      </c>
      <c r="D4" s="128">
        <v>29596</v>
      </c>
      <c r="E4" s="128">
        <v>34471</v>
      </c>
      <c r="F4" s="128">
        <v>39714</v>
      </c>
      <c r="G4" s="128">
        <v>44219</v>
      </c>
      <c r="H4" s="128">
        <v>47557</v>
      </c>
      <c r="I4" s="128">
        <f>(1+I5)*H4</f>
        <v>49339.812651710803</v>
      </c>
      <c r="J4" s="128">
        <f t="shared" ref="J4:K4" si="0">(1+J5)*I4</f>
        <v>49314.546347233423</v>
      </c>
      <c r="K4" s="128">
        <f t="shared" si="0"/>
        <v>47415.340220121485</v>
      </c>
      <c r="M4" s="5" t="s">
        <v>166</v>
      </c>
      <c r="N4" s="123">
        <f>_xlfn.RRI(2,'Segment Level Info &amp; Unit Eco'!F10,'Segment Level Info &amp; Unit Eco'!P10)</f>
        <v>0.3372450756425216</v>
      </c>
      <c r="O4" s="5" t="s">
        <v>238</v>
      </c>
      <c r="P4" s="123">
        <f t="shared" ref="P4:P11" si="1">_xlfn.RRI(5,D4,K4)</f>
        <v>9.8846857439692792E-2</v>
      </c>
    </row>
    <row r="5" spans="1:16" s="182" customFormat="1" hidden="1" outlineLevel="1">
      <c r="A5" s="142" t="s">
        <v>205</v>
      </c>
      <c r="B5" s="155"/>
      <c r="C5" s="150">
        <f t="shared" ref="C5:H5" si="2">C4/B4-1</f>
        <v>0.2649757966922146</v>
      </c>
      <c r="D5" s="150">
        <f t="shared" si="2"/>
        <v>0.17973452385697763</v>
      </c>
      <c r="E5" s="150">
        <f t="shared" si="2"/>
        <v>0.16471820516285995</v>
      </c>
      <c r="F5" s="150">
        <f t="shared" si="2"/>
        <v>0.1520988657132083</v>
      </c>
      <c r="G5" s="150">
        <f t="shared" si="2"/>
        <v>0.11343606788538052</v>
      </c>
      <c r="H5" s="150">
        <f t="shared" si="2"/>
        <v>7.5487912435830751E-2</v>
      </c>
      <c r="I5" s="150">
        <f>H5+I6</f>
        <v>3.7487912435830752E-2</v>
      </c>
      <c r="J5" s="150">
        <f t="shared" ref="J5:K5" si="3">I5+J6</f>
        <v>-5.1208756416924739E-4</v>
      </c>
      <c r="K5" s="150">
        <f t="shared" si="3"/>
        <v>-3.8512087564169246E-2</v>
      </c>
      <c r="O5" s="142" t="s">
        <v>205</v>
      </c>
      <c r="P5" s="123" t="e">
        <f t="shared" si="1"/>
        <v>#NUM!</v>
      </c>
    </row>
    <row r="6" spans="1:16" s="182" customFormat="1" hidden="1" outlineLevel="1">
      <c r="A6" s="142" t="s">
        <v>247</v>
      </c>
      <c r="B6" s="155"/>
      <c r="C6" s="183"/>
      <c r="D6" s="150">
        <f>D5-C5</f>
        <v>-8.524127283523697E-2</v>
      </c>
      <c r="E6" s="150">
        <f>E5-D5</f>
        <v>-1.5016318694117681E-2</v>
      </c>
      <c r="F6" s="150">
        <f>F5-E5</f>
        <v>-1.2619339449651656E-2</v>
      </c>
      <c r="G6" s="150">
        <f t="shared" ref="G6:H6" si="4">G5-F5</f>
        <v>-3.8662797827827777E-2</v>
      </c>
      <c r="H6" s="150">
        <f t="shared" si="4"/>
        <v>-3.794815544954977E-2</v>
      </c>
      <c r="I6" s="150">
        <v>-3.7999999999999999E-2</v>
      </c>
      <c r="J6" s="150">
        <v>-3.7999999999999999E-2</v>
      </c>
      <c r="K6" s="150">
        <v>-3.7999999999999999E-2</v>
      </c>
      <c r="O6" s="142" t="s">
        <v>247</v>
      </c>
      <c r="P6" s="123">
        <f t="shared" si="1"/>
        <v>-0.14920146362700026</v>
      </c>
    </row>
    <row r="7" spans="1:16" collapsed="1">
      <c r="A7" s="5" t="s">
        <v>239</v>
      </c>
      <c r="B7" s="122">
        <f>'Segment Level Info &amp; Unit Eco'!K10</f>
        <v>19832</v>
      </c>
      <c r="C7" s="128">
        <f>'Segment Level Info &amp; Unit Eco'!P10</f>
        <v>25087</v>
      </c>
      <c r="D7" s="177">
        <f>'Segment Projection'!G25*'Segment Projection'!G7*IF($B$1="Base",1,IF($B$1="Bull",1.05,IF($B$1="Bear",0.95,0)))</f>
        <v>27811.791178498876</v>
      </c>
      <c r="E7" s="177">
        <f>'Segment Projection'!H25*'Segment Projection'!H7*IF($B$1="Base",1,IF($B$1="Bull",1.05,IF($B$1="Bear",0.95,0)))</f>
        <v>31429.051459837185</v>
      </c>
      <c r="F7" s="177">
        <f>'Segment Projection'!I25*'Segment Projection'!I7*IF($B$1="Base",1,IF($B$1="Bull",1.05,IF($B$1="Bear",0.95,0)))</f>
        <v>34014.071328039579</v>
      </c>
      <c r="G7" s="177">
        <f>'Segment Projection'!J25*'Segment Projection'!J7*IF($B$1="Base",1,IF($B$1="Bull",1.05,IF($B$1="Bear",0.95,0)))</f>
        <v>35750.899971690378</v>
      </c>
      <c r="H7" s="177">
        <f>'Segment Projection'!K25*'Segment Projection'!K7*IF($B$1="Base",1,IF($B$1="Bull",1.05,IF($B$1="Bear",0.95,0)))</f>
        <v>36869.577342425255</v>
      </c>
      <c r="I7" s="177">
        <f>'Segment Projection'!L25*'Segment Projection'!L7*IF($B$1="Base",1,IF($B$1="Bull",1.05,IF($B$1="Bear",0.95,0)))</f>
        <v>37570.597677382728</v>
      </c>
      <c r="J7" s="177">
        <f>'Segment Projection'!M25*'Segment Projection'!M7</f>
        <v>38002.407402874938</v>
      </c>
      <c r="K7" s="177">
        <f>'Segment Projection'!N25*'Segment Projection'!N7</f>
        <v>38265.621643752071</v>
      </c>
      <c r="M7" s="5" t="s">
        <v>23</v>
      </c>
      <c r="N7" s="123">
        <f>_xlfn.RRI(2,'Segment Level Info &amp; Unit Eco'!F16,'Segment Level Info &amp; Unit Eco'!P16)</f>
        <v>0.40334766256220123</v>
      </c>
      <c r="O7" s="5" t="s">
        <v>239</v>
      </c>
      <c r="P7" s="123">
        <f t="shared" si="1"/>
        <v>6.5898773881803319E-2</v>
      </c>
    </row>
    <row r="8" spans="1:16">
      <c r="A8" s="5" t="s">
        <v>240</v>
      </c>
      <c r="B8" s="128">
        <f>'Segment Level Info &amp; Unit Eco'!K16</f>
        <v>4963</v>
      </c>
      <c r="C8" s="128">
        <f>'Segment Level Info &amp; Unit Eco'!P16</f>
        <v>6497</v>
      </c>
      <c r="D8" s="177">
        <v>8736</v>
      </c>
      <c r="E8" s="177">
        <v>11148</v>
      </c>
      <c r="F8" s="177">
        <v>13685</v>
      </c>
      <c r="G8" s="128">
        <v>15813</v>
      </c>
      <c r="H8" s="128">
        <v>17774</v>
      </c>
      <c r="I8" s="128">
        <f>I9*I4</f>
        <v>21024.137533857909</v>
      </c>
      <c r="J8" s="128">
        <f t="shared" ref="J8:K8" si="5">J9*J4</f>
        <v>22344.864085854741</v>
      </c>
      <c r="K8" s="128">
        <f t="shared" si="5"/>
        <v>22764.53090951412</v>
      </c>
      <c r="O8" s="5" t="s">
        <v>240</v>
      </c>
      <c r="P8" s="123">
        <f t="shared" si="1"/>
        <v>0.21112568917415109</v>
      </c>
    </row>
    <row r="9" spans="1:16" hidden="1" outlineLevel="1">
      <c r="A9" s="5" t="s">
        <v>248</v>
      </c>
      <c r="B9" s="123">
        <f>'Segment Level Info &amp; Unit Eco'!K17</f>
        <v>0.25025211778943124</v>
      </c>
      <c r="C9" s="123">
        <f>'Segment Level Info &amp; Unit Eco'!P17</f>
        <v>0.25897875393630165</v>
      </c>
      <c r="D9" s="123">
        <f t="shared" ref="D9:F9" si="6">D8/D4</f>
        <v>0.29517502365184484</v>
      </c>
      <c r="E9" s="123">
        <f t="shared" si="6"/>
        <v>0.32340228017754052</v>
      </c>
      <c r="F9" s="123">
        <f t="shared" si="6"/>
        <v>0.34458880999143876</v>
      </c>
      <c r="G9" s="123">
        <f>G10+F9</f>
        <v>0.37312549534315115</v>
      </c>
      <c r="H9" s="123">
        <f t="shared" ref="H9:K9" si="7">H10+G9</f>
        <v>0.3991089859069199</v>
      </c>
      <c r="I9" s="123">
        <f>I10+H9</f>
        <v>0.42610898590691992</v>
      </c>
      <c r="J9" s="123">
        <f t="shared" si="7"/>
        <v>0.45310898590691995</v>
      </c>
      <c r="K9" s="123">
        <f t="shared" si="7"/>
        <v>0.48010898590691997</v>
      </c>
      <c r="O9" s="5" t="s">
        <v>248</v>
      </c>
      <c r="P9" s="123">
        <f t="shared" si="1"/>
        <v>0.10217878039535688</v>
      </c>
    </row>
    <row r="10" spans="1:16" hidden="1" outlineLevel="1">
      <c r="A10" s="5" t="s">
        <v>249</v>
      </c>
      <c r="C10" s="123">
        <f>C9-B9</f>
        <v>8.7266361468704146E-3</v>
      </c>
      <c r="D10" s="123">
        <f>D9-C9</f>
        <v>3.6196269715543183E-2</v>
      </c>
      <c r="E10" s="123">
        <f>E9-D9</f>
        <v>2.8227256525695688E-2</v>
      </c>
      <c r="F10" s="123">
        <f>F9-E9</f>
        <v>2.1186529813898236E-2</v>
      </c>
      <c r="G10" s="123">
        <f>AVERAGE(E10:F10,D10)</f>
        <v>2.853668535171237E-2</v>
      </c>
      <c r="H10" s="123">
        <f>AVERAGE(E10:G10)</f>
        <v>2.5983490563768766E-2</v>
      </c>
      <c r="I10" s="123">
        <v>2.7E-2</v>
      </c>
      <c r="J10" s="123">
        <v>2.7E-2</v>
      </c>
      <c r="K10" s="123">
        <v>2.7E-2</v>
      </c>
      <c r="O10" s="5" t="s">
        <v>249</v>
      </c>
      <c r="P10" s="123">
        <f t="shared" si="1"/>
        <v>-5.6938555747399811E-2</v>
      </c>
    </row>
    <row r="11" spans="1:16" collapsed="1">
      <c r="A11" s="5" t="s">
        <v>257</v>
      </c>
      <c r="B11" s="128">
        <f>'Segment Level Info &amp; Unit Eco'!K16</f>
        <v>4963</v>
      </c>
      <c r="C11" s="128">
        <f>'Segment Level Info &amp; Unit Eco'!P16</f>
        <v>6497</v>
      </c>
      <c r="D11" s="177">
        <f>D9*D7</f>
        <v>8209.346118913576</v>
      </c>
      <c r="E11" s="177">
        <f>E9*E7</f>
        <v>10164.226905928605</v>
      </c>
      <c r="F11" s="177">
        <f t="shared" ref="F11:K11" si="8">F9*F7</f>
        <v>11720.868361893075</v>
      </c>
      <c r="G11" s="177">
        <f t="shared" si="8"/>
        <v>13339.572260900421</v>
      </c>
      <c r="H11" s="177">
        <f t="shared" si="8"/>
        <v>14714.979623952095</v>
      </c>
      <c r="I11" s="177">
        <f t="shared" si="8"/>
        <v>16009.169276226436</v>
      </c>
      <c r="J11" s="177">
        <f t="shared" si="8"/>
        <v>17219.232280338292</v>
      </c>
      <c r="K11" s="177">
        <f t="shared" si="8"/>
        <v>18371.668802479693</v>
      </c>
      <c r="O11" s="5" t="s">
        <v>301</v>
      </c>
      <c r="P11" s="123">
        <f t="shared" si="1"/>
        <v>0.17481101062195203</v>
      </c>
    </row>
    <row r="12" spans="1:16" s="181" customFormat="1"/>
    <row r="13" spans="1:16">
      <c r="A13" s="211" t="s">
        <v>164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6">
      <c r="B14" s="173">
        <v>2023</v>
      </c>
      <c r="C14" s="173">
        <v>2024</v>
      </c>
      <c r="D14" s="174">
        <v>2025</v>
      </c>
      <c r="E14" s="174">
        <v>2026</v>
      </c>
      <c r="F14" s="174">
        <v>2027</v>
      </c>
      <c r="G14" s="174">
        <v>2028</v>
      </c>
      <c r="H14" s="174">
        <v>2029</v>
      </c>
      <c r="I14" s="174">
        <v>2030</v>
      </c>
      <c r="J14" s="174">
        <v>2031</v>
      </c>
      <c r="K14" s="174">
        <v>2032</v>
      </c>
      <c r="L14" s="5"/>
      <c r="N14" s="5" t="s">
        <v>300</v>
      </c>
      <c r="P14" s="5" t="s">
        <v>299</v>
      </c>
    </row>
    <row r="15" spans="1:16">
      <c r="A15" s="5" t="s">
        <v>238</v>
      </c>
      <c r="B15" s="122">
        <f>'Segment Level Info &amp; Unit Eco'!K22</f>
        <v>12204</v>
      </c>
      <c r="C15" s="128">
        <f>'Segment Level Info &amp; Unit Eco'!P22</f>
        <v>13750</v>
      </c>
      <c r="D15" s="128">
        <v>16743</v>
      </c>
      <c r="E15" s="128">
        <v>19718</v>
      </c>
      <c r="F15" s="128">
        <v>22848</v>
      </c>
      <c r="G15" s="128">
        <v>25535</v>
      </c>
      <c r="H15" s="128">
        <v>26275</v>
      </c>
      <c r="I15" s="128">
        <f>H15*(1+I16)</f>
        <v>27263.026479341734</v>
      </c>
      <c r="J15" s="128">
        <f t="shared" ref="J15:K15" si="9">I15*(1+J16)</f>
        <v>27197.684947040929</v>
      </c>
      <c r="K15" s="128">
        <f t="shared" si="9"/>
        <v>26044.592621476342</v>
      </c>
      <c r="L15" s="123"/>
      <c r="M15" s="5" t="s">
        <v>166</v>
      </c>
      <c r="N15" s="123">
        <f>_xlfn.RRI(2,'Segment Level Info &amp; Unit Eco'!F22,'Segment Level Info &amp; Unit Eco'!P22)</f>
        <v>0.12309935870595679</v>
      </c>
      <c r="O15" s="5" t="s">
        <v>238</v>
      </c>
      <c r="P15" s="123">
        <f t="shared" ref="P15:P22" si="10">_xlfn.RRI(5,D15,K15)</f>
        <v>9.2387843005883097E-2</v>
      </c>
    </row>
    <row r="16" spans="1:16" hidden="1" outlineLevel="1">
      <c r="A16" s="142" t="s">
        <v>205</v>
      </c>
      <c r="B16" s="155"/>
      <c r="C16" s="150">
        <f>C15/B15-1</f>
        <v>0.12667977712225498</v>
      </c>
      <c r="D16" s="150">
        <f>D15/C15-1</f>
        <v>0.21767272727272724</v>
      </c>
      <c r="E16" s="150">
        <f>E15/D15-1</f>
        <v>0.17768619721674739</v>
      </c>
      <c r="F16" s="150">
        <f>F15/E15-1</f>
        <v>0.15873820874328026</v>
      </c>
      <c r="G16" s="150">
        <f t="shared" ref="G16" si="11">G15/F15-1</f>
        <v>0.11760329131652658</v>
      </c>
      <c r="H16" s="150">
        <f>G16+H17</f>
        <v>7.7603291316526574E-2</v>
      </c>
      <c r="I16" s="150">
        <f t="shared" ref="I16:K16" si="12">H16+I17</f>
        <v>3.7603291316526573E-2</v>
      </c>
      <c r="J16" s="150">
        <f t="shared" si="12"/>
        <v>-2.396708683473428E-3</v>
      </c>
      <c r="K16" s="150">
        <f t="shared" si="12"/>
        <v>-4.2396708683473429E-2</v>
      </c>
      <c r="L16" s="123"/>
      <c r="M16" s="182"/>
      <c r="N16" s="182"/>
      <c r="O16" s="142" t="s">
        <v>205</v>
      </c>
      <c r="P16" s="123" t="e">
        <f t="shared" si="10"/>
        <v>#NUM!</v>
      </c>
    </row>
    <row r="17" spans="1:16" hidden="1" outlineLevel="1">
      <c r="A17" s="142" t="s">
        <v>247</v>
      </c>
      <c r="B17" s="155"/>
      <c r="C17" s="183"/>
      <c r="D17" s="150">
        <f>D16-C16</f>
        <v>9.0992950150472263E-2</v>
      </c>
      <c r="E17" s="150">
        <f>E16-D16</f>
        <v>-3.9986530055979852E-2</v>
      </c>
      <c r="F17" s="150">
        <f>F16-E16</f>
        <v>-1.8947988473467126E-2</v>
      </c>
      <c r="G17" s="150">
        <f>G16-F16</f>
        <v>-4.1134917426753681E-2</v>
      </c>
      <c r="H17" s="150">
        <v>-0.04</v>
      </c>
      <c r="I17" s="150">
        <v>-0.04</v>
      </c>
      <c r="J17" s="150">
        <v>-0.04</v>
      </c>
      <c r="K17" s="150">
        <v>-0.04</v>
      </c>
      <c r="L17" s="123"/>
      <c r="M17" s="182"/>
      <c r="N17" s="182"/>
      <c r="O17" s="142" t="s">
        <v>247</v>
      </c>
      <c r="P17" s="123" t="e">
        <f t="shared" si="10"/>
        <v>#NUM!</v>
      </c>
    </row>
    <row r="18" spans="1:16" collapsed="1">
      <c r="A18" s="5" t="s">
        <v>239</v>
      </c>
      <c r="B18" s="122">
        <f>'Segment Level Info &amp; Unit Eco'!K22</f>
        <v>12204</v>
      </c>
      <c r="C18" s="128">
        <f>'Segment Level Info &amp; Unit Eco'!P22</f>
        <v>13750</v>
      </c>
      <c r="D18" s="177">
        <f>'Segment Projection'!G40*IF($B$1="Base",1,IF($B$1="Bull",1.05,IF($B$1="Bear",0.95,0)))</f>
        <v>9831.95652173913</v>
      </c>
      <c r="E18" s="177">
        <f>'Segment Projection'!H40*IF($B$1="Base",1,IF($B$1="Bull",1.05,IF($B$1="Bear",0.95,0)))</f>
        <v>10385.065217391302</v>
      </c>
      <c r="F18" s="177">
        <f>'Segment Projection'!I40*IF($B$1="Base",1,IF($B$1="Bull",1.05,IF($B$1="Bear",0.95,0)))</f>
        <v>11878.28260869565</v>
      </c>
      <c r="G18" s="177">
        <f>'Segment Projection'!J40*IF($B$1="Base",1,IF($B$1="Bull",1.05,IF($B$1="Bear",0.95,0)))</f>
        <v>12820.586956521738</v>
      </c>
      <c r="H18" s="177">
        <f>'Segment Projection'!K40*IF($B$1="Base",1,IF($B$1="Bull",1.05,IF($B$1="Bear",0.95,0)))</f>
        <v>13474.891304347826</v>
      </c>
      <c r="I18" s="177">
        <f>'Segment Projection'!L40*IF($B$1="Base",1,IF($B$1="Bull",1.05,IF($B$1="Bear",0.95,0)))</f>
        <v>13268.456521739132</v>
      </c>
      <c r="J18" s="177">
        <f>'Segment Projection'!M40</f>
        <v>12949.042298618133</v>
      </c>
      <c r="K18" s="177">
        <f>'Segment Projection'!N40</f>
        <v>12500.372961752404</v>
      </c>
      <c r="L18" s="123"/>
      <c r="M18" s="5" t="s">
        <v>23</v>
      </c>
      <c r="N18" s="123">
        <f>_xlfn.RRI(2,'Segment Level Info &amp; Unit Eco'!F28,'Segment Level Info &amp; Unit Eco'!P28)</f>
        <v>0.46115794787751452</v>
      </c>
      <c r="O18" s="5" t="s">
        <v>239</v>
      </c>
      <c r="P18" s="123">
        <f t="shared" si="10"/>
        <v>4.9195947077098179E-2</v>
      </c>
    </row>
    <row r="19" spans="1:16">
      <c r="A19" s="5" t="s">
        <v>240</v>
      </c>
      <c r="B19" s="128">
        <f>'Segment Level Info &amp; Unit Eco'!K29</f>
        <v>1506</v>
      </c>
      <c r="C19" s="128">
        <f>'Segment Level Info &amp; Unit Eco'!P29</f>
        <v>2471</v>
      </c>
      <c r="D19" s="177">
        <v>3520</v>
      </c>
      <c r="E19" s="177">
        <v>4522</v>
      </c>
      <c r="F19" s="177">
        <v>5821</v>
      </c>
      <c r="G19" s="128">
        <v>6951</v>
      </c>
      <c r="H19" s="128">
        <v>7685</v>
      </c>
      <c r="I19" s="128">
        <f>I20*I15</f>
        <v>8534.5516156074755</v>
      </c>
      <c r="J19" s="128">
        <f t="shared" ref="J19:K19" si="13">J20*J15</f>
        <v>9083.2852009768612</v>
      </c>
      <c r="K19" s="128">
        <f t="shared" si="13"/>
        <v>9213.8802539343869</v>
      </c>
      <c r="L19" s="123"/>
      <c r="O19" s="5" t="s">
        <v>240</v>
      </c>
      <c r="P19" s="123">
        <f t="shared" si="10"/>
        <v>0.21221591096740977</v>
      </c>
    </row>
    <row r="20" spans="1:16" hidden="1" outlineLevel="1">
      <c r="A20" s="5" t="s">
        <v>248</v>
      </c>
      <c r="B20" s="123">
        <f t="shared" ref="B20:C20" si="14">B19/B15</f>
        <v>0.12340216322517207</v>
      </c>
      <c r="C20" s="123">
        <f t="shared" si="14"/>
        <v>0.1797090909090909</v>
      </c>
      <c r="D20" s="123">
        <f>D19/D15</f>
        <v>0.21023711401779849</v>
      </c>
      <c r="E20" s="123">
        <f t="shared" ref="E20:H20" si="15">E19/E15</f>
        <v>0.22933360381377421</v>
      </c>
      <c r="F20" s="123">
        <f t="shared" si="15"/>
        <v>0.25477065826330531</v>
      </c>
      <c r="G20" s="123">
        <f t="shared" si="15"/>
        <v>0.27221460740160563</v>
      </c>
      <c r="H20" s="123">
        <f t="shared" si="15"/>
        <v>0.29248334919124641</v>
      </c>
      <c r="I20" s="123">
        <f>I21+H20</f>
        <v>0.31304490798460838</v>
      </c>
      <c r="J20" s="123">
        <f t="shared" ref="J20:K20" si="16">J21+I20</f>
        <v>0.33397273402731692</v>
      </c>
      <c r="K20" s="123">
        <f t="shared" si="16"/>
        <v>0.35377325296831985</v>
      </c>
      <c r="L20" s="123"/>
      <c r="O20" s="5" t="s">
        <v>248</v>
      </c>
      <c r="P20" s="123">
        <f t="shared" si="10"/>
        <v>0.10969370332042527</v>
      </c>
    </row>
    <row r="21" spans="1:16" hidden="1" outlineLevel="1">
      <c r="A21" s="5" t="s">
        <v>249</v>
      </c>
      <c r="C21" s="123">
        <f>C20-B20</f>
        <v>5.6306927683918831E-2</v>
      </c>
      <c r="D21" s="123">
        <f t="shared" ref="D21:H21" si="17">D20-C20</f>
        <v>3.0528023108707586E-2</v>
      </c>
      <c r="E21" s="123">
        <f t="shared" si="17"/>
        <v>1.9096489795975724E-2</v>
      </c>
      <c r="F21" s="123">
        <f t="shared" si="17"/>
        <v>2.5437054449531094E-2</v>
      </c>
      <c r="G21" s="123">
        <f t="shared" si="17"/>
        <v>1.744394913830033E-2</v>
      </c>
      <c r="H21" s="123">
        <f t="shared" si="17"/>
        <v>2.0268741789640776E-2</v>
      </c>
      <c r="I21" s="123">
        <f>AVERAGE(E21:H21)</f>
        <v>2.0561558793361981E-2</v>
      </c>
      <c r="J21" s="123">
        <f t="shared" ref="J21:K21" si="18">AVERAGE(F21:I21)</f>
        <v>2.0927826042708545E-2</v>
      </c>
      <c r="K21" s="123">
        <f t="shared" si="18"/>
        <v>1.9800518941002907E-2</v>
      </c>
      <c r="L21" s="123"/>
      <c r="O21" s="5" t="s">
        <v>249</v>
      </c>
      <c r="P21" s="123">
        <f t="shared" si="10"/>
        <v>-8.2944588070154923E-2</v>
      </c>
    </row>
    <row r="22" spans="1:16" collapsed="1">
      <c r="A22" s="5" t="s">
        <v>257</v>
      </c>
      <c r="B22" s="128">
        <f>'Segment Level Info &amp; Unit Eco'!K29</f>
        <v>1506</v>
      </c>
      <c r="C22" s="128">
        <f>'Segment Level Info &amp; Unit Eco'!P29</f>
        <v>2471</v>
      </c>
      <c r="D22" s="128">
        <f>D19</f>
        <v>3520</v>
      </c>
      <c r="E22" s="128">
        <f t="shared" ref="E22:K22" si="19">E19</f>
        <v>4522</v>
      </c>
      <c r="F22" s="128">
        <f t="shared" si="19"/>
        <v>5821</v>
      </c>
      <c r="G22" s="128">
        <f t="shared" si="19"/>
        <v>6951</v>
      </c>
      <c r="H22" s="128">
        <f t="shared" si="19"/>
        <v>7685</v>
      </c>
      <c r="I22" s="128">
        <f t="shared" si="19"/>
        <v>8534.5516156074755</v>
      </c>
      <c r="J22" s="128">
        <f t="shared" si="19"/>
        <v>9083.2852009768612</v>
      </c>
      <c r="K22" s="128">
        <f t="shared" si="19"/>
        <v>9213.8802539343869</v>
      </c>
      <c r="L22" s="123"/>
      <c r="O22" s="5" t="s">
        <v>301</v>
      </c>
      <c r="P22" s="123">
        <f t="shared" si="10"/>
        <v>0.21221591096740977</v>
      </c>
    </row>
    <row r="23" spans="1:16" s="181" customFormat="1"/>
    <row r="24" spans="1:16">
      <c r="A24" s="211" t="s">
        <v>165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</row>
    <row r="25" spans="1:16">
      <c r="B25" s="173">
        <v>2023</v>
      </c>
      <c r="C25" s="173">
        <v>2024</v>
      </c>
      <c r="D25" s="174">
        <v>2025</v>
      </c>
      <c r="E25" s="174">
        <v>2026</v>
      </c>
      <c r="F25" s="174">
        <v>2027</v>
      </c>
      <c r="G25" s="174">
        <v>2028</v>
      </c>
      <c r="H25" s="174">
        <v>2029</v>
      </c>
      <c r="I25" s="174">
        <v>2030</v>
      </c>
      <c r="J25" s="174">
        <v>2031</v>
      </c>
      <c r="K25" s="174">
        <v>2032</v>
      </c>
    </row>
    <row r="26" spans="1:16">
      <c r="A26" s="5" t="s">
        <v>238</v>
      </c>
      <c r="B26" s="128">
        <f>'Segment Level Info &amp; Unit Eco'!G35</f>
        <v>5245</v>
      </c>
      <c r="C26" s="128">
        <f>'Segment Level Info &amp; Unit Eco'!H35</f>
        <v>5141</v>
      </c>
      <c r="D26" s="128">
        <v>5041</v>
      </c>
      <c r="E26" s="128">
        <v>5419</v>
      </c>
      <c r="F26" s="128">
        <f>(1+F27)*E26</f>
        <v>5689.95</v>
      </c>
      <c r="G26" s="128">
        <f t="shared" ref="G26:K26" si="20">(1+G27)*F26</f>
        <v>5974.4475000000002</v>
      </c>
      <c r="H26" s="128">
        <f t="shared" si="20"/>
        <v>6273.1698750000005</v>
      </c>
      <c r="I26" s="128">
        <f t="shared" si="20"/>
        <v>6586.8283687500007</v>
      </c>
      <c r="J26" s="128">
        <f t="shared" si="20"/>
        <v>6916.1697871875012</v>
      </c>
      <c r="K26" s="128">
        <f t="shared" si="20"/>
        <v>7261.9782765468763</v>
      </c>
    </row>
    <row r="27" spans="1:16" hidden="1" outlineLevel="1">
      <c r="A27" s="142" t="s">
        <v>205</v>
      </c>
      <c r="B27" s="122"/>
      <c r="C27" s="115">
        <f>C26/B26-1</f>
        <v>-1.9828408007626308E-2</v>
      </c>
      <c r="D27" s="115">
        <f t="shared" ref="D27:E27" si="21">D26/C26-1</f>
        <v>-1.9451468585878207E-2</v>
      </c>
      <c r="E27" s="115">
        <f t="shared" si="21"/>
        <v>7.4985121999603166E-2</v>
      </c>
      <c r="F27" s="115">
        <v>0.05</v>
      </c>
      <c r="G27" s="115">
        <v>0.05</v>
      </c>
      <c r="H27" s="115">
        <v>0.05</v>
      </c>
      <c r="I27" s="115">
        <v>0.05</v>
      </c>
      <c r="J27" s="115">
        <v>0.05</v>
      </c>
      <c r="K27" s="115">
        <v>0.05</v>
      </c>
    </row>
    <row r="28" spans="1:16" collapsed="1">
      <c r="A28" s="5" t="s">
        <v>240</v>
      </c>
      <c r="B28" s="128">
        <f>'Segment Level Info &amp; Unit Eco'!G38</f>
        <v>-64</v>
      </c>
      <c r="C28" s="128">
        <f>'Segment Level Info &amp; Unit Eco'!H38</f>
        <v>-74</v>
      </c>
      <c r="D28" s="128">
        <f>D29*D26</f>
        <v>-50.410000000000004</v>
      </c>
      <c r="E28" s="128">
        <f t="shared" ref="E28:K28" si="22">E29*E26</f>
        <v>-54.19</v>
      </c>
      <c r="F28" s="128">
        <f t="shared" si="22"/>
        <v>-56.899499999999996</v>
      </c>
      <c r="G28" s="128">
        <f t="shared" si="22"/>
        <v>-59.744475000000001</v>
      </c>
      <c r="H28" s="128">
        <f t="shared" si="22"/>
        <v>-62.731698750000007</v>
      </c>
      <c r="I28" s="128">
        <f t="shared" si="22"/>
        <v>-65.868283687500011</v>
      </c>
      <c r="J28" s="128">
        <f t="shared" si="22"/>
        <v>-69.16169787187502</v>
      </c>
      <c r="K28" s="128">
        <f t="shared" si="22"/>
        <v>-72.61978276546877</v>
      </c>
    </row>
    <row r="29" spans="1:16" hidden="1" outlineLevel="1">
      <c r="A29" t="s">
        <v>248</v>
      </c>
      <c r="B29" s="115">
        <f>B28/B26</f>
        <v>-1.2202097235462344E-2</v>
      </c>
      <c r="C29" s="115">
        <f>C28/C26</f>
        <v>-1.4394086753549893E-2</v>
      </c>
      <c r="D29" s="115">
        <v>-0.01</v>
      </c>
      <c r="E29" s="115">
        <v>-0.01</v>
      </c>
      <c r="F29" s="115">
        <v>-0.01</v>
      </c>
      <c r="G29" s="115">
        <v>-0.01</v>
      </c>
      <c r="H29" s="115">
        <v>-0.01</v>
      </c>
      <c r="I29" s="115">
        <v>-0.01</v>
      </c>
      <c r="J29" s="115">
        <v>-0.01</v>
      </c>
      <c r="K29" s="115">
        <v>-0.01</v>
      </c>
    </row>
    <row r="30" spans="1:16" s="181" customFormat="1" collapsed="1"/>
    <row r="31" spans="1:16">
      <c r="A31" s="5" t="s">
        <v>242</v>
      </c>
      <c r="B31" s="185">
        <f>$B$42/(B11+B22+B29)</f>
        <v>31.100035517956005</v>
      </c>
      <c r="C31" s="185">
        <f t="shared" ref="C31:K31" si="23">$B$42/(C11+C22+C29)</f>
        <v>22.433772657634904</v>
      </c>
      <c r="D31" s="185">
        <f>$B$42/(D11+D22+D29)</f>
        <v>17.152356129993375</v>
      </c>
      <c r="E31" s="185">
        <f t="shared" si="23"/>
        <v>13.698949945290835</v>
      </c>
      <c r="F31" s="185">
        <f t="shared" si="23"/>
        <v>11.46889606160795</v>
      </c>
      <c r="G31" s="185">
        <f t="shared" si="23"/>
        <v>9.9152378181102243</v>
      </c>
      <c r="H31" s="185">
        <f t="shared" si="23"/>
        <v>8.9815188885289281</v>
      </c>
      <c r="I31" s="185">
        <f t="shared" si="23"/>
        <v>8.1970387920001837</v>
      </c>
      <c r="J31" s="185">
        <f t="shared" si="23"/>
        <v>7.648919040244313</v>
      </c>
      <c r="K31" s="185">
        <f t="shared" si="23"/>
        <v>7.2931600092556854</v>
      </c>
    </row>
    <row r="32" spans="1:16">
      <c r="A32" s="5" t="s">
        <v>256</v>
      </c>
      <c r="B32" s="123">
        <f>_xlfn.RRI(7,D11+D22+D28,K11+K22+K28)</f>
        <v>0.13021726063535821</v>
      </c>
    </row>
    <row r="33" spans="1:8">
      <c r="A33" s="5"/>
      <c r="B33" s="123"/>
    </row>
    <row r="34" spans="1:8">
      <c r="A34" s="5"/>
      <c r="B34" s="123"/>
    </row>
    <row r="35" spans="1:8">
      <c r="A35" s="5" t="s">
        <v>253</v>
      </c>
      <c r="B35" s="113">
        <v>92.12</v>
      </c>
    </row>
    <row r="36" spans="1:8">
      <c r="A36" s="5" t="s">
        <v>254</v>
      </c>
      <c r="B36">
        <v>2150.0189999999998</v>
      </c>
    </row>
    <row r="37" spans="1:8">
      <c r="A37" s="5"/>
    </row>
    <row r="38" spans="1:8">
      <c r="A38" s="182" t="s">
        <v>258</v>
      </c>
      <c r="B38" s="186">
        <f>PRODUCT(B35:B36)</f>
        <v>198059.75027999998</v>
      </c>
    </row>
    <row r="39" spans="1:8">
      <c r="A39" s="182" t="s">
        <v>250</v>
      </c>
      <c r="B39" s="186">
        <f>-(6438+932)</f>
        <v>-7370</v>
      </c>
    </row>
    <row r="40" spans="1:8">
      <c r="A40" s="182" t="s">
        <v>251</v>
      </c>
      <c r="B40" s="186">
        <v>9578</v>
      </c>
    </row>
    <row r="41" spans="1:8">
      <c r="A41" s="182" t="s">
        <v>252</v>
      </c>
      <c r="B41" s="186">
        <v>918</v>
      </c>
    </row>
    <row r="42" spans="1:8">
      <c r="A42" s="5" t="s">
        <v>241</v>
      </c>
      <c r="B42" s="125">
        <f>SUM(B38:B41)</f>
        <v>201185.75027999998</v>
      </c>
    </row>
    <row r="43" spans="1:8">
      <c r="A43" s="5"/>
      <c r="B43" s="125"/>
    </row>
    <row r="44" spans="1:8" hidden="1" outlineLevel="1">
      <c r="A44" s="5"/>
      <c r="B44" s="174">
        <v>2025</v>
      </c>
      <c r="C44" s="174">
        <v>2026</v>
      </c>
      <c r="D44" s="174">
        <v>2027</v>
      </c>
      <c r="E44" s="174">
        <v>2028</v>
      </c>
      <c r="F44" s="174">
        <v>2029</v>
      </c>
    </row>
    <row r="45" spans="1:8" hidden="1" outlineLevel="1">
      <c r="A45" t="s">
        <v>266</v>
      </c>
      <c r="B45" s="177">
        <v>6295</v>
      </c>
      <c r="C45" s="177">
        <v>8461</v>
      </c>
      <c r="D45" s="177">
        <v>11010</v>
      </c>
      <c r="E45" s="177">
        <v>12937</v>
      </c>
      <c r="F45" s="177">
        <v>14840</v>
      </c>
    </row>
    <row r="46" spans="1:8" hidden="1" outlineLevel="1">
      <c r="A46" t="s">
        <v>267</v>
      </c>
      <c r="B46" s="177">
        <v>104</v>
      </c>
      <c r="C46" s="177">
        <v>1011</v>
      </c>
      <c r="D46" s="177">
        <v>1748</v>
      </c>
      <c r="E46" s="177">
        <v>2493</v>
      </c>
      <c r="F46" s="177">
        <v>2651</v>
      </c>
    </row>
    <row r="47" spans="1:8" hidden="1" outlineLevel="1">
      <c r="A47" t="s">
        <v>268</v>
      </c>
      <c r="B47" s="123">
        <f>B46/B45</f>
        <v>1.6521048451151706E-2</v>
      </c>
      <c r="C47" s="123">
        <f t="shared" ref="C47:F47" si="24">C46/C45</f>
        <v>0.11948942205413071</v>
      </c>
      <c r="D47" s="123">
        <f t="shared" si="24"/>
        <v>0.15876475930971845</v>
      </c>
      <c r="E47" s="123">
        <f t="shared" si="24"/>
        <v>0.19270309963670093</v>
      </c>
      <c r="F47" s="123">
        <f t="shared" si="24"/>
        <v>0.17863881401617251</v>
      </c>
    </row>
    <row r="48" spans="1:8" collapsed="1">
      <c r="H48" s="123"/>
    </row>
    <row r="49" spans="1:9">
      <c r="B49" s="174">
        <v>2025</v>
      </c>
      <c r="C49" s="174">
        <v>2026</v>
      </c>
      <c r="D49" s="174">
        <v>2027</v>
      </c>
      <c r="E49" s="174">
        <v>2028</v>
      </c>
      <c r="F49" s="174">
        <v>2029</v>
      </c>
      <c r="G49" s="174">
        <v>2030</v>
      </c>
      <c r="H49" s="174">
        <v>2031</v>
      </c>
      <c r="I49" s="174">
        <v>2032</v>
      </c>
    </row>
    <row r="50" spans="1:9">
      <c r="A50" s="5" t="s">
        <v>23</v>
      </c>
      <c r="B50" s="128">
        <f>(D28+D22+D11)*1.04</f>
        <v>12146.09356367012</v>
      </c>
      <c r="C50" s="128">
        <f t="shared" ref="C50:I50" si="25">(E28+E22+E11)*1.04</f>
        <v>15217.318382165751</v>
      </c>
      <c r="D50" s="128">
        <f t="shared" si="25"/>
        <v>18184.367616368796</v>
      </c>
      <c r="E50" s="128">
        <f t="shared" si="25"/>
        <v>21040.060897336436</v>
      </c>
      <c r="F50" s="128">
        <f t="shared" si="25"/>
        <v>23230.737842210179</v>
      </c>
      <c r="G50" s="128">
        <f t="shared" si="25"/>
        <v>25456.966712472269</v>
      </c>
      <c r="H50" s="128">
        <f t="shared" si="25"/>
        <v>27282.690014781012</v>
      </c>
      <c r="I50" s="128">
        <f t="shared" si="25"/>
        <v>28613.446444594556</v>
      </c>
    </row>
    <row r="51" spans="1:9">
      <c r="A51" t="s">
        <v>270</v>
      </c>
      <c r="B51" s="128">
        <f>-0.01*(B26+B15+B4)</f>
        <v>-372.81</v>
      </c>
      <c r="C51" s="128">
        <f t="shared" ref="C51:I51" si="26">-0.01*(C26+C15+C4)</f>
        <v>-439.78000000000003</v>
      </c>
      <c r="D51" s="128">
        <f t="shared" si="26"/>
        <v>-513.79999999999995</v>
      </c>
      <c r="E51" s="128">
        <f t="shared" si="26"/>
        <v>-596.08000000000004</v>
      </c>
      <c r="F51" s="128">
        <f t="shared" si="26"/>
        <v>-682.51949999999999</v>
      </c>
      <c r="G51" s="128">
        <f t="shared" si="26"/>
        <v>-757.28447500000016</v>
      </c>
      <c r="H51" s="128">
        <f t="shared" si="26"/>
        <v>-801.0516987499999</v>
      </c>
      <c r="I51" s="128">
        <f t="shared" si="26"/>
        <v>-831.89667499802545</v>
      </c>
    </row>
    <row r="52" spans="1:9">
      <c r="A52" t="s">
        <v>271</v>
      </c>
      <c r="B52" s="128">
        <f>-0.01*(B26+B15+B4)</f>
        <v>-372.81</v>
      </c>
      <c r="C52" s="128">
        <f t="shared" ref="C52:I52" si="27">-0.01*(C26+C15+C4)</f>
        <v>-439.78000000000003</v>
      </c>
      <c r="D52" s="128">
        <f t="shared" si="27"/>
        <v>-513.79999999999995</v>
      </c>
      <c r="E52" s="128">
        <f t="shared" si="27"/>
        <v>-596.08000000000004</v>
      </c>
      <c r="F52" s="128">
        <f t="shared" si="27"/>
        <v>-682.51949999999999</v>
      </c>
      <c r="G52" s="128">
        <f t="shared" si="27"/>
        <v>-757.28447500000016</v>
      </c>
      <c r="H52" s="128">
        <f t="shared" si="27"/>
        <v>-801.0516987499999</v>
      </c>
      <c r="I52" s="128">
        <f t="shared" si="27"/>
        <v>-831.89667499802545</v>
      </c>
    </row>
    <row r="53" spans="1:9">
      <c r="A53" t="s">
        <v>265</v>
      </c>
      <c r="B53" s="128">
        <f t="shared" ref="B53:I53" si="28">SUM(B50:B52)</f>
        <v>11400.473563670121</v>
      </c>
      <c r="C53" s="128">
        <f t="shared" si="28"/>
        <v>14337.75838216575</v>
      </c>
      <c r="D53" s="128">
        <f t="shared" si="28"/>
        <v>17156.767616368797</v>
      </c>
      <c r="E53" s="128">
        <f t="shared" si="28"/>
        <v>19847.900897336433</v>
      </c>
      <c r="F53" s="128">
        <f t="shared" si="28"/>
        <v>21865.698842210182</v>
      </c>
      <c r="G53" s="128">
        <f t="shared" si="28"/>
        <v>23942.397762472268</v>
      </c>
      <c r="H53" s="128">
        <f t="shared" si="28"/>
        <v>25680.586617281009</v>
      </c>
      <c r="I53" s="128">
        <f t="shared" si="28"/>
        <v>26949.653094598507</v>
      </c>
    </row>
    <row r="54" spans="1:9">
      <c r="A54" s="142" t="s">
        <v>263</v>
      </c>
      <c r="B54" s="123">
        <f>B47</f>
        <v>1.6521048451151706E-2</v>
      </c>
      <c r="C54" s="123">
        <f t="shared" ref="C54:F54" si="29">C47</f>
        <v>0.11948942205413071</v>
      </c>
      <c r="D54" s="123">
        <f t="shared" si="29"/>
        <v>0.15876475930971845</v>
      </c>
      <c r="E54" s="123">
        <f t="shared" si="29"/>
        <v>0.19270309963670093</v>
      </c>
      <c r="F54" s="123">
        <f t="shared" si="29"/>
        <v>0.17863881401617251</v>
      </c>
      <c r="G54" s="123">
        <f>AVERAGE(D54:F54)</f>
        <v>0.17670222432086399</v>
      </c>
      <c r="H54" s="123">
        <f t="shared" ref="H54:I54" si="30">AVERAGE(E54:G54)</f>
        <v>0.18268137932457915</v>
      </c>
      <c r="I54" s="123">
        <f t="shared" si="30"/>
        <v>0.17934080588720522</v>
      </c>
    </row>
    <row r="55" spans="1:9">
      <c r="A55" t="s">
        <v>264</v>
      </c>
      <c r="B55" s="128">
        <f t="shared" ref="B55:I55" si="31">-B54*B53</f>
        <v>-188.34777611146822</v>
      </c>
      <c r="C55" s="128">
        <f t="shared" si="31"/>
        <v>-1713.2104626367536</v>
      </c>
      <c r="D55" s="128">
        <f t="shared" si="31"/>
        <v>-2723.8900811455642</v>
      </c>
      <c r="E55" s="128">
        <f t="shared" si="31"/>
        <v>-3824.7520241987881</v>
      </c>
      <c r="F55" s="128">
        <f t="shared" si="31"/>
        <v>-3906.0625088072234</v>
      </c>
      <c r="G55" s="128">
        <f t="shared" si="31"/>
        <v>-4230.6749402037267</v>
      </c>
      <c r="H55" s="128">
        <f t="shared" si="31"/>
        <v>-4691.3649851092232</v>
      </c>
      <c r="I55" s="128">
        <f t="shared" si="31"/>
        <v>-4833.1725043659098</v>
      </c>
    </row>
    <row r="56" spans="1:9">
      <c r="A56" t="s">
        <v>269</v>
      </c>
      <c r="B56" s="128">
        <f>B53+B55</f>
        <v>11212.125787558653</v>
      </c>
      <c r="C56" s="128">
        <f t="shared" ref="C56:I56" si="32">C53+C55</f>
        <v>12624.547919528995</v>
      </c>
      <c r="D56" s="128">
        <f t="shared" si="32"/>
        <v>14432.877535223233</v>
      </c>
      <c r="E56" s="128">
        <f t="shared" si="32"/>
        <v>16023.148873137645</v>
      </c>
      <c r="F56" s="128">
        <f t="shared" si="32"/>
        <v>17959.636333402959</v>
      </c>
      <c r="G56" s="128">
        <f t="shared" si="32"/>
        <v>19711.722822268541</v>
      </c>
      <c r="H56" s="128">
        <f t="shared" si="32"/>
        <v>20989.221632171786</v>
      </c>
      <c r="I56" s="128">
        <f t="shared" si="32"/>
        <v>22116.480590232597</v>
      </c>
    </row>
    <row r="57" spans="1:9">
      <c r="A57" t="s">
        <v>272</v>
      </c>
      <c r="B57" s="128">
        <f>-B51</f>
        <v>372.81</v>
      </c>
      <c r="C57" s="128">
        <f t="shared" ref="C57:I57" si="33">-C51</f>
        <v>439.78000000000003</v>
      </c>
      <c r="D57" s="128">
        <f t="shared" si="33"/>
        <v>513.79999999999995</v>
      </c>
      <c r="E57" s="128">
        <f t="shared" si="33"/>
        <v>596.08000000000004</v>
      </c>
      <c r="F57" s="128">
        <f t="shared" si="33"/>
        <v>682.51949999999999</v>
      </c>
      <c r="G57" s="128">
        <f t="shared" si="33"/>
        <v>757.28447500000016</v>
      </c>
      <c r="H57" s="128">
        <f t="shared" si="33"/>
        <v>801.0516987499999</v>
      </c>
      <c r="I57" s="128">
        <f t="shared" si="33"/>
        <v>831.89667499802545</v>
      </c>
    </row>
    <row r="58" spans="1:9">
      <c r="A58" t="s">
        <v>273</v>
      </c>
      <c r="B58" s="128">
        <f>-B52</f>
        <v>372.81</v>
      </c>
      <c r="C58" s="128">
        <f t="shared" ref="C58:I58" si="34">-C52</f>
        <v>439.78000000000003</v>
      </c>
      <c r="D58" s="128">
        <f t="shared" si="34"/>
        <v>513.79999999999995</v>
      </c>
      <c r="E58" s="128">
        <f t="shared" si="34"/>
        <v>596.08000000000004</v>
      </c>
      <c r="F58" s="128">
        <f t="shared" si="34"/>
        <v>682.51949999999999</v>
      </c>
      <c r="G58" s="128">
        <f t="shared" si="34"/>
        <v>757.28447500000016</v>
      </c>
      <c r="H58" s="128">
        <f t="shared" si="34"/>
        <v>801.0516987499999</v>
      </c>
      <c r="I58" s="128">
        <f t="shared" si="34"/>
        <v>831.89667499802545</v>
      </c>
    </row>
    <row r="59" spans="1:9">
      <c r="A59" t="s">
        <v>275</v>
      </c>
      <c r="B59" s="128">
        <f>0.04*(B26+B15+B4)</f>
        <v>1491.24</v>
      </c>
      <c r="C59" s="128">
        <f t="shared" ref="C59:I59" si="35">0.04*(C26+C15+C4)</f>
        <v>1759.1200000000001</v>
      </c>
      <c r="D59" s="128">
        <f t="shared" si="35"/>
        <v>2055.1999999999998</v>
      </c>
      <c r="E59" s="128">
        <f t="shared" si="35"/>
        <v>2384.3200000000002</v>
      </c>
      <c r="F59" s="128">
        <f t="shared" si="35"/>
        <v>2730.078</v>
      </c>
      <c r="G59" s="128">
        <f t="shared" si="35"/>
        <v>3029.1379000000006</v>
      </c>
      <c r="H59" s="128">
        <f t="shared" si="35"/>
        <v>3204.2067949999996</v>
      </c>
      <c r="I59" s="128">
        <f t="shared" si="35"/>
        <v>3327.5866999921018</v>
      </c>
    </row>
    <row r="60" spans="1:9">
      <c r="A60" t="s">
        <v>276</v>
      </c>
      <c r="B60" s="128">
        <f>-2527+769</f>
        <v>-1758</v>
      </c>
      <c r="C60" s="128">
        <f>2527-7452</f>
        <v>-4925</v>
      </c>
      <c r="D60" s="128">
        <f>7452-11052</f>
        <v>-3600</v>
      </c>
      <c r="E60" s="128">
        <f>E61*E7</f>
        <v>-3412.6848121190897</v>
      </c>
      <c r="F60" s="128">
        <f t="shared" ref="F60:I60" si="36">F61*F7</f>
        <v>-4207.8180614999719</v>
      </c>
      <c r="G60" s="128">
        <f t="shared" si="36"/>
        <v>-4029.4895875324032</v>
      </c>
      <c r="H60" s="128">
        <f t="shared" si="36"/>
        <v>-4240.0269821118209</v>
      </c>
      <c r="I60" s="128">
        <f t="shared" si="36"/>
        <v>-4401.0073969105651</v>
      </c>
    </row>
    <row r="61" spans="1:9">
      <c r="A61" s="142" t="s">
        <v>278</v>
      </c>
      <c r="B61" s="123">
        <f>B60/D7</f>
        <v>-6.3210599731494427E-2</v>
      </c>
      <c r="C61" s="123">
        <f t="shared" ref="C61:D61" si="37">C60/E7</f>
        <v>-0.15670215202942411</v>
      </c>
      <c r="D61" s="123">
        <f t="shared" si="37"/>
        <v>-0.10583855032468081</v>
      </c>
      <c r="E61" s="123">
        <f>AVERAGE(B61:D61)</f>
        <v>-0.10858376736186644</v>
      </c>
      <c r="F61" s="123">
        <f t="shared" ref="F61:I61" si="38">AVERAGE(C61:E61)</f>
        <v>-0.12370815657199045</v>
      </c>
      <c r="G61" s="123">
        <f t="shared" si="38"/>
        <v>-0.11271015808617924</v>
      </c>
      <c r="H61" s="123">
        <f t="shared" si="38"/>
        <v>-0.11500069400667871</v>
      </c>
      <c r="I61" s="123">
        <f t="shared" si="38"/>
        <v>-0.11713966955494948</v>
      </c>
    </row>
    <row r="62" spans="1:9">
      <c r="A62" t="s">
        <v>277</v>
      </c>
      <c r="B62" s="24">
        <v>-329</v>
      </c>
      <c r="C62" s="24">
        <v>-396</v>
      </c>
      <c r="D62" s="24">
        <v>-422</v>
      </c>
      <c r="E62" s="24">
        <v>-529</v>
      </c>
      <c r="F62" s="24">
        <v>-654</v>
      </c>
      <c r="G62" s="24">
        <f>G63*G7</f>
        <v>-496.01502628682948</v>
      </c>
      <c r="H62" s="24">
        <f t="shared" ref="H62:I62" si="39">H63*H7</f>
        <v>-526.61308830401185</v>
      </c>
      <c r="I62" s="24">
        <f t="shared" si="39"/>
        <v>-549.27456615729716</v>
      </c>
    </row>
    <row r="63" spans="1:9">
      <c r="A63" s="142" t="s">
        <v>278</v>
      </c>
      <c r="B63" s="123">
        <f>B62/D7</f>
        <v>-1.1829514966815509E-2</v>
      </c>
      <c r="C63" s="123">
        <f t="shared" ref="C63:F63" si="40">C62/E7</f>
        <v>-1.2599807554041003E-2</v>
      </c>
      <c r="D63" s="123">
        <f t="shared" si="40"/>
        <v>-1.2406630065837585E-2</v>
      </c>
      <c r="E63" s="123">
        <f t="shared" si="40"/>
        <v>-1.4796830301304098E-2</v>
      </c>
      <c r="F63" s="123">
        <f t="shared" si="40"/>
        <v>-1.7738201713732485E-2</v>
      </c>
      <c r="G63" s="123">
        <f>AVERAGE(B63:F63)</f>
        <v>-1.3874196920346138E-2</v>
      </c>
      <c r="H63" s="123">
        <f t="shared" ref="H63:I63" si="41">AVERAGE(C63:G63)</f>
        <v>-1.4283133311052262E-2</v>
      </c>
      <c r="I63" s="123">
        <f t="shared" si="41"/>
        <v>-1.4619798462454514E-2</v>
      </c>
    </row>
    <row r="64" spans="1:9">
      <c r="A64" s="5" t="s">
        <v>274</v>
      </c>
      <c r="B64" s="128">
        <f>B56+B57+B58+B59+B60+B62</f>
        <v>11361.985787558651</v>
      </c>
      <c r="C64" s="128">
        <f t="shared" ref="C64:I64" si="42">C56+C57+C58+C59+C60+C62</f>
        <v>9942.2279195289975</v>
      </c>
      <c r="D64" s="128">
        <f t="shared" si="42"/>
        <v>13493.677535223233</v>
      </c>
      <c r="E64" s="128">
        <f t="shared" si="42"/>
        <v>15657.944061018559</v>
      </c>
      <c r="F64" s="128">
        <f t="shared" si="42"/>
        <v>17192.935271902985</v>
      </c>
      <c r="G64" s="128">
        <f t="shared" si="42"/>
        <v>19729.925058449309</v>
      </c>
      <c r="H64" s="128">
        <f t="shared" si="42"/>
        <v>21028.891754255954</v>
      </c>
      <c r="I64" s="128">
        <f t="shared" si="42"/>
        <v>22157.578677152887</v>
      </c>
    </row>
    <row r="65" spans="1:19" outlineLevel="1">
      <c r="A65" s="142" t="s">
        <v>131</v>
      </c>
      <c r="B65">
        <f>1/(1+$B$67)^B66</f>
        <v>0.9009009009009008</v>
      </c>
      <c r="C65">
        <f t="shared" ref="C65:I65" si="43">1/(1+$B$67)^C66</f>
        <v>0.8116224332440547</v>
      </c>
      <c r="D65">
        <f t="shared" si="43"/>
        <v>0.73119138130095018</v>
      </c>
      <c r="E65">
        <f t="shared" si="43"/>
        <v>0.65873097414500015</v>
      </c>
      <c r="F65">
        <f t="shared" si="43"/>
        <v>0.5934513280585586</v>
      </c>
      <c r="G65">
        <f t="shared" si="43"/>
        <v>0.53464083608879154</v>
      </c>
      <c r="H65">
        <f t="shared" si="43"/>
        <v>0.48165841089080319</v>
      </c>
      <c r="I65">
        <f t="shared" si="43"/>
        <v>0.43392649629802077</v>
      </c>
    </row>
    <row r="66" spans="1:19" outlineLevel="1">
      <c r="A66" s="142" t="s">
        <v>279</v>
      </c>
      <c r="B66">
        <v>1</v>
      </c>
      <c r="C66">
        <v>2</v>
      </c>
      <c r="D66">
        <v>3</v>
      </c>
      <c r="E66">
        <v>4</v>
      </c>
      <c r="F66">
        <v>5</v>
      </c>
      <c r="G66">
        <v>6</v>
      </c>
      <c r="H66">
        <v>7</v>
      </c>
      <c r="I66">
        <v>8</v>
      </c>
    </row>
    <row r="67" spans="1:19">
      <c r="A67" s="5" t="s">
        <v>130</v>
      </c>
      <c r="B67" s="123">
        <v>0.11</v>
      </c>
    </row>
    <row r="69" spans="1:19">
      <c r="A69" s="5" t="s">
        <v>288</v>
      </c>
      <c r="B69" s="122">
        <f>SUMPRODUCT(B64:I64,B65:I65)</f>
        <v>78981.288874710604</v>
      </c>
    </row>
    <row r="70" spans="1:19">
      <c r="A70" s="5" t="s">
        <v>289</v>
      </c>
      <c r="B70" s="125">
        <f>K75*(K11)/(1+B67)^7+((K22+K28)*(1+K77))/(B67-0.025)/(1+B67)^7</f>
        <v>158339.67425022621</v>
      </c>
    </row>
    <row r="71" spans="1:19">
      <c r="A71" s="5" t="s">
        <v>280</v>
      </c>
      <c r="B71" s="125">
        <f>B70/(1+B67)^7</f>
        <v>76265.635880331378</v>
      </c>
      <c r="J71" s="211" t="s">
        <v>336</v>
      </c>
      <c r="K71" s="211"/>
    </row>
    <row r="72" spans="1:19">
      <c r="J72" t="s">
        <v>333</v>
      </c>
      <c r="K72" s="185">
        <f>33.5/2.934</f>
        <v>11.417859577368779</v>
      </c>
    </row>
    <row r="73" spans="1:19">
      <c r="A73" s="182" t="s">
        <v>241</v>
      </c>
      <c r="B73" s="125">
        <f>B71+B69</f>
        <v>155246.92475504198</v>
      </c>
      <c r="J73" t="s">
        <v>334</v>
      </c>
      <c r="K73" s="185">
        <f>159/8.3</f>
        <v>19.156626506024093</v>
      </c>
    </row>
    <row r="74" spans="1:19">
      <c r="A74" s="182" t="s">
        <v>282</v>
      </c>
      <c r="B74" s="186">
        <f>(6438+932)</f>
        <v>7370</v>
      </c>
      <c r="J74" t="s">
        <v>335</v>
      </c>
      <c r="K74" s="185">
        <f>5.1/0.6</f>
        <v>8.5</v>
      </c>
    </row>
    <row r="75" spans="1:19">
      <c r="A75" s="182" t="s">
        <v>283</v>
      </c>
      <c r="B75" s="186">
        <v>-9578</v>
      </c>
      <c r="J75" s="5" t="s">
        <v>319</v>
      </c>
      <c r="K75" s="185">
        <f>0.5*AVERAGE(K72:K73)+0.5*K74</f>
        <v>11.893621520848217</v>
      </c>
    </row>
    <row r="76" spans="1:19">
      <c r="A76" s="182" t="s">
        <v>284</v>
      </c>
      <c r="B76" s="186">
        <v>-918</v>
      </c>
    </row>
    <row r="77" spans="1:19">
      <c r="A77" s="182"/>
      <c r="B77" s="186"/>
      <c r="J77" s="5" t="s">
        <v>337</v>
      </c>
      <c r="K77" s="123">
        <v>2.5000000000000001E-2</v>
      </c>
    </row>
    <row r="78" spans="1:19">
      <c r="A78" s="5" t="s">
        <v>281</v>
      </c>
      <c r="B78" s="125">
        <f>SUM(B73:B76)</f>
        <v>152120.92475504198</v>
      </c>
    </row>
    <row r="79" spans="1:19">
      <c r="A79" s="5" t="s">
        <v>285</v>
      </c>
      <c r="B79" s="125">
        <f>B78/B36</f>
        <v>70.753293229056112</v>
      </c>
      <c r="R79" s="5" t="s">
        <v>340</v>
      </c>
      <c r="S79">
        <v>-0.22063894856465549</v>
      </c>
    </row>
    <row r="80" spans="1:19">
      <c r="A80" s="5" t="s">
        <v>286</v>
      </c>
      <c r="B80" s="113">
        <v>92.12</v>
      </c>
      <c r="R80" s="5" t="s">
        <v>339</v>
      </c>
      <c r="S80">
        <v>-0.23194427671454509</v>
      </c>
    </row>
    <row r="81" spans="1:19">
      <c r="A81" s="190" t="s">
        <v>287</v>
      </c>
      <c r="B81" s="196">
        <f>B79/B80-1</f>
        <v>-0.23194427671454509</v>
      </c>
      <c r="R81" s="5" t="s">
        <v>341</v>
      </c>
      <c r="S81">
        <v>-0.24324960486443459</v>
      </c>
    </row>
  </sheetData>
  <mergeCells count="4">
    <mergeCell ref="A2:K2"/>
    <mergeCell ref="A13:K13"/>
    <mergeCell ref="A24:K24"/>
    <mergeCell ref="J71:K71"/>
  </mergeCells>
  <dataValidations count="1">
    <dataValidation type="list" allowBlank="1" showInputMessage="1" showErrorMessage="1" sqref="B1" xr:uid="{30AC77A2-851B-6046-B724-6D8F22A1049E}">
      <formula1>"Bull,Base,Bear"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6"/>
  <sheetViews>
    <sheetView workbookViewId="0">
      <selection activeCell="A4" sqref="A4"/>
    </sheetView>
  </sheetViews>
  <sheetFormatPr baseColWidth="10" defaultColWidth="8.83203125" defaultRowHeight="15"/>
  <cols>
    <col min="1" max="1" width="25.6640625" customWidth="1"/>
    <col min="2" max="2" width="21" customWidth="1"/>
    <col min="7" max="7" width="15.33203125" customWidth="1"/>
    <col min="8" max="8" width="12.5" customWidth="1"/>
    <col min="9" max="9" width="13.33203125" customWidth="1"/>
    <col min="10" max="10" width="12.83203125" customWidth="1"/>
    <col min="11" max="11" width="15.83203125" customWidth="1"/>
    <col min="12" max="12" width="14.33203125" customWidth="1"/>
  </cols>
  <sheetData>
    <row r="1" spans="1:12" ht="19">
      <c r="A1" s="3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">
      <c r="A2" s="3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4" t="s">
        <v>95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1" t="s">
        <v>96</v>
      </c>
    </row>
    <row r="6" spans="1:12">
      <c r="A6" s="2" t="s">
        <v>97</v>
      </c>
      <c r="B6" s="1"/>
      <c r="D6" s="2" t="s">
        <v>98</v>
      </c>
      <c r="E6" s="2"/>
      <c r="F6" s="2"/>
      <c r="G6" s="2"/>
      <c r="H6" s="2"/>
      <c r="I6" s="2"/>
      <c r="J6" s="2"/>
      <c r="K6" s="2"/>
      <c r="L6" s="2"/>
    </row>
    <row r="7" spans="1:12">
      <c r="A7" s="13" t="s">
        <v>99</v>
      </c>
      <c r="D7" s="5"/>
      <c r="E7" s="5"/>
      <c r="F7" s="5"/>
      <c r="G7" s="6" t="s">
        <v>100</v>
      </c>
      <c r="H7" s="6" t="s">
        <v>101</v>
      </c>
      <c r="I7" s="6" t="s">
        <v>101</v>
      </c>
      <c r="J7" s="6" t="s">
        <v>102</v>
      </c>
      <c r="K7" s="6" t="s">
        <v>103</v>
      </c>
      <c r="L7" s="6" t="s">
        <v>104</v>
      </c>
    </row>
    <row r="8" spans="1:12" ht="16" thickBot="1">
      <c r="A8" t="s">
        <v>105</v>
      </c>
      <c r="B8" s="18" t="e">
        <f>#REF!/(#REF!+#REF!)</f>
        <v>#REF!</v>
      </c>
      <c r="D8" s="15" t="s">
        <v>106</v>
      </c>
      <c r="E8" s="15"/>
      <c r="F8" s="15"/>
      <c r="G8" s="16" t="s">
        <v>107</v>
      </c>
      <c r="H8" s="16" t="s">
        <v>108</v>
      </c>
      <c r="I8" s="16" t="s">
        <v>109</v>
      </c>
      <c r="J8" s="16" t="s">
        <v>110</v>
      </c>
      <c r="K8" s="16" t="s">
        <v>111</v>
      </c>
      <c r="L8" s="16" t="s">
        <v>112</v>
      </c>
    </row>
    <row r="9" spans="1:12">
      <c r="A9" t="s">
        <v>113</v>
      </c>
      <c r="B9" s="7" t="e">
        <f>1-B8</f>
        <v>#REF!</v>
      </c>
      <c r="D9" t="s">
        <v>114</v>
      </c>
    </row>
    <row r="10" spans="1:12">
      <c r="D10" t="s">
        <v>115</v>
      </c>
    </row>
    <row r="12" spans="1:12">
      <c r="A12" s="13" t="s">
        <v>116</v>
      </c>
    </row>
    <row r="13" spans="1:12">
      <c r="A13" t="s">
        <v>116</v>
      </c>
      <c r="D13" s="5" t="s">
        <v>117</v>
      </c>
    </row>
    <row r="14" spans="1:12">
      <c r="A14" t="s">
        <v>111</v>
      </c>
      <c r="D14" s="5" t="s">
        <v>118</v>
      </c>
      <c r="H14" s="9"/>
    </row>
    <row r="15" spans="1:12">
      <c r="A15" s="12" t="s">
        <v>119</v>
      </c>
    </row>
    <row r="18" spans="1:1">
      <c r="A18" s="13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s="12" t="s">
        <v>120</v>
      </c>
    </row>
    <row r="33" spans="1:1">
      <c r="A33" s="19" t="s">
        <v>125</v>
      </c>
    </row>
    <row r="34" spans="1:1">
      <c r="A34" s="20" t="s">
        <v>126</v>
      </c>
    </row>
    <row r="35" spans="1:1">
      <c r="A35" s="19" t="s">
        <v>127</v>
      </c>
    </row>
    <row r="36" spans="1:1">
      <c r="A36" s="19" t="s">
        <v>128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7BF43044B954CA11780DDC625A8AE" ma:contentTypeVersion="6" ma:contentTypeDescription="Create a new document." ma:contentTypeScope="" ma:versionID="9b9db679371ab8baa8913c99b1283d8f">
  <xsd:schema xmlns:xsd="http://www.w3.org/2001/XMLSchema" xmlns:xs="http://www.w3.org/2001/XMLSchema" xmlns:p="http://schemas.microsoft.com/office/2006/metadata/properties" xmlns:ns2="81c8c249-7fee-4450-8e3c-913d0bdd37e6" xmlns:ns3="23bea335-b6c3-4455-9925-809bac26bc5a" targetNamespace="http://schemas.microsoft.com/office/2006/metadata/properties" ma:root="true" ma:fieldsID="0b97b123540ce40ba9180c8625a98203" ns2:_="" ns3:_="">
    <xsd:import namespace="81c8c249-7fee-4450-8e3c-913d0bdd37e6"/>
    <xsd:import namespace="23bea335-b6c3-4455-9925-809bac26bc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c249-7fee-4450-8e3c-913d0bdd3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ea335-b6c3-4455-9925-809bac26bc5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EB868-1147-43BD-BADB-DBA3DD4E5F55}">
  <ds:schemaRefs>
    <ds:schemaRef ds:uri="http://purl.org/dc/terms/"/>
    <ds:schemaRef ds:uri="http://schemas.microsoft.com/office/2006/documentManagement/types"/>
    <ds:schemaRef ds:uri="http://www.w3.org/XML/1998/namespace"/>
    <ds:schemaRef ds:uri="23bea335-b6c3-4455-9925-809bac26bc5a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81c8c249-7fee-4450-8e3c-913d0bdd37e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7080F38-B1A7-44B7-8E4E-A81247C9B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389A65-283A-4E95-8A00-1F8E674DB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8c249-7fee-4450-8e3c-913d0bdd37e6"/>
    <ds:schemaRef ds:uri="23bea335-b6c3-4455-9925-809bac26bc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a5a7f39-e3be-4ab3-b450-67fa80faecad}" enabled="0" method="" siteId="{ba5a7f39-e3be-4ab3-b450-67fa80faec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3-Stmt Model Data Worksheet</vt:lpstr>
      <vt:lpstr>3-SM Forecasting Template Blank</vt:lpstr>
      <vt:lpstr>Segment Level Info &amp; Unit Eco</vt:lpstr>
      <vt:lpstr>Segment Projection</vt:lpstr>
      <vt:lpstr>MODEL</vt:lpstr>
      <vt:lpstr>WACC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tpstemp</dc:creator>
  <cp:keywords/>
  <dc:description/>
  <cp:lastModifiedBy>Sonad, Daniel</cp:lastModifiedBy>
  <cp:revision/>
  <dcterms:created xsi:type="dcterms:W3CDTF">2015-02-08T16:10:52Z</dcterms:created>
  <dcterms:modified xsi:type="dcterms:W3CDTF">2025-11-14T01:10:47Z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0x010100A967BF43044B954CA11780DDC625A8AE</vt:lpwstr>
  </property>
</Properties>
</file>