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omments8.xml" ContentType="application/vnd.openxmlformats-officedocument.spreadsheetml.comments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dans/Documents/"/>
    </mc:Choice>
  </mc:AlternateContent>
  <xr:revisionPtr revIDLastSave="0" documentId="13_ncr:1_{55D45EE0-460D-3849-AAEE-546EC0E30A30}" xr6:coauthVersionLast="47" xr6:coauthVersionMax="47" xr10:uidLastSave="{00000000-0000-0000-0000-000000000000}"/>
  <bookViews>
    <workbookView xWindow="0" yWindow="760" windowWidth="23620" windowHeight="21580" firstSheet="5" activeTab="12" xr2:uid="{00000000-000D-0000-FFFF-FFFF00000000}"/>
  </bookViews>
  <sheets>
    <sheet name="Cover Page" sheetId="6" r:id="rId1"/>
    <sheet name="SUMMARY" sheetId="20" r:id="rId2"/>
    <sheet name="Assumption Builds" sheetId="21" r:id="rId3"/>
    <sheet name="Seg Rev Build--Source Data" sheetId="7" r:id="rId4"/>
    <sheet name="Useful Life &amp; SG&amp;A Build" sheetId="5" r:id="rId5"/>
    <sheet name="Forecasts" sheetId="22" r:id="rId6"/>
    <sheet name="Segment Revenue Hist &amp; Forecast" sheetId="13" r:id="rId7"/>
    <sheet name="Three Statement Model" sheetId="2" r:id="rId8"/>
    <sheet name="WACC" sheetId="14" r:id="rId9"/>
    <sheet name="Valuation" sheetId="23" r:id="rId10"/>
    <sheet name="DCF Valuation &amp; Sensitivity" sheetId="8" r:id="rId11"/>
    <sheet name="Comparables" sheetId="10" r:id="rId12"/>
    <sheet name="LBO" sheetId="17" r:id="rId13"/>
    <sheet name="Key Fin vs Street &amp; EV Bridge" sheetId="24" r:id="rId14"/>
    <sheet name="Share Price Projection" sheetId="15" r:id="rId15"/>
    <sheet name="FB Field &amp; Price Projection" sheetId="11" r:id="rId16"/>
  </sheets>
  <definedNames>
    <definedName name="_xlnm._FilterDatabase" localSheetId="11" hidden="1">Comparables!$W$3:$Y$10</definedName>
    <definedName name="_xlnm._FilterDatabase" localSheetId="4" hidden="1">'Useful Life &amp; SG&amp;A Build'!$A$23:$E$107</definedName>
    <definedName name="CIQWBGuid" hidden="1">"a96e7757-821a-4b98-839e-d6105e83debd"</definedName>
    <definedName name="CIQWBInfo" hidden="1">"{ ""CIQVersion"":""9.52.4409.4666"" }"</definedName>
    <definedName name="Circ" localSheetId="12">LBO!$I$12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45950.7153009259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solver_adj" localSheetId="12" hidden="1">LBO!$D$67</definedName>
    <definedName name="solver_adj" localSheetId="7" hidden="1">'Three Statement Model'!#REF!</definedName>
    <definedName name="solver_adj" localSheetId="4" hidden="1">'Useful Life &amp; SG&amp;A Build'!$B$10:$B$12</definedName>
    <definedName name="solver_cvg" localSheetId="7" hidden="1">0.0001</definedName>
    <definedName name="solver_cvg" localSheetId="4" hidden="1">0.0001</definedName>
    <definedName name="solver_drv" localSheetId="7" hidden="1">1</definedName>
    <definedName name="solver_drv" localSheetId="4" hidden="1">1</definedName>
    <definedName name="solver_eng" localSheetId="12" hidden="1">1</definedName>
    <definedName name="solver_eng" localSheetId="7" hidden="1">1</definedName>
    <definedName name="solver_eng" localSheetId="4" hidden="1">1</definedName>
    <definedName name="solver_itr" localSheetId="7" hidden="1">2147483647</definedName>
    <definedName name="solver_itr" localSheetId="4" hidden="1">2147483647</definedName>
    <definedName name="solver_lhs1" localSheetId="7" hidden="1">'Three Statement Model'!#REF!</definedName>
    <definedName name="solver_lhs1" localSheetId="4" hidden="1">'Useful Life &amp; SG&amp;A Build'!$B$10</definedName>
    <definedName name="solver_lhs2" localSheetId="7" hidden="1">'Three Statement Model'!#REF!</definedName>
    <definedName name="solver_lhs2" localSheetId="4" hidden="1">'Useful Life &amp; SG&amp;A Build'!$B$10</definedName>
    <definedName name="solver_lhs3" localSheetId="7" hidden="1">'Three Statement Model'!#REF!</definedName>
    <definedName name="solver_lhs3" localSheetId="4" hidden="1">'Useful Life &amp; SG&amp;A Build'!$B$11</definedName>
    <definedName name="solver_lhs4" localSheetId="7" hidden="1">'Three Statement Model'!#REF!</definedName>
    <definedName name="solver_lhs4" localSheetId="4" hidden="1">'Useful Life &amp; SG&amp;A Build'!$B$11</definedName>
    <definedName name="solver_lhs5" localSheetId="7" hidden="1">'Three Statement Model'!#REF!</definedName>
    <definedName name="solver_lhs5" localSheetId="4" hidden="1">'Useful Life &amp; SG&amp;A Build'!$B$12</definedName>
    <definedName name="solver_lhs6" localSheetId="7" hidden="1">'Three Statement Model'!#REF!</definedName>
    <definedName name="solver_lhs6" localSheetId="4" hidden="1">'Useful Life &amp; SG&amp;A Build'!$B$12</definedName>
    <definedName name="solver_lin" localSheetId="12" hidden="1">2</definedName>
    <definedName name="solver_lin" localSheetId="7" hidden="1">2</definedName>
    <definedName name="solver_lin" localSheetId="4" hidden="1">2</definedName>
    <definedName name="solver_mip" localSheetId="7" hidden="1">2147483647</definedName>
    <definedName name="solver_mip" localSheetId="4" hidden="1">2147483647</definedName>
    <definedName name="solver_mni" localSheetId="7" hidden="1">30</definedName>
    <definedName name="solver_mni" localSheetId="4" hidden="1">30</definedName>
    <definedName name="solver_mrt" localSheetId="7" hidden="1">0.075</definedName>
    <definedName name="solver_mrt" localSheetId="4" hidden="1">0.075</definedName>
    <definedName name="solver_msl" localSheetId="7" hidden="1">2</definedName>
    <definedName name="solver_msl" localSheetId="4" hidden="1">2</definedName>
    <definedName name="solver_neg" localSheetId="12" hidden="1">1</definedName>
    <definedName name="solver_neg" localSheetId="7" hidden="1">1</definedName>
    <definedName name="solver_neg" localSheetId="4" hidden="1">1</definedName>
    <definedName name="solver_nod" localSheetId="7" hidden="1">2147483647</definedName>
    <definedName name="solver_nod" localSheetId="4" hidden="1">2147483647</definedName>
    <definedName name="solver_num" localSheetId="12" hidden="1">0</definedName>
    <definedName name="solver_num" localSheetId="7" hidden="1">1</definedName>
    <definedName name="solver_num" localSheetId="4" hidden="1">6</definedName>
    <definedName name="solver_opt" localSheetId="12" hidden="1">LBO!$I$77</definedName>
    <definedName name="solver_opt" localSheetId="7" hidden="1">'Three Statement Model'!#REF!</definedName>
    <definedName name="solver_opt" localSheetId="4" hidden="1">'Useful Life &amp; SG&amp;A Build'!$B$20</definedName>
    <definedName name="solver_pre" localSheetId="7" hidden="1">0.000001</definedName>
    <definedName name="solver_pre" localSheetId="4" hidden="1">0.000001</definedName>
    <definedName name="solver_rbv" localSheetId="7" hidden="1">1</definedName>
    <definedName name="solver_rbv" localSheetId="4" hidden="1">1</definedName>
    <definedName name="solver_rel1" localSheetId="7" hidden="1">2</definedName>
    <definedName name="solver_rel1" localSheetId="4" hidden="1">1</definedName>
    <definedName name="solver_rel2" localSheetId="7" hidden="1">3</definedName>
    <definedName name="solver_rel2" localSheetId="4" hidden="1">3</definedName>
    <definedName name="solver_rel3" localSheetId="7" hidden="1">2</definedName>
    <definedName name="solver_rel3" localSheetId="4" hidden="1">1</definedName>
    <definedName name="solver_rel4" localSheetId="7" hidden="1">2</definedName>
    <definedName name="solver_rel4" localSheetId="4" hidden="1">3</definedName>
    <definedName name="solver_rel5" localSheetId="7" hidden="1">3</definedName>
    <definedName name="solver_rel5" localSheetId="4" hidden="1">1</definedName>
    <definedName name="solver_rel6" localSheetId="7" hidden="1">2</definedName>
    <definedName name="solver_rel6" localSheetId="4" hidden="1">3</definedName>
    <definedName name="solver_rhs1" localSheetId="7" hidden="1">1</definedName>
    <definedName name="solver_rhs1" localSheetId="4" hidden="1">35</definedName>
    <definedName name="solver_rhs2" localSheetId="7" hidden="1">0.01</definedName>
    <definedName name="solver_rhs2" localSheetId="4" hidden="1">5</definedName>
    <definedName name="solver_rhs3" localSheetId="7" hidden="1">1</definedName>
    <definedName name="solver_rhs3" localSheetId="4" hidden="1">35</definedName>
    <definedName name="solver_rhs4" localSheetId="7" hidden="1">1</definedName>
    <definedName name="solver_rhs4" localSheetId="4" hidden="1">5</definedName>
    <definedName name="solver_rhs5" localSheetId="7" hidden="1">0.01</definedName>
    <definedName name="solver_rhs5" localSheetId="4" hidden="1">15</definedName>
    <definedName name="solver_rhs6" localSheetId="7" hidden="1">1</definedName>
    <definedName name="solver_rhs6" localSheetId="4" hidden="1">2</definedName>
    <definedName name="solver_rlx" localSheetId="7" hidden="1">1</definedName>
    <definedName name="solver_rlx" localSheetId="4" hidden="1">2</definedName>
    <definedName name="solver_rsd" localSheetId="7" hidden="1">0</definedName>
    <definedName name="solver_rsd" localSheetId="4" hidden="1">0</definedName>
    <definedName name="solver_scl" localSheetId="7" hidden="1">2</definedName>
    <definedName name="solver_scl" localSheetId="4" hidden="1">1</definedName>
    <definedName name="solver_sho" localSheetId="7" hidden="1">2</definedName>
    <definedName name="solver_sho" localSheetId="4" hidden="1">2</definedName>
    <definedName name="solver_ssz" localSheetId="7" hidden="1">100</definedName>
    <definedName name="solver_ssz" localSheetId="4" hidden="1">100</definedName>
    <definedName name="solver_tim" localSheetId="7" hidden="1">2147483647</definedName>
    <definedName name="solver_tim" localSheetId="4" hidden="1">2147483647</definedName>
    <definedName name="solver_tol" localSheetId="7" hidden="1">0.01</definedName>
    <definedName name="solver_tol" localSheetId="4" hidden="1">0.01</definedName>
    <definedName name="solver_typ" localSheetId="12" hidden="1">3</definedName>
    <definedName name="solver_typ" localSheetId="7" hidden="1">2</definedName>
    <definedName name="solver_typ" localSheetId="4" hidden="1">2</definedName>
    <definedName name="solver_val" localSheetId="12" hidden="1">0.25</definedName>
    <definedName name="solver_val" localSheetId="7" hidden="1">0</definedName>
    <definedName name="solver_val" localSheetId="4" hidden="1">0</definedName>
    <definedName name="solver_ver" localSheetId="12" hidden="1">2</definedName>
    <definedName name="solver_ver" localSheetId="7" hidden="1">2</definedName>
    <definedName name="solver_ver" localSheetId="4" hidden="1">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20" l="1"/>
  <c r="E34" i="20"/>
  <c r="N6" i="17"/>
  <c r="N7" i="17"/>
  <c r="N8" i="17"/>
  <c r="E23" i="20"/>
  <c r="E22" i="20"/>
  <c r="M64" i="2"/>
  <c r="J10" i="10"/>
  <c r="M9" i="10"/>
  <c r="M8" i="10"/>
  <c r="M7" i="10"/>
  <c r="M6" i="10"/>
  <c r="M5" i="10"/>
  <c r="M10" i="10"/>
  <c r="M4" i="10"/>
  <c r="N10" i="10"/>
  <c r="O10" i="10"/>
  <c r="O9" i="10"/>
  <c r="O8" i="10"/>
  <c r="O7" i="10"/>
  <c r="O6" i="10"/>
  <c r="O5" i="10"/>
  <c r="O4" i="10"/>
  <c r="N9" i="10"/>
  <c r="N8" i="10"/>
  <c r="N7" i="10"/>
  <c r="N6" i="10"/>
  <c r="N5" i="10"/>
  <c r="N4" i="10"/>
  <c r="B90" i="20"/>
  <c r="B87" i="20"/>
  <c r="B84" i="20"/>
  <c r="O16" i="10" l="1"/>
  <c r="N14" i="10"/>
  <c r="M13" i="10"/>
  <c r="M16" i="10"/>
  <c r="M14" i="10"/>
  <c r="M12" i="10"/>
  <c r="M17" i="10"/>
  <c r="M15" i="10"/>
  <c r="O12" i="10"/>
  <c r="N13" i="10"/>
  <c r="N16" i="10"/>
  <c r="N15" i="10"/>
  <c r="O15" i="10"/>
  <c r="O13" i="10"/>
  <c r="O17" i="10"/>
  <c r="O14" i="10"/>
  <c r="N17" i="10"/>
  <c r="N12" i="10"/>
  <c r="F10" i="10"/>
  <c r="A2" i="15"/>
  <c r="M191" i="2" l="1"/>
  <c r="M190" i="2"/>
  <c r="M192" i="2"/>
  <c r="M193" i="2"/>
  <c r="M194" i="2"/>
  <c r="M195" i="2"/>
  <c r="C70" i="8"/>
  <c r="D70" i="8"/>
  <c r="E70" i="8"/>
  <c r="F70" i="8"/>
  <c r="G70" i="8"/>
  <c r="H70" i="8"/>
  <c r="H86" i="8" s="1"/>
  <c r="I70" i="8"/>
  <c r="I86" i="8" s="1"/>
  <c r="J70" i="8"/>
  <c r="J86" i="8" s="1"/>
  <c r="K70" i="8"/>
  <c r="K87" i="8" s="1"/>
  <c r="L70" i="8"/>
  <c r="L87" i="8" s="1"/>
  <c r="M70" i="8"/>
  <c r="M87" i="8" s="1"/>
  <c r="B70" i="8"/>
  <c r="G86" i="8"/>
  <c r="C87" i="8"/>
  <c r="D87" i="8"/>
  <c r="E87" i="8"/>
  <c r="F87" i="8"/>
  <c r="G87" i="8"/>
  <c r="H87" i="8"/>
  <c r="I87" i="8"/>
  <c r="J87" i="8"/>
  <c r="F88" i="8"/>
  <c r="G88" i="8"/>
  <c r="H88" i="8"/>
  <c r="I88" i="8"/>
  <c r="J88" i="8"/>
  <c r="K88" i="8"/>
  <c r="L88" i="8"/>
  <c r="M88" i="8"/>
  <c r="G81" i="8"/>
  <c r="H81" i="8"/>
  <c r="I81" i="8"/>
  <c r="J81" i="8"/>
  <c r="K81" i="8"/>
  <c r="L81" i="8"/>
  <c r="M81" i="8"/>
  <c r="G72" i="8"/>
  <c r="H72" i="8"/>
  <c r="I72" i="8"/>
  <c r="J72" i="8"/>
  <c r="K72" i="8"/>
  <c r="L72" i="8"/>
  <c r="M72" i="8"/>
  <c r="G73" i="8"/>
  <c r="H73" i="8"/>
  <c r="I73" i="8"/>
  <c r="J73" i="8"/>
  <c r="K73" i="8"/>
  <c r="L73" i="8"/>
  <c r="M73" i="8"/>
  <c r="G74" i="8"/>
  <c r="H74" i="8"/>
  <c r="I74" i="8"/>
  <c r="J74" i="8"/>
  <c r="K74" i="8"/>
  <c r="L74" i="8"/>
  <c r="M74" i="8"/>
  <c r="C69" i="8"/>
  <c r="D69" i="8" s="1"/>
  <c r="E69" i="8" s="1"/>
  <c r="F69" i="8" s="1"/>
  <c r="L8" i="17"/>
  <c r="M8" i="17" s="1"/>
  <c r="O8" i="17" s="1"/>
  <c r="E6" i="11" s="1"/>
  <c r="F61" i="17"/>
  <c r="G61" i="17"/>
  <c r="E58" i="17"/>
  <c r="E61" i="17"/>
  <c r="F37" i="17"/>
  <c r="B10" i="20"/>
  <c r="G58" i="17"/>
  <c r="H58" i="17"/>
  <c r="I58" i="17"/>
  <c r="F58" i="17"/>
  <c r="F45" i="17"/>
  <c r="P25" i="2"/>
  <c r="O150" i="2"/>
  <c r="O151" i="2"/>
  <c r="M24" i="8" s="1"/>
  <c r="T12" i="13"/>
  <c r="B81" i="7"/>
  <c r="B20" i="20"/>
  <c r="B18" i="7"/>
  <c r="B30" i="20"/>
  <c r="B17" i="20"/>
  <c r="X77" i="8"/>
  <c r="Y77" i="8"/>
  <c r="Z77" i="8"/>
  <c r="AA77" i="8"/>
  <c r="W77" i="8"/>
  <c r="D62" i="8"/>
  <c r="W78" i="8" s="1"/>
  <c r="L3" i="8"/>
  <c r="M3" i="8"/>
  <c r="K3" i="8"/>
  <c r="K7" i="8"/>
  <c r="L7" i="8"/>
  <c r="M7" i="8"/>
  <c r="K10" i="8"/>
  <c r="L10" i="8"/>
  <c r="M10" i="8"/>
  <c r="K17" i="8"/>
  <c r="L17" i="8"/>
  <c r="M17" i="8"/>
  <c r="K22" i="8"/>
  <c r="K16" i="8" s="1"/>
  <c r="L22" i="8"/>
  <c r="L16" i="8" s="1"/>
  <c r="M22" i="8"/>
  <c r="M16" i="8" s="1"/>
  <c r="K23" i="8"/>
  <c r="L23" i="8"/>
  <c r="M23" i="8"/>
  <c r="K24" i="8"/>
  <c r="L24" i="8"/>
  <c r="D24" i="24"/>
  <c r="B18" i="20"/>
  <c r="B37" i="20"/>
  <c r="B35" i="20"/>
  <c r="P8" i="17" l="1"/>
  <c r="K86" i="8"/>
  <c r="M86" i="8"/>
  <c r="L86" i="8"/>
  <c r="B87" i="8"/>
  <c r="L13" i="8"/>
  <c r="K13" i="8"/>
  <c r="Y81" i="8"/>
  <c r="W81" i="8"/>
  <c r="Z80" i="8"/>
  <c r="Y80" i="8"/>
  <c r="AA82" i="8"/>
  <c r="W80" i="8"/>
  <c r="AA79" i="8"/>
  <c r="W79" i="8"/>
  <c r="Z81" i="8"/>
  <c r="X81" i="8"/>
  <c r="AA80" i="8"/>
  <c r="X80" i="8"/>
  <c r="Y82" i="8"/>
  <c r="Z79" i="8"/>
  <c r="AA78" i="8"/>
  <c r="Z78" i="8"/>
  <c r="Y78" i="8"/>
  <c r="X78" i="8"/>
  <c r="Z82" i="8"/>
  <c r="X82" i="8"/>
  <c r="Y79" i="8"/>
  <c r="AA81" i="8"/>
  <c r="W82" i="8"/>
  <c r="X79" i="8"/>
  <c r="M13" i="8"/>
  <c r="B43" i="20"/>
  <c r="D9" i="7"/>
  <c r="B44" i="20" l="1"/>
  <c r="E64" i="2" l="1"/>
  <c r="G18" i="24"/>
  <c r="F18" i="24"/>
  <c r="E18" i="24"/>
  <c r="D28" i="24"/>
  <c r="D27" i="24"/>
  <c r="D25" i="24"/>
  <c r="D26" i="24" s="1"/>
  <c r="T5" i="13"/>
  <c r="U5" i="13" s="1"/>
  <c r="V5" i="13" s="1"/>
  <c r="W5" i="13" s="1"/>
  <c r="X5" i="13" s="1"/>
  <c r="Y5" i="13" s="1"/>
  <c r="B21" i="7"/>
  <c r="B19" i="7" s="1"/>
  <c r="B8" i="20" s="1"/>
  <c r="B15" i="20"/>
  <c r="B16" i="20"/>
  <c r="C10" i="24"/>
  <c r="D10" i="24"/>
  <c r="D7" i="24"/>
  <c r="C7" i="24"/>
  <c r="C8" i="24" s="1"/>
  <c r="R35" i="2"/>
  <c r="Q35" i="2"/>
  <c r="S35" i="2"/>
  <c r="T35" i="2"/>
  <c r="U35" i="2"/>
  <c r="V35" i="2"/>
  <c r="B97" i="20"/>
  <c r="B101" i="20"/>
  <c r="B105" i="20"/>
  <c r="B59" i="20"/>
  <c r="T29" i="2" s="1"/>
  <c r="M19" i="8" s="1"/>
  <c r="M20" i="8" s="1"/>
  <c r="M25" i="8" s="1"/>
  <c r="B58" i="20"/>
  <c r="R29" i="2" s="1"/>
  <c r="K19" i="8" s="1"/>
  <c r="K20" i="8" s="1"/>
  <c r="K25" i="8" s="1"/>
  <c r="P29" i="2"/>
  <c r="P19" i="2"/>
  <c r="C11" i="24" l="1"/>
  <c r="D29" i="24"/>
  <c r="T6" i="13"/>
  <c r="S29" i="2"/>
  <c r="L19" i="8" s="1"/>
  <c r="L20" i="8" s="1"/>
  <c r="L25" i="8" s="1"/>
  <c r="V29" i="2"/>
  <c r="U29" i="2"/>
  <c r="B64" i="7"/>
  <c r="H25" i="2"/>
  <c r="R136" i="2"/>
  <c r="S136" i="2" s="1"/>
  <c r="T136" i="2" s="1"/>
  <c r="U136" i="2" s="1"/>
  <c r="V136" i="2" s="1"/>
  <c r="M35" i="2"/>
  <c r="L35" i="2"/>
  <c r="F35" i="2"/>
  <c r="G35" i="2"/>
  <c r="E35" i="2"/>
  <c r="P77" i="7"/>
  <c r="Q77" i="7"/>
  <c r="O77" i="7"/>
  <c r="K77" i="7"/>
  <c r="L77" i="7"/>
  <c r="M77" i="7"/>
  <c r="J77" i="7"/>
  <c r="P87" i="2"/>
  <c r="Q21" i="2"/>
  <c r="K21" i="2"/>
  <c r="B19" i="5"/>
  <c r="A64" i="5"/>
  <c r="J64" i="5" s="1"/>
  <c r="L63" i="5"/>
  <c r="K63" i="5"/>
  <c r="J63" i="5"/>
  <c r="I63" i="5"/>
  <c r="H63" i="5"/>
  <c r="G63" i="5"/>
  <c r="F63" i="5"/>
  <c r="A62" i="5"/>
  <c r="L62" i="5" s="1"/>
  <c r="L61" i="5"/>
  <c r="K61" i="5"/>
  <c r="J61" i="5"/>
  <c r="I61" i="5"/>
  <c r="H61" i="5"/>
  <c r="G61" i="5"/>
  <c r="F61" i="5"/>
  <c r="E61" i="5"/>
  <c r="D61" i="5"/>
  <c r="A46" i="5"/>
  <c r="K46" i="5" s="1"/>
  <c r="L45" i="5"/>
  <c r="K45" i="5"/>
  <c r="J45" i="5"/>
  <c r="I45" i="5"/>
  <c r="H45" i="5"/>
  <c r="G45" i="5"/>
  <c r="F45" i="5"/>
  <c r="E45" i="5"/>
  <c r="A44" i="5"/>
  <c r="L44" i="5" s="1"/>
  <c r="L43" i="5"/>
  <c r="K43" i="5"/>
  <c r="J43" i="5"/>
  <c r="I43" i="5"/>
  <c r="H43" i="5"/>
  <c r="G43" i="5"/>
  <c r="F43" i="5"/>
  <c r="E43" i="5"/>
  <c r="D43" i="5"/>
  <c r="C43" i="5"/>
  <c r="A28" i="5"/>
  <c r="L27" i="5"/>
  <c r="K27" i="5"/>
  <c r="J27" i="5"/>
  <c r="I27" i="5"/>
  <c r="A26" i="5"/>
  <c r="K26" i="5" s="1"/>
  <c r="L25" i="5"/>
  <c r="K25" i="5"/>
  <c r="J25" i="5"/>
  <c r="I25" i="5"/>
  <c r="H25" i="5"/>
  <c r="G25" i="5"/>
  <c r="M175" i="2"/>
  <c r="L175" i="2"/>
  <c r="L170" i="2"/>
  <c r="O171" i="2"/>
  <c r="O30" i="2" s="1"/>
  <c r="J165" i="2"/>
  <c r="I165" i="2"/>
  <c r="H165" i="2"/>
  <c r="M165" i="2"/>
  <c r="N165" i="2"/>
  <c r="O165" i="2"/>
  <c r="L15" i="2"/>
  <c r="L14" i="2"/>
  <c r="L13" i="2"/>
  <c r="L165" i="2"/>
  <c r="S27" i="2"/>
  <c r="T27" i="2" s="1"/>
  <c r="U27" i="2" s="1"/>
  <c r="V27" i="2" s="1"/>
  <c r="S21" i="2"/>
  <c r="T21" i="2" s="1"/>
  <c r="U21" i="2" s="1"/>
  <c r="V21" i="2" s="1"/>
  <c r="K155" i="2"/>
  <c r="K160" i="2"/>
  <c r="H96" i="2"/>
  <c r="H98" i="2"/>
  <c r="H97" i="2" s="1"/>
  <c r="H23" i="2"/>
  <c r="S89" i="2"/>
  <c r="T89" i="2"/>
  <c r="R89" i="2"/>
  <c r="Q99" i="2"/>
  <c r="S99" i="2" s="1"/>
  <c r="U99" i="2" s="1"/>
  <c r="E98" i="2"/>
  <c r="E97" i="2" s="1"/>
  <c r="F98" i="2"/>
  <c r="F97" i="2" s="1"/>
  <c r="G98" i="2"/>
  <c r="G97" i="2" s="1"/>
  <c r="D98" i="2"/>
  <c r="D97" i="2" s="1"/>
  <c r="O137" i="2"/>
  <c r="Q91" i="2"/>
  <c r="P91" i="2" s="1"/>
  <c r="H24" i="2"/>
  <c r="I36" i="2"/>
  <c r="J36" i="2" s="1"/>
  <c r="K36" i="2" s="1"/>
  <c r="M36" i="2" s="1"/>
  <c r="N36" i="2" s="1"/>
  <c r="O36" i="2" s="1"/>
  <c r="P36" i="2" s="1"/>
  <c r="Q93" i="2"/>
  <c r="S93" i="2" s="1"/>
  <c r="U93" i="2" s="1"/>
  <c r="Q92" i="2"/>
  <c r="S92" i="2" s="1"/>
  <c r="U92" i="2" s="1"/>
  <c r="Q88" i="2"/>
  <c r="S88" i="2" s="1"/>
  <c r="U88" i="2" s="1"/>
  <c r="Q86" i="2"/>
  <c r="P86" i="2" s="1"/>
  <c r="Q85" i="2"/>
  <c r="R85" i="2" s="1"/>
  <c r="S85" i="2" s="1"/>
  <c r="T85" i="2" s="1"/>
  <c r="U85" i="2" s="1"/>
  <c r="V85" i="2" s="1"/>
  <c r="Q83" i="2"/>
  <c r="S83" i="2" s="1"/>
  <c r="U83" i="2" s="1"/>
  <c r="Q78" i="2"/>
  <c r="S78" i="2" s="1"/>
  <c r="U78" i="2" s="1"/>
  <c r="Q77" i="2"/>
  <c r="S77" i="2" s="1"/>
  <c r="U77" i="2" s="1"/>
  <c r="Q76" i="2"/>
  <c r="P76" i="2" s="1"/>
  <c r="R76" i="2" s="1"/>
  <c r="T76" i="2" s="1"/>
  <c r="V76" i="2" s="1"/>
  <c r="Q130" i="2"/>
  <c r="Q128" i="2"/>
  <c r="I135" i="2"/>
  <c r="J135" i="2" s="1"/>
  <c r="K135" i="2" s="1"/>
  <c r="I136" i="2"/>
  <c r="J136" i="2" s="1"/>
  <c r="K136" i="2" s="1"/>
  <c r="I138" i="2"/>
  <c r="J138" i="2" s="1"/>
  <c r="K138" i="2" s="1"/>
  <c r="I131" i="2"/>
  <c r="J131" i="2" s="1"/>
  <c r="K131" i="2" s="1"/>
  <c r="I127" i="2"/>
  <c r="K127" i="2" s="1"/>
  <c r="I123" i="2"/>
  <c r="J123" i="2" s="1"/>
  <c r="K123" i="2" s="1"/>
  <c r="I122" i="2"/>
  <c r="J122" i="2" s="1"/>
  <c r="K122" i="2" s="1"/>
  <c r="I121" i="2"/>
  <c r="J121" i="2" s="1"/>
  <c r="K121" i="2" s="1"/>
  <c r="I120" i="2"/>
  <c r="I119" i="2"/>
  <c r="J119" i="2" s="1"/>
  <c r="I118" i="2"/>
  <c r="I116" i="2"/>
  <c r="J116" i="2" s="1"/>
  <c r="K116" i="2" s="1"/>
  <c r="I115" i="2"/>
  <c r="J115" i="2" s="1"/>
  <c r="I114" i="2"/>
  <c r="J114" i="2" s="1"/>
  <c r="K114" i="2" s="1"/>
  <c r="I113" i="2"/>
  <c r="J113" i="2" s="1"/>
  <c r="O112" i="2"/>
  <c r="Q73" i="2"/>
  <c r="R73" i="2" s="1"/>
  <c r="S73" i="2" s="1"/>
  <c r="T73" i="2" s="1"/>
  <c r="U73" i="2" s="1"/>
  <c r="V73" i="2" s="1"/>
  <c r="N138" i="2"/>
  <c r="O138" i="2" s="1"/>
  <c r="N136" i="2"/>
  <c r="N135" i="2"/>
  <c r="O135" i="2" s="1"/>
  <c r="N131" i="2"/>
  <c r="O131" i="2" s="1"/>
  <c r="N129" i="2"/>
  <c r="O129" i="2" s="1"/>
  <c r="Q129" i="2" s="1"/>
  <c r="N127" i="2"/>
  <c r="O127" i="2" s="1"/>
  <c r="N123" i="2"/>
  <c r="O123" i="2" s="1"/>
  <c r="N122" i="2"/>
  <c r="O122" i="2" s="1"/>
  <c r="N121" i="2"/>
  <c r="O121" i="2" s="1"/>
  <c r="N120" i="2"/>
  <c r="O120" i="2" s="1"/>
  <c r="N119" i="2"/>
  <c r="O119" i="2" s="1"/>
  <c r="N118" i="2"/>
  <c r="O118" i="2" s="1"/>
  <c r="N116" i="2"/>
  <c r="O116" i="2" s="1"/>
  <c r="N115" i="2"/>
  <c r="O115" i="2" s="1"/>
  <c r="Q115" i="2" s="1"/>
  <c r="N114" i="2"/>
  <c r="N113" i="2"/>
  <c r="O113" i="2" s="1"/>
  <c r="N112" i="2"/>
  <c r="J137" i="2"/>
  <c r="K137" i="2" s="1"/>
  <c r="J112" i="2"/>
  <c r="I112" i="2"/>
  <c r="H112" i="2"/>
  <c r="J111" i="2"/>
  <c r="I111" i="2"/>
  <c r="H111" i="2"/>
  <c r="H110" i="2"/>
  <c r="M110" i="2"/>
  <c r="K130" i="2"/>
  <c r="K129" i="2"/>
  <c r="K128" i="2"/>
  <c r="O96" i="2"/>
  <c r="Q96" i="2" s="1"/>
  <c r="E25" i="20"/>
  <c r="K99" i="2"/>
  <c r="K96" i="2"/>
  <c r="K93" i="2"/>
  <c r="K92" i="2"/>
  <c r="K91" i="2"/>
  <c r="K89" i="2"/>
  <c r="K88" i="2"/>
  <c r="K87" i="2"/>
  <c r="K86" i="2"/>
  <c r="K85" i="2"/>
  <c r="K84" i="2"/>
  <c r="K83" i="2"/>
  <c r="K82" i="2"/>
  <c r="K78" i="2"/>
  <c r="K77" i="2"/>
  <c r="K76" i="2"/>
  <c r="K75" i="2"/>
  <c r="K73" i="2"/>
  <c r="K72" i="2"/>
  <c r="K71" i="2"/>
  <c r="K70" i="2"/>
  <c r="N216" i="2"/>
  <c r="O216" i="2"/>
  <c r="P216" i="2"/>
  <c r="Q216" i="2"/>
  <c r="R216" i="2"/>
  <c r="S216" i="2"/>
  <c r="T216" i="2"/>
  <c r="U216" i="2"/>
  <c r="V216" i="2"/>
  <c r="P218" i="2"/>
  <c r="Q218" i="2"/>
  <c r="R218" i="2"/>
  <c r="S218" i="2"/>
  <c r="T218" i="2"/>
  <c r="U218" i="2"/>
  <c r="V218" i="2"/>
  <c r="A219" i="2"/>
  <c r="S219" i="2" s="1"/>
  <c r="A217" i="2"/>
  <c r="M199" i="2"/>
  <c r="N199" i="2"/>
  <c r="O199" i="2"/>
  <c r="P199" i="2"/>
  <c r="Q199" i="2"/>
  <c r="R199" i="2"/>
  <c r="S199" i="2"/>
  <c r="T199" i="2"/>
  <c r="U199" i="2"/>
  <c r="V199" i="2"/>
  <c r="O201" i="2"/>
  <c r="P201" i="2"/>
  <c r="Q201" i="2"/>
  <c r="R201" i="2"/>
  <c r="S201" i="2"/>
  <c r="T201" i="2"/>
  <c r="U201" i="2"/>
  <c r="V201" i="2"/>
  <c r="Q182" i="2"/>
  <c r="R182" i="2"/>
  <c r="S182" i="2"/>
  <c r="T182" i="2"/>
  <c r="U182" i="2"/>
  <c r="V182" i="2"/>
  <c r="S184" i="2"/>
  <c r="T184" i="2"/>
  <c r="U184" i="2"/>
  <c r="V184" i="2"/>
  <c r="A185" i="2"/>
  <c r="M80" i="5"/>
  <c r="A202" i="2"/>
  <c r="A200" i="2"/>
  <c r="S200" i="2" s="1"/>
  <c r="A183" i="2"/>
  <c r="R183" i="2" s="1"/>
  <c r="K46" i="2"/>
  <c r="J46" i="2"/>
  <c r="I46" i="2"/>
  <c r="I49" i="2"/>
  <c r="I110" i="2" s="1"/>
  <c r="N46" i="2"/>
  <c r="N49" i="2"/>
  <c r="O49" i="2" s="1"/>
  <c r="O110" i="2" s="1"/>
  <c r="K62" i="2"/>
  <c r="K33" i="2" s="1"/>
  <c r="M112" i="2"/>
  <c r="O111" i="2"/>
  <c r="N111" i="2"/>
  <c r="M111" i="2"/>
  <c r="M46" i="2"/>
  <c r="H46" i="2"/>
  <c r="G11" i="24"/>
  <c r="F11" i="24"/>
  <c r="E11" i="24"/>
  <c r="D8" i="24"/>
  <c r="F33" i="2"/>
  <c r="G33" i="2"/>
  <c r="H33" i="2"/>
  <c r="I33" i="2"/>
  <c r="J33" i="2"/>
  <c r="L33" i="2"/>
  <c r="B96" i="20" s="1"/>
  <c r="M33" i="2"/>
  <c r="N33" i="2"/>
  <c r="O33" i="2"/>
  <c r="D33" i="2"/>
  <c r="E33" i="2"/>
  <c r="E10" i="10"/>
  <c r="K6" i="14"/>
  <c r="N27" i="8"/>
  <c r="O27" i="8" s="1"/>
  <c r="F17" i="24"/>
  <c r="G17" i="24"/>
  <c r="D5" i="24"/>
  <c r="D3" i="24"/>
  <c r="D9" i="24" s="1"/>
  <c r="D2" i="24"/>
  <c r="C5" i="24"/>
  <c r="C6" i="24" s="1"/>
  <c r="G6" i="24"/>
  <c r="F6" i="24"/>
  <c r="C3" i="24"/>
  <c r="N3" i="14"/>
  <c r="H8" i="14"/>
  <c r="H7" i="14"/>
  <c r="H6" i="14"/>
  <c r="H5" i="14"/>
  <c r="E5" i="10"/>
  <c r="G5" i="10" s="1"/>
  <c r="Q5" i="10" s="1"/>
  <c r="E6" i="10"/>
  <c r="G6" i="10" s="1"/>
  <c r="R6" i="10" s="1"/>
  <c r="E7" i="10"/>
  <c r="G7" i="10" s="1"/>
  <c r="R7" i="10" s="1"/>
  <c r="E8" i="10"/>
  <c r="S8" i="10" s="1"/>
  <c r="E9" i="10"/>
  <c r="G9" i="10" s="1"/>
  <c r="R9" i="10" s="1"/>
  <c r="E4" i="10"/>
  <c r="S4" i="10" s="1"/>
  <c r="H3" i="14"/>
  <c r="H4" i="14"/>
  <c r="H2" i="14"/>
  <c r="D34" i="8"/>
  <c r="C5" i="8"/>
  <c r="E31" i="20"/>
  <c r="E30" i="20"/>
  <c r="C4" i="24" l="1"/>
  <c r="C9" i="24"/>
  <c r="C12" i="24"/>
  <c r="D12" i="24"/>
  <c r="R10" i="2"/>
  <c r="S10" i="2" s="1"/>
  <c r="T10" i="2" s="1"/>
  <c r="U10" i="2" s="1"/>
  <c r="V10" i="2" s="1"/>
  <c r="N35" i="2"/>
  <c r="P34" i="2"/>
  <c r="P33" i="2" s="1"/>
  <c r="P62" i="2" s="1"/>
  <c r="G34" i="2"/>
  <c r="K25" i="2"/>
  <c r="B89" i="20" s="1"/>
  <c r="O25" i="2"/>
  <c r="N25" i="2"/>
  <c r="M25" i="2"/>
  <c r="J25" i="2"/>
  <c r="N34" i="2"/>
  <c r="I25" i="2"/>
  <c r="P99" i="2"/>
  <c r="R99" i="2" s="1"/>
  <c r="T99" i="2" s="1"/>
  <c r="V99" i="2" s="1"/>
  <c r="F34" i="2"/>
  <c r="M34" i="2"/>
  <c r="L34" i="2"/>
  <c r="O34" i="2"/>
  <c r="O24" i="2"/>
  <c r="K165" i="2"/>
  <c r="P83" i="2"/>
  <c r="R86" i="2"/>
  <c r="T86" i="2" s="1"/>
  <c r="V86" i="2" s="1"/>
  <c r="Q78" i="7"/>
  <c r="P78" i="7"/>
  <c r="O78" i="7"/>
  <c r="J62" i="5"/>
  <c r="K62" i="5"/>
  <c r="H46" i="5"/>
  <c r="E62" i="5"/>
  <c r="I46" i="5"/>
  <c r="F62" i="5"/>
  <c r="G64" i="5"/>
  <c r="J46" i="5"/>
  <c r="G62" i="5"/>
  <c r="H64" i="5"/>
  <c r="H62" i="5"/>
  <c r="I64" i="5"/>
  <c r="I62" i="5"/>
  <c r="L46" i="5"/>
  <c r="L26" i="5"/>
  <c r="A47" i="5"/>
  <c r="L47" i="5" s="1"/>
  <c r="A65" i="5"/>
  <c r="L65" i="5" s="1"/>
  <c r="J28" i="5"/>
  <c r="K28" i="5"/>
  <c r="F46" i="5"/>
  <c r="L28" i="5"/>
  <c r="G46" i="5"/>
  <c r="D44" i="5"/>
  <c r="K64" i="5"/>
  <c r="E44" i="5"/>
  <c r="L64" i="5"/>
  <c r="G44" i="5"/>
  <c r="H26" i="5"/>
  <c r="A29" i="5"/>
  <c r="J44" i="5"/>
  <c r="I26" i="5"/>
  <c r="K44" i="5"/>
  <c r="F44" i="5"/>
  <c r="H44" i="5"/>
  <c r="I44" i="5"/>
  <c r="J26" i="5"/>
  <c r="P77" i="2"/>
  <c r="R77" i="2" s="1"/>
  <c r="T77" i="2" s="1"/>
  <c r="V77" i="2" s="1"/>
  <c r="P78" i="2"/>
  <c r="R78" i="2" s="1"/>
  <c r="T78" i="2" s="1"/>
  <c r="V78" i="2" s="1"/>
  <c r="R83" i="2"/>
  <c r="T83" i="2" s="1"/>
  <c r="V83" i="2" s="1"/>
  <c r="K23" i="2"/>
  <c r="B83" i="20" s="1"/>
  <c r="P23" i="2" s="1"/>
  <c r="S76" i="2"/>
  <c r="U76" i="2" s="1"/>
  <c r="K24" i="2"/>
  <c r="B86" i="20" s="1"/>
  <c r="P85" i="2"/>
  <c r="N110" i="2"/>
  <c r="Q112" i="2"/>
  <c r="Q138" i="2"/>
  <c r="Q131" i="2"/>
  <c r="S96" i="2"/>
  <c r="U96" i="2" s="1"/>
  <c r="P96" i="2"/>
  <c r="R96" i="2" s="1"/>
  <c r="T96" i="2" s="1"/>
  <c r="V96" i="2" s="1"/>
  <c r="O23" i="2"/>
  <c r="N24" i="2"/>
  <c r="N23" i="2"/>
  <c r="J24" i="2"/>
  <c r="S86" i="2"/>
  <c r="U86" i="2" s="1"/>
  <c r="J23" i="2"/>
  <c r="J98" i="2"/>
  <c r="J97" i="2" s="1"/>
  <c r="I24" i="2"/>
  <c r="I23" i="2"/>
  <c r="M24" i="2"/>
  <c r="P92" i="2"/>
  <c r="R92" i="2" s="1"/>
  <c r="T92" i="2" s="1"/>
  <c r="V92" i="2" s="1"/>
  <c r="I98" i="2"/>
  <c r="I97" i="2" s="1"/>
  <c r="M23" i="2"/>
  <c r="R91" i="2"/>
  <c r="S91" i="2" s="1"/>
  <c r="T91" i="2" s="1"/>
  <c r="U91" i="2" s="1"/>
  <c r="V91" i="2" s="1"/>
  <c r="K113" i="2"/>
  <c r="O98" i="2" s="1"/>
  <c r="O97" i="2" s="1"/>
  <c r="J118" i="2"/>
  <c r="K118" i="2" s="1"/>
  <c r="K119" i="2"/>
  <c r="J120" i="2"/>
  <c r="K120" i="2" s="1"/>
  <c r="O136" i="2"/>
  <c r="O114" i="2"/>
  <c r="Q114" i="2" s="1"/>
  <c r="K139" i="2"/>
  <c r="K132" i="2"/>
  <c r="R200" i="2"/>
  <c r="Q202" i="2"/>
  <c r="O200" i="2"/>
  <c r="R202" i="2"/>
  <c r="P200" i="2"/>
  <c r="R219" i="2"/>
  <c r="S202" i="2"/>
  <c r="Q200" i="2"/>
  <c r="Q219" i="2"/>
  <c r="K90" i="2"/>
  <c r="K94" i="2" s="1"/>
  <c r="K74" i="2"/>
  <c r="K79" i="2" s="1"/>
  <c r="U217" i="2"/>
  <c r="V185" i="2"/>
  <c r="V202" i="2"/>
  <c r="N200" i="2"/>
  <c r="A220" i="2"/>
  <c r="T217" i="2"/>
  <c r="V217" i="2"/>
  <c r="U185" i="2"/>
  <c r="U202" i="2"/>
  <c r="S217" i="2"/>
  <c r="T185" i="2"/>
  <c r="T202" i="2"/>
  <c r="R217" i="2"/>
  <c r="Q217" i="2"/>
  <c r="O217" i="2"/>
  <c r="U183" i="2"/>
  <c r="P202" i="2"/>
  <c r="V200" i="2"/>
  <c r="V219" i="2"/>
  <c r="P217" i="2"/>
  <c r="V183" i="2"/>
  <c r="U200" i="2"/>
  <c r="U219" i="2"/>
  <c r="S183" i="2"/>
  <c r="T200" i="2"/>
  <c r="A186" i="2"/>
  <c r="T183" i="2"/>
  <c r="T219" i="2"/>
  <c r="A203" i="2"/>
  <c r="J49" i="2"/>
  <c r="D11" i="24"/>
  <c r="D6" i="24"/>
  <c r="E6" i="24"/>
  <c r="D4" i="24"/>
  <c r="G10" i="10"/>
  <c r="Q6" i="10"/>
  <c r="S5" i="10"/>
  <c r="R5" i="10"/>
  <c r="Q7" i="10"/>
  <c r="Q9" i="10"/>
  <c r="S7" i="10"/>
  <c r="S9" i="10"/>
  <c r="S6" i="10"/>
  <c r="G8" i="10"/>
  <c r="G4" i="10"/>
  <c r="S12" i="10" l="1"/>
  <c r="S13" i="10"/>
  <c r="S25" i="10" s="1"/>
  <c r="S17" i="10"/>
  <c r="P24" i="2"/>
  <c r="Q24" i="2"/>
  <c r="Q33" i="2"/>
  <c r="P136" i="2"/>
  <c r="P35" i="2" s="1"/>
  <c r="O35" i="2"/>
  <c r="H65" i="5"/>
  <c r="K65" i="5"/>
  <c r="J65" i="5"/>
  <c r="I65" i="5"/>
  <c r="H47" i="5"/>
  <c r="I47" i="5"/>
  <c r="G47" i="5"/>
  <c r="A48" i="5"/>
  <c r="J47" i="5"/>
  <c r="A66" i="5"/>
  <c r="K66" i="5" s="1"/>
  <c r="B47" i="5"/>
  <c r="K47" i="5"/>
  <c r="B65" i="5"/>
  <c r="B29" i="5"/>
  <c r="L29" i="5"/>
  <c r="K29" i="5"/>
  <c r="A30" i="5"/>
  <c r="K98" i="2"/>
  <c r="K97" i="2" s="1"/>
  <c r="K100" i="2" s="1"/>
  <c r="K101" i="2" s="1"/>
  <c r="K103" i="2" s="1"/>
  <c r="N98" i="2"/>
  <c r="N97" i="2" s="1"/>
  <c r="M98" i="2"/>
  <c r="M97" i="2" s="1"/>
  <c r="L98" i="2"/>
  <c r="L97" i="2" s="1"/>
  <c r="K49" i="2"/>
  <c r="J110" i="2"/>
  <c r="K110" i="2" s="1"/>
  <c r="L220" i="2"/>
  <c r="U220" i="2"/>
  <c r="A221" i="2"/>
  <c r="T220" i="2"/>
  <c r="R220" i="2"/>
  <c r="S220" i="2"/>
  <c r="V220" i="2"/>
  <c r="A187" i="2"/>
  <c r="U186" i="2"/>
  <c r="V186" i="2"/>
  <c r="L186" i="2"/>
  <c r="U203" i="2"/>
  <c r="S203" i="2"/>
  <c r="T203" i="2"/>
  <c r="V203" i="2"/>
  <c r="L203" i="2"/>
  <c r="A204" i="2"/>
  <c r="S14" i="10"/>
  <c r="S24" i="10" s="1"/>
  <c r="S15" i="10"/>
  <c r="S16" i="10"/>
  <c r="R4" i="10"/>
  <c r="D7" i="11" s="1"/>
  <c r="Q4" i="10"/>
  <c r="R8" i="10"/>
  <c r="Q8" i="10"/>
  <c r="Q15" i="10"/>
  <c r="Q12" i="10" l="1"/>
  <c r="Q13" i="10"/>
  <c r="R13" i="10"/>
  <c r="R12" i="10"/>
  <c r="R14" i="10"/>
  <c r="R24" i="10" s="1"/>
  <c r="R31" i="10" s="1"/>
  <c r="Q62" i="2"/>
  <c r="Q34" i="2"/>
  <c r="B100" i="20"/>
  <c r="A67" i="5"/>
  <c r="B66" i="5"/>
  <c r="H48" i="5"/>
  <c r="K48" i="5"/>
  <c r="J48" i="5"/>
  <c r="I48" i="5"/>
  <c r="C48" i="5"/>
  <c r="A49" i="5"/>
  <c r="B48" i="5"/>
  <c r="L48" i="5"/>
  <c r="L66" i="5"/>
  <c r="C66" i="5"/>
  <c r="I66" i="5"/>
  <c r="J66" i="5"/>
  <c r="B30" i="5"/>
  <c r="C30" i="5"/>
  <c r="A31" i="5"/>
  <c r="L30" i="5"/>
  <c r="L67" i="5"/>
  <c r="K67" i="5"/>
  <c r="J67" i="5"/>
  <c r="D67" i="5"/>
  <c r="C67" i="5"/>
  <c r="B67" i="5"/>
  <c r="A68" i="5"/>
  <c r="A205" i="2"/>
  <c r="U204" i="2"/>
  <c r="V204" i="2"/>
  <c r="M204" i="2"/>
  <c r="T204" i="2"/>
  <c r="L204" i="2"/>
  <c r="M221" i="2"/>
  <c r="L221" i="2"/>
  <c r="S221" i="2"/>
  <c r="T221" i="2"/>
  <c r="A222" i="2"/>
  <c r="U221" i="2"/>
  <c r="V221" i="2"/>
  <c r="A188" i="2"/>
  <c r="V187" i="2"/>
  <c r="M187" i="2"/>
  <c r="L187" i="2"/>
  <c r="R15" i="10"/>
  <c r="Q16" i="10"/>
  <c r="Q17" i="10"/>
  <c r="R16" i="10"/>
  <c r="Q14" i="10"/>
  <c r="Q24" i="10" s="1"/>
  <c r="R17" i="10"/>
  <c r="R34" i="2" l="1"/>
  <c r="R33" i="2" s="1"/>
  <c r="J49" i="5"/>
  <c r="D49" i="5"/>
  <c r="I49" i="5"/>
  <c r="K49" i="5"/>
  <c r="C49" i="5"/>
  <c r="L49" i="5"/>
  <c r="A50" i="5"/>
  <c r="B49" i="5"/>
  <c r="A69" i="5"/>
  <c r="L68" i="5"/>
  <c r="K68" i="5"/>
  <c r="C68" i="5"/>
  <c r="E68" i="5"/>
  <c r="D68" i="5"/>
  <c r="B68" i="5"/>
  <c r="B31" i="5"/>
  <c r="C31" i="5"/>
  <c r="D31" i="5"/>
  <c r="A32" i="5"/>
  <c r="V222" i="2"/>
  <c r="T222" i="2"/>
  <c r="L222" i="2"/>
  <c r="U222" i="2"/>
  <c r="N222" i="2"/>
  <c r="M222" i="2"/>
  <c r="A223" i="2"/>
  <c r="M205" i="2"/>
  <c r="N205" i="2"/>
  <c r="U205" i="2"/>
  <c r="V205" i="2"/>
  <c r="L205" i="2"/>
  <c r="A189" i="2"/>
  <c r="M188" i="2"/>
  <c r="N188" i="2"/>
  <c r="L188" i="2"/>
  <c r="A206" i="2"/>
  <c r="A207" i="2" s="1"/>
  <c r="B50" i="20"/>
  <c r="B49" i="20" s="1"/>
  <c r="B38" i="20"/>
  <c r="B14" i="20"/>
  <c r="T4" i="13" s="1"/>
  <c r="D23" i="2"/>
  <c r="D24" i="2"/>
  <c r="D25" i="2"/>
  <c r="B71" i="20"/>
  <c r="B107" i="7"/>
  <c r="B29" i="20" s="1"/>
  <c r="T16" i="13" s="1"/>
  <c r="K10" i="13" s="1"/>
  <c r="B37" i="7"/>
  <c r="B39" i="20" s="1"/>
  <c r="B101" i="7"/>
  <c r="B27" i="20" s="1"/>
  <c r="T21" i="13" s="1"/>
  <c r="B99" i="7"/>
  <c r="B98" i="7" s="1"/>
  <c r="B95" i="7"/>
  <c r="B91" i="7"/>
  <c r="B25" i="20" s="1"/>
  <c r="B22" i="20"/>
  <c r="B85" i="7"/>
  <c r="B23" i="20" s="1"/>
  <c r="O41" i="2"/>
  <c r="N41" i="2" s="1"/>
  <c r="D56" i="8"/>
  <c r="D59" i="8"/>
  <c r="G41" i="2"/>
  <c r="F41" i="2" s="1"/>
  <c r="E41" i="2" s="1"/>
  <c r="D41" i="2" s="1"/>
  <c r="N174" i="2"/>
  <c r="O174" i="2"/>
  <c r="N175" i="2"/>
  <c r="O175" i="2"/>
  <c r="M174" i="2"/>
  <c r="H174" i="2"/>
  <c r="I174" i="2"/>
  <c r="J174" i="2"/>
  <c r="K174" i="2"/>
  <c r="H175" i="2"/>
  <c r="I175" i="2"/>
  <c r="J175" i="2"/>
  <c r="K175" i="2"/>
  <c r="H177" i="2"/>
  <c r="I177" i="2"/>
  <c r="J177" i="2"/>
  <c r="K177" i="2"/>
  <c r="L174" i="2"/>
  <c r="L177" i="2"/>
  <c r="H171" i="2"/>
  <c r="H30" i="2" s="1"/>
  <c r="I171" i="2"/>
  <c r="I30" i="2" s="1"/>
  <c r="J171" i="2"/>
  <c r="J30" i="2" s="1"/>
  <c r="K171" i="2"/>
  <c r="L171" i="2"/>
  <c r="L30" i="2" s="1"/>
  <c r="M171" i="2"/>
  <c r="M30" i="2" s="1"/>
  <c r="N171" i="2"/>
  <c r="N30" i="2" s="1"/>
  <c r="G171" i="2"/>
  <c r="H74" i="2"/>
  <c r="H79" i="2" s="1"/>
  <c r="I74" i="2"/>
  <c r="I79" i="2" s="1"/>
  <c r="J74" i="2"/>
  <c r="J79" i="2" s="1"/>
  <c r="L74" i="2"/>
  <c r="L79" i="2" s="1"/>
  <c r="M74" i="2"/>
  <c r="M79" i="2" s="1"/>
  <c r="N74" i="2"/>
  <c r="N79" i="2" s="1"/>
  <c r="O74" i="2"/>
  <c r="O79" i="2" s="1"/>
  <c r="M90" i="2"/>
  <c r="M94" i="2" s="1"/>
  <c r="N90" i="2"/>
  <c r="N94" i="2" s="1"/>
  <c r="O90" i="2"/>
  <c r="O94" i="2" s="1"/>
  <c r="H90" i="2"/>
  <c r="H94" i="2" s="1"/>
  <c r="I90" i="2"/>
  <c r="I94" i="2" s="1"/>
  <c r="J90" i="2"/>
  <c r="J94" i="2" s="1"/>
  <c r="M100" i="2"/>
  <c r="N100" i="2"/>
  <c r="O100" i="2"/>
  <c r="H100" i="2"/>
  <c r="I100" i="2"/>
  <c r="J100" i="2"/>
  <c r="H132" i="2"/>
  <c r="I132" i="2"/>
  <c r="J132" i="2"/>
  <c r="L132" i="2"/>
  <c r="M132" i="2"/>
  <c r="N132" i="2"/>
  <c r="O132" i="2"/>
  <c r="H139" i="2"/>
  <c r="I139" i="2"/>
  <c r="J139" i="2"/>
  <c r="L139" i="2"/>
  <c r="M139" i="2"/>
  <c r="N139" i="2"/>
  <c r="O139" i="2"/>
  <c r="M148" i="2"/>
  <c r="N148" i="2"/>
  <c r="O148" i="2"/>
  <c r="M149" i="2"/>
  <c r="N149" i="2"/>
  <c r="O149" i="2"/>
  <c r="M150" i="2"/>
  <c r="N150" i="2"/>
  <c r="H148" i="2"/>
  <c r="I148" i="2"/>
  <c r="J148" i="2"/>
  <c r="K148" i="2"/>
  <c r="H149" i="2"/>
  <c r="I149" i="2"/>
  <c r="J149" i="2"/>
  <c r="K149" i="2"/>
  <c r="H150" i="2"/>
  <c r="I150" i="2"/>
  <c r="J150" i="2"/>
  <c r="K150" i="2"/>
  <c r="G148" i="2"/>
  <c r="L80" i="5"/>
  <c r="L82" i="5" s="1"/>
  <c r="J80" i="5"/>
  <c r="J82" i="5" s="1"/>
  <c r="K80" i="5"/>
  <c r="K82" i="5" s="1"/>
  <c r="I80" i="5"/>
  <c r="E36" i="2"/>
  <c r="D30" i="2"/>
  <c r="K7" i="14"/>
  <c r="O27" i="2"/>
  <c r="N27" i="2"/>
  <c r="M27" i="2"/>
  <c r="L27" i="2"/>
  <c r="K27" i="2"/>
  <c r="J27" i="2"/>
  <c r="I27" i="2"/>
  <c r="H27" i="2"/>
  <c r="N19" i="2"/>
  <c r="M19" i="2"/>
  <c r="L19" i="2"/>
  <c r="G19" i="2"/>
  <c r="F19" i="2"/>
  <c r="E19" i="2"/>
  <c r="L18" i="2"/>
  <c r="G18" i="2"/>
  <c r="F18" i="2"/>
  <c r="E18" i="2"/>
  <c r="D18" i="2"/>
  <c r="L17" i="2"/>
  <c r="G17" i="2"/>
  <c r="F17" i="2"/>
  <c r="E17" i="2"/>
  <c r="D17" i="2"/>
  <c r="L16" i="2"/>
  <c r="K16" i="2"/>
  <c r="J16" i="2"/>
  <c r="I16" i="2"/>
  <c r="H16" i="2"/>
  <c r="G16" i="2"/>
  <c r="F16" i="2"/>
  <c r="E16" i="2"/>
  <c r="D16" i="2"/>
  <c r="M15" i="2"/>
  <c r="N15" i="2" s="1"/>
  <c r="O15" i="2" s="1"/>
  <c r="P15" i="2" s="1"/>
  <c r="M14" i="2"/>
  <c r="N14" i="2" s="1"/>
  <c r="O14" i="2" s="1"/>
  <c r="P14" i="2" s="1"/>
  <c r="L7" i="2"/>
  <c r="K7" i="2"/>
  <c r="J7" i="2"/>
  <c r="I7" i="2"/>
  <c r="H7" i="2"/>
  <c r="G7" i="2"/>
  <c r="F7" i="2"/>
  <c r="E7" i="2"/>
  <c r="D7" i="2"/>
  <c r="K2" i="2"/>
  <c r="D118" i="5"/>
  <c r="E118" i="5"/>
  <c r="F118" i="5"/>
  <c r="C118" i="5"/>
  <c r="C115" i="5"/>
  <c r="D115" i="5" s="1"/>
  <c r="E115" i="5" s="1"/>
  <c r="F115" i="5" s="1"/>
  <c r="C112" i="5"/>
  <c r="C113" i="5" s="1"/>
  <c r="E20" i="2" s="1"/>
  <c r="D112" i="5"/>
  <c r="D113" i="5" s="1"/>
  <c r="F20" i="2" s="1"/>
  <c r="E112" i="5"/>
  <c r="E113" i="5" s="1"/>
  <c r="G20" i="2" s="1"/>
  <c r="F112" i="5"/>
  <c r="B112" i="5"/>
  <c r="B113" i="5" s="1"/>
  <c r="D20" i="2" s="1"/>
  <c r="C111" i="5"/>
  <c r="D111" i="5" s="1"/>
  <c r="E111" i="5" s="1"/>
  <c r="F111" i="5" s="1"/>
  <c r="C108" i="5"/>
  <c r="D108" i="5"/>
  <c r="E108" i="5"/>
  <c r="B108" i="5"/>
  <c r="C106" i="5"/>
  <c r="D106" i="5" s="1"/>
  <c r="E106" i="5" s="1"/>
  <c r="F106" i="5" s="1"/>
  <c r="E34" i="8"/>
  <c r="B51" i="7"/>
  <c r="B30" i="7"/>
  <c r="B27" i="7" s="1"/>
  <c r="I74" i="7"/>
  <c r="H74" i="7" s="1"/>
  <c r="G74" i="7" s="1"/>
  <c r="F74" i="7" s="1"/>
  <c r="E74" i="7" s="1"/>
  <c r="D74" i="7" s="1"/>
  <c r="C74" i="7" s="1"/>
  <c r="B74" i="7" s="1"/>
  <c r="C77" i="7"/>
  <c r="D77" i="7"/>
  <c r="E77" i="7"/>
  <c r="F77" i="7"/>
  <c r="G77" i="7"/>
  <c r="H77" i="7"/>
  <c r="I77" i="7"/>
  <c r="N77" i="7"/>
  <c r="B77" i="7"/>
  <c r="R62" i="2" l="1"/>
  <c r="B104" i="20"/>
  <c r="T20" i="13"/>
  <c r="X20" i="13"/>
  <c r="Y20" i="13"/>
  <c r="W20" i="13"/>
  <c r="B71" i="7"/>
  <c r="B32" i="20" s="1"/>
  <c r="Y12" i="13"/>
  <c r="X12" i="13"/>
  <c r="U12" i="13"/>
  <c r="V12" i="13"/>
  <c r="W12" i="13"/>
  <c r="U11" i="13"/>
  <c r="V11" i="13"/>
  <c r="T11" i="13"/>
  <c r="W11" i="13"/>
  <c r="X11" i="13"/>
  <c r="Y11" i="13"/>
  <c r="U13" i="13"/>
  <c r="V13" i="13"/>
  <c r="W13" i="13"/>
  <c r="Y13" i="13"/>
  <c r="X13" i="13"/>
  <c r="D50" i="5"/>
  <c r="A51" i="5"/>
  <c r="L50" i="5"/>
  <c r="K50" i="5"/>
  <c r="J50" i="5"/>
  <c r="C50" i="5"/>
  <c r="E50" i="5"/>
  <c r="B50" i="5"/>
  <c r="A33" i="5"/>
  <c r="E32" i="5"/>
  <c r="C32" i="5"/>
  <c r="D32" i="5"/>
  <c r="B32" i="5"/>
  <c r="B69" i="5"/>
  <c r="D69" i="5"/>
  <c r="A70" i="5"/>
  <c r="L69" i="5"/>
  <c r="F69" i="5"/>
  <c r="E69" i="5"/>
  <c r="C69" i="5"/>
  <c r="R7" i="2"/>
  <c r="T7" i="2"/>
  <c r="V7" i="2"/>
  <c r="U7" i="2"/>
  <c r="S7" i="2"/>
  <c r="F36" i="2"/>
  <c r="F24" i="2" s="1"/>
  <c r="E23" i="2"/>
  <c r="M176" i="2"/>
  <c r="N28" i="2" s="1"/>
  <c r="L176" i="2"/>
  <c r="K151" i="2"/>
  <c r="N151" i="2"/>
  <c r="O207" i="2"/>
  <c r="P207" i="2"/>
  <c r="M207" i="2"/>
  <c r="N207" i="2"/>
  <c r="L207" i="2"/>
  <c r="O206" i="2"/>
  <c r="N206" i="2"/>
  <c r="V206" i="2"/>
  <c r="L206" i="2"/>
  <c r="M206" i="2"/>
  <c r="J151" i="2"/>
  <c r="M151" i="2"/>
  <c r="I151" i="2"/>
  <c r="H151" i="2"/>
  <c r="U223" i="2"/>
  <c r="V223" i="2"/>
  <c r="L223" i="2"/>
  <c r="M223" i="2"/>
  <c r="N223" i="2"/>
  <c r="O223" i="2"/>
  <c r="A224" i="2"/>
  <c r="N224" i="2" s="1"/>
  <c r="I176" i="2"/>
  <c r="I28" i="2" s="1"/>
  <c r="A190" i="2"/>
  <c r="O189" i="2"/>
  <c r="N189" i="2"/>
  <c r="M189" i="2"/>
  <c r="L189" i="2"/>
  <c r="T13" i="13"/>
  <c r="A208" i="2"/>
  <c r="O101" i="2"/>
  <c r="O103" i="2" s="1"/>
  <c r="N101" i="2"/>
  <c r="N103" i="2" s="1"/>
  <c r="O176" i="2"/>
  <c r="I101" i="2"/>
  <c r="I103" i="2" s="1"/>
  <c r="I2" i="2" s="1"/>
  <c r="M101" i="2"/>
  <c r="M103" i="2" s="1"/>
  <c r="N176" i="2"/>
  <c r="K176" i="2"/>
  <c r="K28" i="2" s="1"/>
  <c r="J176" i="2"/>
  <c r="J28" i="2" s="1"/>
  <c r="M13" i="2"/>
  <c r="N13" i="2" s="1"/>
  <c r="O13" i="2" s="1"/>
  <c r="P13" i="2" s="1"/>
  <c r="J101" i="2"/>
  <c r="J103" i="2" s="1"/>
  <c r="J2" i="2" s="1"/>
  <c r="H101" i="2"/>
  <c r="H103" i="2" s="1"/>
  <c r="H2" i="2" s="1"/>
  <c r="E25" i="2"/>
  <c r="E24" i="2"/>
  <c r="H176" i="2"/>
  <c r="H28" i="2" s="1"/>
  <c r="K8" i="14"/>
  <c r="T28" i="13"/>
  <c r="U28" i="13" s="1"/>
  <c r="B94" i="7"/>
  <c r="B26" i="20" s="1"/>
  <c r="M41" i="2"/>
  <c r="C40" i="8"/>
  <c r="B101" i="5"/>
  <c r="B68" i="20" s="1"/>
  <c r="E78" i="7"/>
  <c r="H78" i="7"/>
  <c r="D78" i="7"/>
  <c r="C78" i="7"/>
  <c r="F78" i="7"/>
  <c r="G78" i="7"/>
  <c r="F25" i="2" l="1"/>
  <c r="U6" i="13"/>
  <c r="V6" i="13"/>
  <c r="Y6" i="13"/>
  <c r="X6" i="13"/>
  <c r="W6" i="13"/>
  <c r="S34" i="2"/>
  <c r="S33" i="2" s="1"/>
  <c r="S62" i="2" s="1"/>
  <c r="B108" i="20"/>
  <c r="T24" i="13"/>
  <c r="L28" i="2"/>
  <c r="M28" i="2"/>
  <c r="O28" i="2"/>
  <c r="F51" i="5"/>
  <c r="L51" i="5"/>
  <c r="K51" i="5"/>
  <c r="E51" i="5"/>
  <c r="D51" i="5"/>
  <c r="A52" i="5"/>
  <c r="B51" i="5"/>
  <c r="C51" i="5"/>
  <c r="D70" i="5"/>
  <c r="C70" i="5"/>
  <c r="G70" i="5"/>
  <c r="B70" i="5"/>
  <c r="A71" i="5"/>
  <c r="L70" i="5"/>
  <c r="K70" i="5"/>
  <c r="J70" i="5"/>
  <c r="I70" i="5"/>
  <c r="H70" i="5"/>
  <c r="F70" i="5"/>
  <c r="E70" i="5"/>
  <c r="E33" i="5"/>
  <c r="F33" i="5"/>
  <c r="D33" i="5"/>
  <c r="C33" i="5"/>
  <c r="B33" i="5"/>
  <c r="A34" i="5"/>
  <c r="G36" i="2"/>
  <c r="F23" i="2"/>
  <c r="M152" i="2"/>
  <c r="M208" i="2"/>
  <c r="L208" i="2"/>
  <c r="N208" i="2"/>
  <c r="O208" i="2"/>
  <c r="P208" i="2"/>
  <c r="Q208" i="2"/>
  <c r="A191" i="2"/>
  <c r="L191" i="2" s="1"/>
  <c r="L190" i="2"/>
  <c r="O190" i="2"/>
  <c r="N190" i="2"/>
  <c r="P190" i="2"/>
  <c r="P224" i="2"/>
  <c r="M224" i="2"/>
  <c r="O224" i="2"/>
  <c r="L224" i="2"/>
  <c r="V224" i="2"/>
  <c r="A225" i="2"/>
  <c r="A209" i="2"/>
  <c r="N152" i="2"/>
  <c r="O152" i="2"/>
  <c r="S19" i="2"/>
  <c r="V19" i="2"/>
  <c r="T19" i="2"/>
  <c r="R19" i="2"/>
  <c r="U19" i="2"/>
  <c r="L41" i="2"/>
  <c r="N78" i="7"/>
  <c r="I78" i="7"/>
  <c r="U20" i="13"/>
  <c r="V20" i="13" s="1"/>
  <c r="T19" i="13"/>
  <c r="U16" i="13"/>
  <c r="L10" i="13" s="1"/>
  <c r="M2" i="2"/>
  <c r="N2" i="2"/>
  <c r="O2" i="2"/>
  <c r="C4" i="13"/>
  <c r="J16" i="13"/>
  <c r="I16" i="13"/>
  <c r="H16" i="13"/>
  <c r="G16" i="13"/>
  <c r="F16" i="13"/>
  <c r="E16" i="13"/>
  <c r="D16" i="13"/>
  <c r="C16" i="13"/>
  <c r="J13" i="13"/>
  <c r="I13" i="13"/>
  <c r="H13" i="13"/>
  <c r="G13" i="13"/>
  <c r="F13" i="13"/>
  <c r="E13" i="13"/>
  <c r="D13" i="13"/>
  <c r="C13" i="13"/>
  <c r="J10" i="13"/>
  <c r="I10" i="13"/>
  <c r="H10" i="13"/>
  <c r="G10" i="13"/>
  <c r="F10" i="13"/>
  <c r="E10" i="13"/>
  <c r="D10" i="13"/>
  <c r="C10" i="13"/>
  <c r="J7" i="13"/>
  <c r="I7" i="13"/>
  <c r="H7" i="13"/>
  <c r="G7" i="13"/>
  <c r="F7" i="13"/>
  <c r="E7" i="13"/>
  <c r="D7" i="13"/>
  <c r="C7" i="13"/>
  <c r="D4" i="13"/>
  <c r="E4" i="13"/>
  <c r="F4" i="13"/>
  <c r="G4" i="13"/>
  <c r="H4" i="13"/>
  <c r="I4" i="13"/>
  <c r="J4" i="13"/>
  <c r="D25" i="13"/>
  <c r="E25" i="13"/>
  <c r="F25" i="13"/>
  <c r="G25" i="13"/>
  <c r="H25" i="13"/>
  <c r="I25" i="13"/>
  <c r="J25" i="13"/>
  <c r="C25" i="13"/>
  <c r="B27" i="13"/>
  <c r="C27" i="13"/>
  <c r="C28" i="13" s="1"/>
  <c r="D27" i="13"/>
  <c r="E27" i="13"/>
  <c r="F27" i="13"/>
  <c r="I83" i="5" s="1"/>
  <c r="G27" i="13"/>
  <c r="H27" i="13"/>
  <c r="I27" i="13"/>
  <c r="J27" i="13"/>
  <c r="E36" i="20"/>
  <c r="E15" i="20"/>
  <c r="E13" i="20"/>
  <c r="E12" i="20"/>
  <c r="B79" i="20"/>
  <c r="B77" i="20"/>
  <c r="B75" i="20"/>
  <c r="U21" i="13"/>
  <c r="V21" i="13" s="1"/>
  <c r="W21" i="13" s="1"/>
  <c r="X21" i="13" s="1"/>
  <c r="Y21" i="13" s="1"/>
  <c r="F36" i="8"/>
  <c r="F35" i="8"/>
  <c r="F62" i="17"/>
  <c r="G62" i="17" s="1"/>
  <c r="H62" i="17" s="1"/>
  <c r="I62" i="17" s="1"/>
  <c r="I10" i="17"/>
  <c r="I25" i="17" s="1"/>
  <c r="B72" i="17"/>
  <c r="B73" i="17" s="1"/>
  <c r="B74" i="17" s="1"/>
  <c r="B75" i="17" s="1"/>
  <c r="F70" i="17"/>
  <c r="E69" i="17"/>
  <c r="F69" i="17" s="1"/>
  <c r="G69" i="17" s="1"/>
  <c r="H69" i="17" s="1"/>
  <c r="I69" i="17" s="1"/>
  <c r="D58" i="17"/>
  <c r="I53" i="17"/>
  <c r="H53" i="17"/>
  <c r="G53" i="17"/>
  <c r="F53" i="17"/>
  <c r="E53" i="17"/>
  <c r="H15" i="17"/>
  <c r="Y24" i="13" l="1"/>
  <c r="W24" i="13"/>
  <c r="V24" i="13"/>
  <c r="U34" i="2"/>
  <c r="T34" i="2"/>
  <c r="T33" i="2" s="1"/>
  <c r="V34" i="2"/>
  <c r="U24" i="13"/>
  <c r="X24" i="13"/>
  <c r="P28" i="2"/>
  <c r="E109" i="5"/>
  <c r="L83" i="5"/>
  <c r="D109" i="5"/>
  <c r="K83" i="5"/>
  <c r="F109" i="5"/>
  <c r="M83" i="5"/>
  <c r="T37" i="13"/>
  <c r="U37" i="13" s="1"/>
  <c r="V37" i="13" s="1"/>
  <c r="W37" i="13" s="1"/>
  <c r="X37" i="13" s="1"/>
  <c r="Y37" i="13" s="1"/>
  <c r="C109" i="5"/>
  <c r="J83" i="5"/>
  <c r="D52" i="5"/>
  <c r="A53" i="5"/>
  <c r="H52" i="5"/>
  <c r="F52" i="5"/>
  <c r="G52" i="5"/>
  <c r="C52" i="5"/>
  <c r="B52" i="5"/>
  <c r="L52" i="5"/>
  <c r="J52" i="5"/>
  <c r="E52" i="5"/>
  <c r="K52" i="5"/>
  <c r="I52" i="5"/>
  <c r="F71" i="5"/>
  <c r="A72" i="5"/>
  <c r="E71" i="5"/>
  <c r="H71" i="5"/>
  <c r="D71" i="5"/>
  <c r="I71" i="5"/>
  <c r="C71" i="5"/>
  <c r="B71" i="5"/>
  <c r="L71" i="5"/>
  <c r="K71" i="5"/>
  <c r="J71" i="5"/>
  <c r="G71" i="5"/>
  <c r="C34" i="5"/>
  <c r="A35" i="5"/>
  <c r="J34" i="5"/>
  <c r="H34" i="5"/>
  <c r="G34" i="5"/>
  <c r="L34" i="5"/>
  <c r="K34" i="5"/>
  <c r="I34" i="5"/>
  <c r="F34" i="5"/>
  <c r="E34" i="5"/>
  <c r="D34" i="5"/>
  <c r="B34" i="5"/>
  <c r="T14" i="2"/>
  <c r="R14" i="2"/>
  <c r="S14" i="2"/>
  <c r="U14" i="2"/>
  <c r="V14" i="2"/>
  <c r="Q14" i="2"/>
  <c r="T15" i="2"/>
  <c r="U15" i="2"/>
  <c r="V15" i="2"/>
  <c r="Q15" i="2"/>
  <c r="R15" i="2"/>
  <c r="S15" i="2"/>
  <c r="T13" i="2"/>
  <c r="U13" i="2"/>
  <c r="R13" i="2"/>
  <c r="S13" i="2"/>
  <c r="Q13" i="2"/>
  <c r="V13" i="2"/>
  <c r="L36" i="2"/>
  <c r="L25" i="2" s="1"/>
  <c r="G23" i="2"/>
  <c r="G24" i="2"/>
  <c r="G25" i="2"/>
  <c r="L225" i="2"/>
  <c r="M225" i="2"/>
  <c r="N225" i="2"/>
  <c r="O225" i="2"/>
  <c r="P225" i="2"/>
  <c r="Q225" i="2"/>
  <c r="A226" i="2"/>
  <c r="A192" i="2"/>
  <c r="O191" i="2"/>
  <c r="P191" i="2"/>
  <c r="Q191" i="2"/>
  <c r="N191" i="2"/>
  <c r="O209" i="2"/>
  <c r="M209" i="2"/>
  <c r="P209" i="2"/>
  <c r="N209" i="2"/>
  <c r="Q209" i="2"/>
  <c r="R209" i="2"/>
  <c r="L209" i="2"/>
  <c r="B109" i="5"/>
  <c r="U19" i="13"/>
  <c r="V19" i="13" s="1"/>
  <c r="W19" i="13" s="1"/>
  <c r="X19" i="13" s="1"/>
  <c r="Y19" i="13" s="1"/>
  <c r="K13" i="13"/>
  <c r="A210" i="2"/>
  <c r="N4" i="14"/>
  <c r="N5" i="14" s="1"/>
  <c r="N8" i="14" s="1"/>
  <c r="J10" i="14" s="1"/>
  <c r="D48" i="8" s="1"/>
  <c r="V16" i="13"/>
  <c r="M10" i="13" s="1"/>
  <c r="I28" i="13"/>
  <c r="J28" i="13"/>
  <c r="G28" i="13"/>
  <c r="H28" i="13"/>
  <c r="D28" i="13"/>
  <c r="E28" i="13"/>
  <c r="F28" i="13"/>
  <c r="E45" i="17"/>
  <c r="G45" i="17" s="1"/>
  <c r="H45" i="17" s="1"/>
  <c r="I45" i="17" s="1"/>
  <c r="G32" i="17"/>
  <c r="H32" i="17" s="1"/>
  <c r="I32" i="17" s="1"/>
  <c r="B95" i="5" l="1"/>
  <c r="B64" i="20" s="1"/>
  <c r="U33" i="2"/>
  <c r="V33" i="2" s="1"/>
  <c r="U25" i="2"/>
  <c r="T25" i="2"/>
  <c r="R25" i="2"/>
  <c r="S25" i="2"/>
  <c r="V25" i="2"/>
  <c r="L53" i="5"/>
  <c r="K53" i="5"/>
  <c r="J53" i="5"/>
  <c r="I53" i="5"/>
  <c r="H53" i="5"/>
  <c r="E53" i="5"/>
  <c r="C53" i="5"/>
  <c r="F53" i="5"/>
  <c r="D53" i="5"/>
  <c r="B53" i="5"/>
  <c r="G53" i="5"/>
  <c r="A54" i="5"/>
  <c r="B35" i="5"/>
  <c r="L35" i="5"/>
  <c r="J35" i="5"/>
  <c r="E35" i="5"/>
  <c r="K35" i="5"/>
  <c r="I35" i="5"/>
  <c r="A36" i="5"/>
  <c r="D35" i="5"/>
  <c r="H35" i="5"/>
  <c r="G35" i="5"/>
  <c r="F35" i="5"/>
  <c r="C35" i="5"/>
  <c r="H72" i="5"/>
  <c r="B72" i="5"/>
  <c r="G72" i="5"/>
  <c r="F72" i="5"/>
  <c r="E72" i="5"/>
  <c r="C72" i="5"/>
  <c r="K72" i="5"/>
  <c r="J72" i="5"/>
  <c r="D72" i="5"/>
  <c r="A73" i="5"/>
  <c r="L72" i="5"/>
  <c r="I72" i="5"/>
  <c r="U16" i="2"/>
  <c r="R16" i="2"/>
  <c r="S16" i="2"/>
  <c r="T16" i="2"/>
  <c r="Q16" i="2"/>
  <c r="V16" i="2"/>
  <c r="L23" i="2"/>
  <c r="L24" i="2"/>
  <c r="Q36" i="2"/>
  <c r="M226" i="2"/>
  <c r="N226" i="2"/>
  <c r="O226" i="2"/>
  <c r="P226" i="2"/>
  <c r="L226" i="2"/>
  <c r="Q226" i="2"/>
  <c r="R226" i="2"/>
  <c r="O210" i="2"/>
  <c r="P210" i="2"/>
  <c r="Q210" i="2"/>
  <c r="S210" i="2"/>
  <c r="R210" i="2"/>
  <c r="M210" i="2"/>
  <c r="N210" i="2"/>
  <c r="L210" i="2"/>
  <c r="A193" i="2"/>
  <c r="P192" i="2"/>
  <c r="Q192" i="2"/>
  <c r="R192" i="2"/>
  <c r="N192" i="2"/>
  <c r="O192" i="2"/>
  <c r="L192" i="2"/>
  <c r="A227" i="2"/>
  <c r="N28" i="8"/>
  <c r="C37" i="8" s="1"/>
  <c r="A211" i="2"/>
  <c r="W16" i="13"/>
  <c r="N10" i="13" s="1"/>
  <c r="K25" i="13"/>
  <c r="K24" i="13" s="1"/>
  <c r="L25" i="13"/>
  <c r="M25" i="13"/>
  <c r="B49" i="7"/>
  <c r="B48" i="7" s="1"/>
  <c r="X16" i="13" l="1"/>
  <c r="O10" i="13" s="1"/>
  <c r="T24" i="2"/>
  <c r="V24" i="2"/>
  <c r="S24" i="2"/>
  <c r="U24" i="2"/>
  <c r="R24" i="2"/>
  <c r="R23" i="2"/>
  <c r="T23" i="2"/>
  <c r="S23" i="2"/>
  <c r="V23" i="2"/>
  <c r="U23" i="2"/>
  <c r="A55" i="5"/>
  <c r="D54" i="5"/>
  <c r="L54" i="5"/>
  <c r="C54" i="5"/>
  <c r="K54" i="5"/>
  <c r="J54" i="5"/>
  <c r="G54" i="5"/>
  <c r="H54" i="5"/>
  <c r="E54" i="5"/>
  <c r="F54" i="5"/>
  <c r="B54" i="5"/>
  <c r="I54" i="5"/>
  <c r="D36" i="5"/>
  <c r="F36" i="5"/>
  <c r="C36" i="5"/>
  <c r="B36" i="5"/>
  <c r="A37" i="5"/>
  <c r="L36" i="5"/>
  <c r="G36" i="5"/>
  <c r="K36" i="5"/>
  <c r="J36" i="5"/>
  <c r="I36" i="5"/>
  <c r="H36" i="5"/>
  <c r="E36" i="5"/>
  <c r="J73" i="5"/>
  <c r="A74" i="5"/>
  <c r="L73" i="5"/>
  <c r="I73" i="5"/>
  <c r="E73" i="5"/>
  <c r="D73" i="5"/>
  <c r="C73" i="5"/>
  <c r="H73" i="5"/>
  <c r="G73" i="5"/>
  <c r="F73" i="5"/>
  <c r="B73" i="5"/>
  <c r="K73" i="5"/>
  <c r="R36" i="2"/>
  <c r="S36" i="2" s="1"/>
  <c r="T36" i="2" s="1"/>
  <c r="U36" i="2" s="1"/>
  <c r="V36" i="2" s="1"/>
  <c r="M227" i="2"/>
  <c r="N227" i="2"/>
  <c r="O227" i="2"/>
  <c r="P227" i="2"/>
  <c r="Q227" i="2"/>
  <c r="R227" i="2"/>
  <c r="S227" i="2"/>
  <c r="L227" i="2"/>
  <c r="S211" i="2"/>
  <c r="T211" i="2"/>
  <c r="R211" i="2"/>
  <c r="M211" i="2"/>
  <c r="L211" i="2"/>
  <c r="Q211" i="2"/>
  <c r="N211" i="2"/>
  <c r="O211" i="2"/>
  <c r="P211" i="2"/>
  <c r="A228" i="2"/>
  <c r="A194" i="2"/>
  <c r="N193" i="2"/>
  <c r="R193" i="2"/>
  <c r="O193" i="2"/>
  <c r="P193" i="2"/>
  <c r="Q193" i="2"/>
  <c r="S193" i="2"/>
  <c r="L193" i="2"/>
  <c r="A212" i="2"/>
  <c r="L24" i="13"/>
  <c r="M24" i="13" s="1"/>
  <c r="N25" i="13"/>
  <c r="Y16" i="13" l="1"/>
  <c r="P10" i="13" s="1"/>
  <c r="C55" i="5"/>
  <c r="E55" i="5"/>
  <c r="A56" i="5"/>
  <c r="F55" i="5"/>
  <c r="K55" i="5"/>
  <c r="D55" i="5"/>
  <c r="B55" i="5"/>
  <c r="L55" i="5"/>
  <c r="I55" i="5"/>
  <c r="H55" i="5"/>
  <c r="J55" i="5"/>
  <c r="G55" i="5"/>
  <c r="F37" i="5"/>
  <c r="B37" i="5"/>
  <c r="E37" i="5"/>
  <c r="A38" i="5"/>
  <c r="D37" i="5"/>
  <c r="H37" i="5"/>
  <c r="C37" i="5"/>
  <c r="L37" i="5"/>
  <c r="K37" i="5"/>
  <c r="J37" i="5"/>
  <c r="I37" i="5"/>
  <c r="G37" i="5"/>
  <c r="L74" i="5"/>
  <c r="G74" i="5"/>
  <c r="K74" i="5"/>
  <c r="J74" i="5"/>
  <c r="F74" i="5"/>
  <c r="E74" i="5"/>
  <c r="I74" i="5"/>
  <c r="H74" i="5"/>
  <c r="D74" i="5"/>
  <c r="C74" i="5"/>
  <c r="B74" i="5"/>
  <c r="L228" i="2"/>
  <c r="T228" i="2"/>
  <c r="M228" i="2"/>
  <c r="N228" i="2"/>
  <c r="O228" i="2"/>
  <c r="P228" i="2"/>
  <c r="Q228" i="2"/>
  <c r="R228" i="2"/>
  <c r="S228" i="2"/>
  <c r="A229" i="2"/>
  <c r="A195" i="2"/>
  <c r="T194" i="2"/>
  <c r="Q194" i="2"/>
  <c r="N194" i="2"/>
  <c r="R194" i="2"/>
  <c r="L194" i="2"/>
  <c r="S194" i="2"/>
  <c r="O194" i="2"/>
  <c r="P194" i="2"/>
  <c r="N212" i="2"/>
  <c r="M212" i="2"/>
  <c r="O212" i="2"/>
  <c r="P212" i="2"/>
  <c r="L212" i="2"/>
  <c r="T212" i="2"/>
  <c r="Q212" i="2"/>
  <c r="U212" i="2"/>
  <c r="R212" i="2"/>
  <c r="S212" i="2"/>
  <c r="N24" i="13"/>
  <c r="P25" i="13"/>
  <c r="O25" i="13"/>
  <c r="L56" i="5" l="1"/>
  <c r="F56" i="5"/>
  <c r="B56" i="5"/>
  <c r="H56" i="5"/>
  <c r="G56" i="5"/>
  <c r="K56" i="5"/>
  <c r="I56" i="5"/>
  <c r="J56" i="5"/>
  <c r="C56" i="5"/>
  <c r="E56" i="5"/>
  <c r="D56" i="5"/>
  <c r="H38" i="5"/>
  <c r="D38" i="5"/>
  <c r="K38" i="5"/>
  <c r="G38" i="5"/>
  <c r="C38" i="5"/>
  <c r="F38" i="5"/>
  <c r="E38" i="5"/>
  <c r="B38" i="5"/>
  <c r="J38" i="5"/>
  <c r="L38" i="5"/>
  <c r="I38" i="5"/>
  <c r="L229" i="2"/>
  <c r="M229" i="2"/>
  <c r="N229" i="2"/>
  <c r="O229" i="2"/>
  <c r="P229" i="2"/>
  <c r="Q229" i="2"/>
  <c r="R229" i="2"/>
  <c r="S229" i="2"/>
  <c r="T229" i="2"/>
  <c r="U229" i="2"/>
  <c r="P195" i="2"/>
  <c r="N195" i="2"/>
  <c r="Q195" i="2"/>
  <c r="O195" i="2"/>
  <c r="R195" i="2"/>
  <c r="S195" i="2"/>
  <c r="T195" i="2"/>
  <c r="L195" i="2"/>
  <c r="U195" i="2"/>
  <c r="O24" i="13"/>
  <c r="P24" i="13" s="1"/>
  <c r="U2" i="13"/>
  <c r="L2" i="13"/>
  <c r="K12" i="13"/>
  <c r="V2" i="13" l="1"/>
  <c r="V4" i="13" s="1"/>
  <c r="M2" i="13"/>
  <c r="N2" i="13" s="1"/>
  <c r="O2" i="13" s="1"/>
  <c r="P2" i="13" s="1"/>
  <c r="K7" i="13"/>
  <c r="K6" i="13" s="1"/>
  <c r="L7" i="13"/>
  <c r="W2" i="13" l="1"/>
  <c r="M7" i="13"/>
  <c r="N7" i="13"/>
  <c r="X2" i="13" l="1"/>
  <c r="W4" i="13"/>
  <c r="K9" i="13"/>
  <c r="O7" i="13"/>
  <c r="Y2" i="13" l="1"/>
  <c r="Y4" i="13" s="1"/>
  <c r="X4" i="13"/>
  <c r="L9" i="13"/>
  <c r="P7" i="13"/>
  <c r="B45" i="7"/>
  <c r="B35" i="7"/>
  <c r="B34" i="7"/>
  <c r="I22" i="8"/>
  <c r="I16" i="8" s="1"/>
  <c r="H22" i="8"/>
  <c r="H16" i="8" s="1"/>
  <c r="G22" i="8"/>
  <c r="G16" i="8" s="1"/>
  <c r="F22" i="8"/>
  <c r="F16" i="8" s="1"/>
  <c r="I7" i="8"/>
  <c r="H7" i="8"/>
  <c r="G7" i="8"/>
  <c r="F7" i="8"/>
  <c r="I3" i="8"/>
  <c r="H3" i="8" s="1"/>
  <c r="G3" i="8" s="1"/>
  <c r="F3" i="8" s="1"/>
  <c r="J7" i="8"/>
  <c r="J22" i="8"/>
  <c r="J16" i="8" s="1"/>
  <c r="J23" i="8"/>
  <c r="G10" i="11"/>
  <c r="P3" i="8"/>
  <c r="Q3" i="8" s="1"/>
  <c r="R3" i="8" s="1"/>
  <c r="S3" i="8" s="1"/>
  <c r="B46" i="7"/>
  <c r="B44" i="7"/>
  <c r="E9" i="7"/>
  <c r="B5" i="7"/>
  <c r="C5" i="7"/>
  <c r="D5" i="7"/>
  <c r="F9" i="7"/>
  <c r="G9" i="7"/>
  <c r="H9" i="7"/>
  <c r="I9" i="7"/>
  <c r="N9" i="7"/>
  <c r="D170" i="2"/>
  <c r="E170" i="2"/>
  <c r="F170" i="2"/>
  <c r="G170" i="2"/>
  <c r="E171" i="2"/>
  <c r="F171" i="2"/>
  <c r="D171" i="2"/>
  <c r="R175" i="2"/>
  <c r="R137" i="2" s="1"/>
  <c r="F165" i="2"/>
  <c r="G165" i="2"/>
  <c r="D165" i="2"/>
  <c r="E165" i="2"/>
  <c r="E46" i="2"/>
  <c r="F46" i="2"/>
  <c r="G46" i="2"/>
  <c r="L46" i="2"/>
  <c r="M82" i="5" s="1"/>
  <c r="D148" i="2"/>
  <c r="E148" i="2"/>
  <c r="F148" i="2"/>
  <c r="L148" i="2"/>
  <c r="D149" i="2"/>
  <c r="E149" i="2"/>
  <c r="F149" i="2"/>
  <c r="G149" i="2"/>
  <c r="L149" i="2"/>
  <c r="D150" i="2"/>
  <c r="E150" i="2"/>
  <c r="F150" i="2"/>
  <c r="G150" i="2"/>
  <c r="L150" i="2"/>
  <c r="Q89" i="2"/>
  <c r="V89" i="2" s="1"/>
  <c r="D100" i="2"/>
  <c r="E100" i="2"/>
  <c r="F100" i="2"/>
  <c r="G100" i="2"/>
  <c r="L100" i="2"/>
  <c r="K170" i="2" l="1"/>
  <c r="K30" i="2" s="1"/>
  <c r="P73" i="2"/>
  <c r="P120" i="2" s="1"/>
  <c r="P88" i="2"/>
  <c r="R88" i="2" s="1"/>
  <c r="T88" i="2" s="1"/>
  <c r="V88" i="2" s="1"/>
  <c r="P89" i="2"/>
  <c r="U89" i="2" s="1"/>
  <c r="P93" i="2"/>
  <c r="R93" i="2" s="1"/>
  <c r="T93" i="2" s="1"/>
  <c r="V93" i="2" s="1"/>
  <c r="D151" i="2"/>
  <c r="G151" i="2"/>
  <c r="F151" i="2"/>
  <c r="L151" i="2"/>
  <c r="E151" i="2"/>
  <c r="O28" i="8"/>
  <c r="D37" i="8" s="1"/>
  <c r="J8" i="8"/>
  <c r="G8" i="8"/>
  <c r="H8" i="8"/>
  <c r="I8" i="8"/>
  <c r="B47" i="7"/>
  <c r="B42" i="20" s="1"/>
  <c r="U34" i="13" s="1"/>
  <c r="V34" i="13" s="1"/>
  <c r="W34" i="13" s="1"/>
  <c r="X34" i="13" s="1"/>
  <c r="Y34" i="13" s="1"/>
  <c r="B36" i="7"/>
  <c r="B36" i="20" s="1"/>
  <c r="B31" i="7"/>
  <c r="B34" i="20"/>
  <c r="T27" i="13" s="1"/>
  <c r="C8" i="7"/>
  <c r="D8" i="7"/>
  <c r="C4" i="7" s="1"/>
  <c r="B7" i="20" s="1"/>
  <c r="B43" i="7"/>
  <c r="B41" i="20" s="1"/>
  <c r="T33" i="13" s="1"/>
  <c r="V175" i="2"/>
  <c r="V137" i="2" s="1"/>
  <c r="U33" i="13" l="1"/>
  <c r="V33" i="13" s="1"/>
  <c r="W33" i="13" s="1"/>
  <c r="X33" i="13" s="1"/>
  <c r="Y33" i="13" s="1"/>
  <c r="T3" i="13"/>
  <c r="U3" i="13" s="1"/>
  <c r="T29" i="13"/>
  <c r="U29" i="13" s="1"/>
  <c r="V29" i="13" s="1"/>
  <c r="W29" i="13" s="1"/>
  <c r="X29" i="13" s="1"/>
  <c r="Y29" i="13" s="1"/>
  <c r="V30" i="13"/>
  <c r="W30" i="13"/>
  <c r="X30" i="13"/>
  <c r="Y30" i="13"/>
  <c r="T30" i="13"/>
  <c r="U30" i="13"/>
  <c r="L152" i="2"/>
  <c r="P27" i="8"/>
  <c r="P28" i="8" s="1"/>
  <c r="E37" i="8" s="1"/>
  <c r="C38" i="8" s="1"/>
  <c r="C41" i="8" s="1"/>
  <c r="V28" i="13"/>
  <c r="W28" i="13" s="1"/>
  <c r="X28" i="13" s="1"/>
  <c r="Y28" i="13" s="1"/>
  <c r="U27" i="13"/>
  <c r="B14" i="7"/>
  <c r="B15" i="7"/>
  <c r="I24" i="8"/>
  <c r="G24" i="8"/>
  <c r="F24" i="8"/>
  <c r="H24" i="8"/>
  <c r="J24" i="8"/>
  <c r="T175" i="2"/>
  <c r="T137" i="2" s="1"/>
  <c r="C9" i="7"/>
  <c r="B4" i="7"/>
  <c r="E152" i="2"/>
  <c r="U175" i="2"/>
  <c r="U137" i="2" s="1"/>
  <c r="S175" i="2"/>
  <c r="S137" i="2" s="1"/>
  <c r="F152" i="2"/>
  <c r="G152" i="2"/>
  <c r="C42" i="8" l="1"/>
  <c r="C43" i="8" s="1"/>
  <c r="Q27" i="8"/>
  <c r="Q28" i="8" s="1"/>
  <c r="L21" i="13"/>
  <c r="K21" i="13"/>
  <c r="B9" i="20"/>
  <c r="B12" i="20" s="1"/>
  <c r="B12" i="7"/>
  <c r="K18" i="13"/>
  <c r="V3" i="13"/>
  <c r="B13" i="7"/>
  <c r="L18" i="13"/>
  <c r="L13" i="13"/>
  <c r="L12" i="13" s="1"/>
  <c r="N13" i="13"/>
  <c r="B9" i="7"/>
  <c r="D49" i="8" l="1"/>
  <c r="C15" i="17"/>
  <c r="C24" i="17" s="1"/>
  <c r="R27" i="8"/>
  <c r="T7" i="13"/>
  <c r="U7" i="13" s="1"/>
  <c r="V7" i="13" s="1"/>
  <c r="W7" i="13" s="1"/>
  <c r="X7" i="13" s="1"/>
  <c r="Y7" i="13" s="1"/>
  <c r="T8" i="13"/>
  <c r="L19" i="13"/>
  <c r="W3" i="13"/>
  <c r="X3" i="13" s="1"/>
  <c r="Y3" i="13" s="1"/>
  <c r="R28" i="8"/>
  <c r="S27" i="8"/>
  <c r="S28" i="8" s="1"/>
  <c r="V27" i="13"/>
  <c r="M21" i="13" s="1"/>
  <c r="M13" i="13"/>
  <c r="M12" i="13" s="1"/>
  <c r="O13" i="13"/>
  <c r="V80" i="8" l="1"/>
  <c r="V79" i="8"/>
  <c r="C16" i="17"/>
  <c r="V78" i="8"/>
  <c r="K3" i="13"/>
  <c r="K15" i="13" s="1"/>
  <c r="R42" i="2"/>
  <c r="R48" i="2" s="1"/>
  <c r="L22" i="13"/>
  <c r="Y8" i="13"/>
  <c r="W8" i="13"/>
  <c r="V8" i="13"/>
  <c r="M3" i="13" s="1"/>
  <c r="U8" i="13"/>
  <c r="X8" i="13"/>
  <c r="W27" i="13"/>
  <c r="N21" i="13" s="1"/>
  <c r="S42" i="2"/>
  <c r="S48" i="2" s="1"/>
  <c r="M18" i="13"/>
  <c r="Q42" i="2"/>
  <c r="N12" i="13"/>
  <c r="O12" i="13" s="1"/>
  <c r="V82" i="8" l="1"/>
  <c r="V81" i="8"/>
  <c r="Q48" i="2"/>
  <c r="P42" i="2"/>
  <c r="Q165" i="2"/>
  <c r="P165" i="2" s="1"/>
  <c r="K4" i="13"/>
  <c r="Q170" i="2"/>
  <c r="P170" i="2" s="1"/>
  <c r="Q41" i="2"/>
  <c r="Q40" i="2" s="1"/>
  <c r="P40" i="2" s="1"/>
  <c r="X27" i="13"/>
  <c r="O21" i="13" s="1"/>
  <c r="T42" i="2"/>
  <c r="T48" i="2" s="1"/>
  <c r="N18" i="13"/>
  <c r="P13" i="13"/>
  <c r="Q24" i="13"/>
  <c r="N7" i="8" l="1"/>
  <c r="N8" i="8" s="1"/>
  <c r="P148" i="2"/>
  <c r="P71" i="2" s="1"/>
  <c r="O44" i="2"/>
  <c r="O52" i="2" s="1"/>
  <c r="O57" i="2" s="1"/>
  <c r="P12" i="13"/>
  <c r="Y27" i="13"/>
  <c r="U42" i="2"/>
  <c r="U48" i="2" s="1"/>
  <c r="O18" i="13"/>
  <c r="P21" i="13" l="1"/>
  <c r="V42" i="2" s="1"/>
  <c r="V48" i="2" s="1"/>
  <c r="Q148" i="2"/>
  <c r="P43" i="2"/>
  <c r="O60" i="2"/>
  <c r="O64" i="2" s="1"/>
  <c r="O29" i="2"/>
  <c r="N44" i="2"/>
  <c r="N52" i="2" s="1"/>
  <c r="N57" i="2" s="1"/>
  <c r="N60" i="2" s="1"/>
  <c r="Q12" i="13"/>
  <c r="P18" i="13"/>
  <c r="Q43" i="2" l="1"/>
  <c r="Q72" i="2"/>
  <c r="P72" i="2" s="1"/>
  <c r="P149" i="2" s="1"/>
  <c r="Q71" i="2"/>
  <c r="O109" i="2"/>
  <c r="O124" i="2" s="1"/>
  <c r="O32" i="2" s="1"/>
  <c r="N64" i="2"/>
  <c r="N109" i="2"/>
  <c r="N124" i="2" s="1"/>
  <c r="M44" i="2"/>
  <c r="M52" i="2" s="1"/>
  <c r="Q18" i="13"/>
  <c r="C82" i="5"/>
  <c r="D82" i="5"/>
  <c r="E82" i="5"/>
  <c r="F82" i="5"/>
  <c r="G82" i="5"/>
  <c r="H82" i="5"/>
  <c r="B82" i="5"/>
  <c r="D46" i="2"/>
  <c r="K6" i="5"/>
  <c r="D127" i="2"/>
  <c r="F23" i="8" s="1"/>
  <c r="C79" i="5"/>
  <c r="D79" i="5" s="1"/>
  <c r="E79" i="5" s="1"/>
  <c r="F79" i="5" s="1"/>
  <c r="G79" i="5" s="1"/>
  <c r="H79" i="5" s="1"/>
  <c r="I79" i="5" s="1"/>
  <c r="J79" i="5" s="1"/>
  <c r="K79" i="5" s="1"/>
  <c r="L79" i="5" s="1"/>
  <c r="M79" i="5" s="1"/>
  <c r="K5" i="5"/>
  <c r="K4" i="5"/>
  <c r="C3" i="5"/>
  <c r="J7" i="5"/>
  <c r="I7" i="5" s="1"/>
  <c r="H7" i="5" s="1"/>
  <c r="G7" i="5" s="1"/>
  <c r="F7" i="5" s="1"/>
  <c r="E7" i="5" s="1"/>
  <c r="D7" i="5" s="1"/>
  <c r="C7" i="5" s="1"/>
  <c r="B7" i="5" s="1"/>
  <c r="G4" i="5" a="1"/>
  <c r="G127" i="2"/>
  <c r="I23" i="8" s="1"/>
  <c r="F127" i="2"/>
  <c r="H23" i="8" s="1"/>
  <c r="E127" i="2"/>
  <c r="G23" i="8" s="1"/>
  <c r="G137" i="2"/>
  <c r="F137" i="2"/>
  <c r="E137" i="2"/>
  <c r="D137" i="2"/>
  <c r="E174" i="2"/>
  <c r="F174" i="2"/>
  <c r="G174" i="2"/>
  <c r="D174" i="2"/>
  <c r="D177" i="2"/>
  <c r="Q149" i="2" l="1"/>
  <c r="O141" i="2"/>
  <c r="H86" i="5"/>
  <c r="C25" i="5"/>
  <c r="E25" i="5"/>
  <c r="D25" i="5"/>
  <c r="L199" i="2"/>
  <c r="B25" i="5"/>
  <c r="M182" i="2"/>
  <c r="F25" i="5"/>
  <c r="M216" i="2"/>
  <c r="N182" i="2"/>
  <c r="L216" i="2"/>
  <c r="P182" i="2"/>
  <c r="O182" i="2"/>
  <c r="B43" i="5"/>
  <c r="C61" i="5"/>
  <c r="B61" i="5"/>
  <c r="L182" i="2"/>
  <c r="F68" i="5"/>
  <c r="O188" i="2"/>
  <c r="F32" i="5"/>
  <c r="M57" i="2"/>
  <c r="N32" i="2"/>
  <c r="N141" i="2"/>
  <c r="F108" i="5"/>
  <c r="B94" i="5" s="1"/>
  <c r="B63" i="20" s="1"/>
  <c r="Q17" i="2" s="1"/>
  <c r="S204" i="2"/>
  <c r="R204" i="2"/>
  <c r="S205" i="2"/>
  <c r="T205" i="2"/>
  <c r="U206" i="2"/>
  <c r="P206" i="2"/>
  <c r="S206" i="2"/>
  <c r="Q206" i="2"/>
  <c r="R206" i="2"/>
  <c r="T206" i="2"/>
  <c r="U207" i="2"/>
  <c r="V207" i="2"/>
  <c r="F117" i="5"/>
  <c r="F113" i="5"/>
  <c r="L20" i="2" s="1"/>
  <c r="D3" i="5"/>
  <c r="E3" i="5" s="1"/>
  <c r="F3" i="5" s="1"/>
  <c r="G3" i="5" s="1"/>
  <c r="H3" i="5" s="1"/>
  <c r="I3" i="5" s="1"/>
  <c r="J3" i="5" s="1"/>
  <c r="G175" i="2"/>
  <c r="G27" i="2"/>
  <c r="D175" i="2"/>
  <c r="D27" i="2"/>
  <c r="E175" i="2"/>
  <c r="E27" i="2"/>
  <c r="F175" i="2"/>
  <c r="F27" i="2"/>
  <c r="L44" i="2"/>
  <c r="G4" i="5"/>
  <c r="C47" i="5" s="1"/>
  <c r="D117" i="5"/>
  <c r="C117" i="5"/>
  <c r="E117" i="5"/>
  <c r="I82" i="5"/>
  <c r="I86" i="5" s="1"/>
  <c r="I87" i="5" s="1"/>
  <c r="D84" i="5"/>
  <c r="D85" i="5" s="1"/>
  <c r="F84" i="5"/>
  <c r="F85" i="5" s="1"/>
  <c r="G84" i="5"/>
  <c r="G85" i="5" s="1"/>
  <c r="H84" i="5"/>
  <c r="H85" i="5" s="1"/>
  <c r="I84" i="5"/>
  <c r="E84" i="5"/>
  <c r="E85" i="5" s="1"/>
  <c r="E112" i="2"/>
  <c r="I33" i="5" l="1"/>
  <c r="Q188" i="2"/>
  <c r="I31" i="5"/>
  <c r="D48" i="5"/>
  <c r="N187" i="2"/>
  <c r="Q204" i="2"/>
  <c r="Q224" i="2"/>
  <c r="K32" i="5"/>
  <c r="E67" i="5"/>
  <c r="F50" i="5"/>
  <c r="D30" i="5"/>
  <c r="T187" i="2"/>
  <c r="V190" i="2"/>
  <c r="O220" i="2"/>
  <c r="U190" i="2"/>
  <c r="N204" i="2"/>
  <c r="V189" i="2"/>
  <c r="F65" i="5"/>
  <c r="G32" i="5"/>
  <c r="R224" i="2"/>
  <c r="H50" i="5"/>
  <c r="Q223" i="2"/>
  <c r="Q190" i="2"/>
  <c r="T224" i="2"/>
  <c r="U189" i="2"/>
  <c r="B64" i="5"/>
  <c r="R205" i="2"/>
  <c r="H33" i="5"/>
  <c r="Q222" i="2"/>
  <c r="B28" i="5"/>
  <c r="T188" i="2"/>
  <c r="J69" i="5"/>
  <c r="L31" i="5"/>
  <c r="R190" i="2"/>
  <c r="I69" i="5"/>
  <c r="G68" i="5"/>
  <c r="R207" i="2"/>
  <c r="G33" i="5"/>
  <c r="S189" i="2"/>
  <c r="R222" i="2"/>
  <c r="H30" i="5"/>
  <c r="H66" i="5"/>
  <c r="B46" i="5"/>
  <c r="E66" i="5"/>
  <c r="E64" i="5"/>
  <c r="J51" i="5"/>
  <c r="P223" i="2"/>
  <c r="O222" i="2"/>
  <c r="E30" i="5"/>
  <c r="N186" i="2"/>
  <c r="L219" i="2"/>
  <c r="E48" i="5"/>
  <c r="E29" i="5"/>
  <c r="L217" i="2"/>
  <c r="R187" i="2"/>
  <c r="Q220" i="2"/>
  <c r="M219" i="2"/>
  <c r="R223" i="2"/>
  <c r="S188" i="2"/>
  <c r="J30" i="5"/>
  <c r="G29" i="5"/>
  <c r="C65" i="5"/>
  <c r="M220" i="2"/>
  <c r="O185" i="2"/>
  <c r="P220" i="2"/>
  <c r="D46" i="5"/>
  <c r="T190" i="2"/>
  <c r="U224" i="2"/>
  <c r="I50" i="5"/>
  <c r="G31" i="5"/>
  <c r="J68" i="5"/>
  <c r="I30" i="5"/>
  <c r="N220" i="2"/>
  <c r="C46" i="5"/>
  <c r="Q207" i="2"/>
  <c r="I51" i="5"/>
  <c r="S223" i="2"/>
  <c r="I68" i="5"/>
  <c r="F31" i="5"/>
  <c r="F67" i="5"/>
  <c r="G65" i="5"/>
  <c r="S190" i="2"/>
  <c r="O204" i="2"/>
  <c r="L33" i="5"/>
  <c r="T223" i="2"/>
  <c r="J31" i="5"/>
  <c r="G48" i="5"/>
  <c r="H67" i="5"/>
  <c r="N202" i="2"/>
  <c r="O205" i="2"/>
  <c r="G69" i="5"/>
  <c r="G49" i="5"/>
  <c r="P204" i="2"/>
  <c r="H51" i="5"/>
  <c r="H32" i="5"/>
  <c r="S222" i="2"/>
  <c r="I67" i="5"/>
  <c r="P187" i="2"/>
  <c r="L183" i="2"/>
  <c r="Q205" i="2"/>
  <c r="J33" i="5"/>
  <c r="H31" i="5"/>
  <c r="G66" i="5"/>
  <c r="N185" i="2"/>
  <c r="S207" i="2"/>
  <c r="P205" i="2"/>
  <c r="J32" i="5"/>
  <c r="L32" i="5"/>
  <c r="H68" i="5"/>
  <c r="U188" i="2"/>
  <c r="P222" i="2"/>
  <c r="U187" i="2"/>
  <c r="D66" i="5"/>
  <c r="T186" i="2"/>
  <c r="D47" i="5"/>
  <c r="O202" i="2"/>
  <c r="D28" i="5"/>
  <c r="L202" i="2"/>
  <c r="Q185" i="2"/>
  <c r="B63" i="5"/>
  <c r="N219" i="2"/>
  <c r="H28" i="5"/>
  <c r="M200" i="2"/>
  <c r="N201" i="2"/>
  <c r="P189" i="2"/>
  <c r="R189" i="2"/>
  <c r="P188" i="2"/>
  <c r="E49" i="5"/>
  <c r="P221" i="2"/>
  <c r="F30" i="5"/>
  <c r="G30" i="5"/>
  <c r="J29" i="5"/>
  <c r="C29" i="5"/>
  <c r="C44" i="5"/>
  <c r="C64" i="5"/>
  <c r="D26" i="5"/>
  <c r="M185" i="2"/>
  <c r="F27" i="5"/>
  <c r="M184" i="2"/>
  <c r="F47" i="5"/>
  <c r="G28" i="5"/>
  <c r="N183" i="2"/>
  <c r="O219" i="2"/>
  <c r="R185" i="2"/>
  <c r="M201" i="2"/>
  <c r="D63" i="5"/>
  <c r="G27" i="5"/>
  <c r="K33" i="5"/>
  <c r="K69" i="5"/>
  <c r="I32" i="5"/>
  <c r="K31" i="5"/>
  <c r="V188" i="2"/>
  <c r="R221" i="2"/>
  <c r="O221" i="2"/>
  <c r="S187" i="2"/>
  <c r="H29" i="5"/>
  <c r="R186" i="2"/>
  <c r="F64" i="5"/>
  <c r="B62" i="5"/>
  <c r="D64" i="5"/>
  <c r="O183" i="2"/>
  <c r="L218" i="2"/>
  <c r="L184" i="2"/>
  <c r="E63" i="5"/>
  <c r="Q187" i="2"/>
  <c r="I29" i="5"/>
  <c r="F29" i="5"/>
  <c r="C62" i="5"/>
  <c r="N217" i="2"/>
  <c r="E46" i="5"/>
  <c r="B26" i="5"/>
  <c r="D62" i="5"/>
  <c r="O184" i="2"/>
  <c r="B27" i="5"/>
  <c r="E27" i="5"/>
  <c r="F49" i="5"/>
  <c r="Q221" i="2"/>
  <c r="N221" i="2"/>
  <c r="D29" i="5"/>
  <c r="D65" i="5"/>
  <c r="E65" i="5"/>
  <c r="E47" i="5"/>
  <c r="M217" i="2"/>
  <c r="P185" i="2"/>
  <c r="R184" i="2"/>
  <c r="E28" i="5"/>
  <c r="C63" i="5"/>
  <c r="G26" i="5"/>
  <c r="Q183" i="2"/>
  <c r="M202" i="2"/>
  <c r="D45" i="5"/>
  <c r="P184" i="2"/>
  <c r="O218" i="2"/>
  <c r="B44" i="5"/>
  <c r="Q184" i="2"/>
  <c r="H27" i="5"/>
  <c r="F48" i="5"/>
  <c r="P186" i="2"/>
  <c r="S186" i="2"/>
  <c r="E26" i="5"/>
  <c r="S185" i="2"/>
  <c r="C28" i="5"/>
  <c r="L185" i="2"/>
  <c r="C27" i="5"/>
  <c r="F28" i="5"/>
  <c r="B45" i="5"/>
  <c r="H69" i="5"/>
  <c r="R188" i="2"/>
  <c r="M186" i="2"/>
  <c r="M183" i="2"/>
  <c r="P183" i="2"/>
  <c r="N218" i="2"/>
  <c r="D27" i="5"/>
  <c r="L201" i="2"/>
  <c r="C45" i="5"/>
  <c r="S224" i="2"/>
  <c r="T189" i="2"/>
  <c r="O187" i="2"/>
  <c r="O186" i="2"/>
  <c r="P219" i="2"/>
  <c r="T207" i="2"/>
  <c r="G51" i="5"/>
  <c r="G50" i="5"/>
  <c r="Q189" i="2"/>
  <c r="H49" i="5"/>
  <c r="E31" i="5"/>
  <c r="G67" i="5"/>
  <c r="K30" i="5"/>
  <c r="F66" i="5"/>
  <c r="Q186" i="2"/>
  <c r="I28" i="5"/>
  <c r="F26" i="5"/>
  <c r="L200" i="2"/>
  <c r="C26" i="5"/>
  <c r="M218" i="2"/>
  <c r="N184" i="2"/>
  <c r="M60" i="2"/>
  <c r="M203" i="2"/>
  <c r="N203" i="2"/>
  <c r="R203" i="2"/>
  <c r="Q203" i="2"/>
  <c r="O203" i="2"/>
  <c r="P203" i="2"/>
  <c r="I88" i="5"/>
  <c r="K86" i="5"/>
  <c r="K87" i="5" s="1"/>
  <c r="F8" i="2" s="1"/>
  <c r="K88" i="5"/>
  <c r="L88" i="5"/>
  <c r="M88" i="5"/>
  <c r="L9" i="2" s="1"/>
  <c r="J86" i="5"/>
  <c r="J87" i="5" s="1"/>
  <c r="E8" i="2" s="1"/>
  <c r="L86" i="5"/>
  <c r="J88" i="5"/>
  <c r="M86" i="5"/>
  <c r="B97" i="5"/>
  <c r="B70" i="20" s="1"/>
  <c r="Q20" i="2" s="1"/>
  <c r="B117" i="5"/>
  <c r="B100" i="5" s="1"/>
  <c r="B66" i="20" s="1"/>
  <c r="L52" i="2"/>
  <c r="L57" i="2" s="1"/>
  <c r="L60" i="2" s="1"/>
  <c r="J10" i="8"/>
  <c r="J11" i="8" s="1"/>
  <c r="J42" i="2"/>
  <c r="K44" i="2"/>
  <c r="U17" i="2"/>
  <c r="T17" i="2"/>
  <c r="V17" i="2"/>
  <c r="R17" i="2"/>
  <c r="S17" i="2"/>
  <c r="J84" i="5"/>
  <c r="J85" i="5" s="1"/>
  <c r="K84" i="5"/>
  <c r="K85" i="5" s="1"/>
  <c r="I85" i="5"/>
  <c r="L84" i="5"/>
  <c r="L85" i="5" s="1"/>
  <c r="Q213" i="2" l="1"/>
  <c r="L196" i="2"/>
  <c r="M213" i="2"/>
  <c r="P213" i="2"/>
  <c r="N196" i="2"/>
  <c r="P196" i="2"/>
  <c r="M230" i="2"/>
  <c r="N230" i="2"/>
  <c r="M196" i="2"/>
  <c r="L230" i="2"/>
  <c r="L213" i="2"/>
  <c r="Q196" i="2"/>
  <c r="O196" i="2"/>
  <c r="O213" i="2"/>
  <c r="Q230" i="2"/>
  <c r="N213" i="2"/>
  <c r="P230" i="2"/>
  <c r="O230" i="2"/>
  <c r="Q157" i="2"/>
  <c r="E9" i="2"/>
  <c r="B53" i="20"/>
  <c r="B16" i="5"/>
  <c r="B17" i="5"/>
  <c r="B15" i="5"/>
  <c r="Q162" i="2"/>
  <c r="Q167" i="2"/>
  <c r="M109" i="2"/>
  <c r="M124" i="2" s="1"/>
  <c r="M141" i="2" s="1"/>
  <c r="G9" i="2"/>
  <c r="F9" i="2"/>
  <c r="L87" i="5"/>
  <c r="G8" i="2" s="1"/>
  <c r="G11" i="2"/>
  <c r="M87" i="5"/>
  <c r="L8" i="2" s="1"/>
  <c r="L11" i="2"/>
  <c r="B54" i="20" s="1"/>
  <c r="M84" i="5"/>
  <c r="M85" i="5" s="1"/>
  <c r="U20" i="2"/>
  <c r="V20" i="2"/>
  <c r="R20" i="2"/>
  <c r="T20" i="2"/>
  <c r="S20" i="2"/>
  <c r="K52" i="2"/>
  <c r="K57" i="2" s="1"/>
  <c r="L64" i="2"/>
  <c r="D15" i="24"/>
  <c r="D18" i="24"/>
  <c r="I42" i="2"/>
  <c r="J44" i="2"/>
  <c r="J52" i="2" s="1"/>
  <c r="J57" i="2" s="1"/>
  <c r="J29" i="2" s="1"/>
  <c r="S18" i="2"/>
  <c r="R18" i="2"/>
  <c r="Q18" i="2"/>
  <c r="V18" i="2"/>
  <c r="U18" i="2"/>
  <c r="T18" i="2"/>
  <c r="F11" i="2"/>
  <c r="S11" i="2" l="1"/>
  <c r="R11" i="2"/>
  <c r="T11" i="2"/>
  <c r="Q11" i="2"/>
  <c r="U11" i="2"/>
  <c r="V11" i="2"/>
  <c r="Q49" i="2"/>
  <c r="P49" i="2" s="1"/>
  <c r="P110" i="2" s="1"/>
  <c r="Q110" i="2" s="1"/>
  <c r="B18" i="5"/>
  <c r="B20" i="5" s="1"/>
  <c r="B52" i="20"/>
  <c r="R8" i="2" s="1"/>
  <c r="V9" i="2"/>
  <c r="R9" i="2"/>
  <c r="T9" i="2"/>
  <c r="U9" i="2"/>
  <c r="S9" i="2"/>
  <c r="Q9" i="2"/>
  <c r="K60" i="2"/>
  <c r="K64" i="2" s="1"/>
  <c r="D16" i="24"/>
  <c r="E17" i="24" s="1"/>
  <c r="D13" i="24"/>
  <c r="H42" i="2"/>
  <c r="I44" i="2"/>
  <c r="I52" i="2" s="1"/>
  <c r="I57" i="2" s="1"/>
  <c r="I29" i="2" s="1"/>
  <c r="J60" i="2"/>
  <c r="N22" i="8" l="1"/>
  <c r="N16" i="8" s="1"/>
  <c r="Q8" i="2"/>
  <c r="U8" i="2"/>
  <c r="V8" i="2"/>
  <c r="S8" i="2"/>
  <c r="T8" i="2"/>
  <c r="J64" i="2"/>
  <c r="J109" i="2"/>
  <c r="J124" i="2" s="1"/>
  <c r="J141" i="2" s="1"/>
  <c r="I60" i="2"/>
  <c r="G42" i="2"/>
  <c r="F42" i="2" s="1"/>
  <c r="E42" i="2" s="1"/>
  <c r="D42" i="2" s="1"/>
  <c r="H44" i="2"/>
  <c r="H52" i="2" s="1"/>
  <c r="H57" i="2" s="1"/>
  <c r="H29" i="2" s="1"/>
  <c r="I64" i="2" l="1"/>
  <c r="I109" i="2"/>
  <c r="I124" i="2" s="1"/>
  <c r="H60" i="2"/>
  <c r="G112" i="2"/>
  <c r="D90" i="2"/>
  <c r="D94" i="2" s="1"/>
  <c r="D111" i="2"/>
  <c r="E111" i="2"/>
  <c r="F111" i="2"/>
  <c r="G111" i="2"/>
  <c r="D112" i="2"/>
  <c r="F112" i="2"/>
  <c r="L112" i="2"/>
  <c r="K112" i="2" s="1"/>
  <c r="L111" i="2"/>
  <c r="K111" i="2" s="1"/>
  <c r="F177" i="2"/>
  <c r="E177" i="2"/>
  <c r="G177" i="2"/>
  <c r="E139" i="2"/>
  <c r="F139" i="2"/>
  <c r="G139" i="2"/>
  <c r="D139" i="2"/>
  <c r="E132" i="2"/>
  <c r="F132" i="2"/>
  <c r="G132" i="2"/>
  <c r="D132" i="2"/>
  <c r="L90" i="2"/>
  <c r="L94" i="2" s="1"/>
  <c r="G90" i="2"/>
  <c r="G94" i="2" s="1"/>
  <c r="F90" i="2"/>
  <c r="F94" i="2" s="1"/>
  <c r="E90" i="2"/>
  <c r="E94" i="2" s="1"/>
  <c r="D44" i="2"/>
  <c r="F10" i="8" s="1"/>
  <c r="F11" i="8" s="1"/>
  <c r="E44" i="2"/>
  <c r="F44" i="2"/>
  <c r="G44" i="2"/>
  <c r="I10" i="8" s="1"/>
  <c r="I11" i="8" s="1"/>
  <c r="G74" i="2"/>
  <c r="G79" i="2" s="1"/>
  <c r="F74" i="2"/>
  <c r="F79" i="2" s="1"/>
  <c r="E74" i="2"/>
  <c r="E79" i="2" s="1"/>
  <c r="D74" i="2"/>
  <c r="D79" i="2" s="1"/>
  <c r="E1" i="2"/>
  <c r="I32" i="2" l="1"/>
  <c r="I141" i="2"/>
  <c r="H64" i="2"/>
  <c r="H109" i="2"/>
  <c r="H124" i="2" s="1"/>
  <c r="H141" i="2" s="1"/>
  <c r="F52" i="2"/>
  <c r="F57" i="2" s="1"/>
  <c r="F29" i="2" s="1"/>
  <c r="H10" i="8"/>
  <c r="H11" i="8" s="1"/>
  <c r="E52" i="2"/>
  <c r="E57" i="2" s="1"/>
  <c r="G10" i="8"/>
  <c r="G11" i="8" s="1"/>
  <c r="F1" i="2"/>
  <c r="G101" i="2"/>
  <c r="L101" i="2"/>
  <c r="L103" i="2" s="1"/>
  <c r="G52" i="2"/>
  <c r="D52" i="2"/>
  <c r="D101" i="2"/>
  <c r="E101" i="2"/>
  <c r="D176" i="2"/>
  <c r="D28" i="2" s="1"/>
  <c r="F101" i="2"/>
  <c r="G17" i="8" l="1"/>
  <c r="G13" i="8" s="1"/>
  <c r="G14" i="8" s="1"/>
  <c r="H17" i="8"/>
  <c r="H13" i="8" s="1"/>
  <c r="H14" i="8" s="1"/>
  <c r="E60" i="2"/>
  <c r="E29" i="2"/>
  <c r="G19" i="8"/>
  <c r="G20" i="8" s="1"/>
  <c r="G25" i="8" s="1"/>
  <c r="G57" i="2"/>
  <c r="G60" i="2" s="1"/>
  <c r="I17" i="8"/>
  <c r="F60" i="2"/>
  <c r="F64" i="2" s="1"/>
  <c r="D57" i="2"/>
  <c r="D29" i="2" s="1"/>
  <c r="F17" i="8"/>
  <c r="F19" i="8" s="1"/>
  <c r="G1" i="2"/>
  <c r="G103" i="2"/>
  <c r="G2" i="2" s="1"/>
  <c r="F103" i="2"/>
  <c r="F2" i="2" s="1"/>
  <c r="E103" i="2"/>
  <c r="E2" i="2" s="1"/>
  <c r="D103" i="2"/>
  <c r="D2" i="2" s="1"/>
  <c r="E176" i="2"/>
  <c r="E28" i="2" s="1"/>
  <c r="E109" i="2" l="1"/>
  <c r="E124" i="2" s="1"/>
  <c r="E32" i="2" s="1"/>
  <c r="C18" i="24"/>
  <c r="C15" i="24"/>
  <c r="G29" i="2"/>
  <c r="H19" i="8" s="1"/>
  <c r="H20" i="8" s="1"/>
  <c r="H25" i="8" s="1"/>
  <c r="F109" i="2"/>
  <c r="F124" i="2" s="1"/>
  <c r="F32" i="2" s="1"/>
  <c r="D60" i="2"/>
  <c r="I13" i="8"/>
  <c r="F20" i="8"/>
  <c r="F25" i="8" s="1"/>
  <c r="F13" i="8"/>
  <c r="F14" i="8" s="1"/>
  <c r="G64" i="2"/>
  <c r="C16" i="24" s="1"/>
  <c r="L1" i="2"/>
  <c r="F176" i="2"/>
  <c r="F28" i="2" s="1"/>
  <c r="E141" i="2" l="1"/>
  <c r="C17" i="24"/>
  <c r="D17" i="24"/>
  <c r="C13" i="24"/>
  <c r="F141" i="2"/>
  <c r="D109" i="2"/>
  <c r="D124" i="2" s="1"/>
  <c r="D32" i="2" s="1"/>
  <c r="D64" i="2"/>
  <c r="G109" i="2"/>
  <c r="G124" i="2" s="1"/>
  <c r="G32" i="2" s="1"/>
  <c r="I14" i="8"/>
  <c r="Q1" i="2"/>
  <c r="G176" i="2"/>
  <c r="G28" i="2" s="1"/>
  <c r="C14" i="24" l="1"/>
  <c r="D14" i="24"/>
  <c r="D141" i="2"/>
  <c r="G141" i="2"/>
  <c r="R1" i="2"/>
  <c r="S1" i="2" l="1"/>
  <c r="L2" i="2"/>
  <c r="T1" i="2" l="1"/>
  <c r="U1" i="2" l="1"/>
  <c r="V1" i="2" l="1"/>
  <c r="Q174" i="2" l="1"/>
  <c r="P174" i="2" l="1"/>
  <c r="J17" i="8" l="1"/>
  <c r="L29" i="2" l="1"/>
  <c r="J13" i="8"/>
  <c r="L109" i="2"/>
  <c r="L124" i="2" l="1"/>
  <c r="K109" i="2"/>
  <c r="K124" i="2" s="1"/>
  <c r="E29" i="20"/>
  <c r="E32" i="20" s="1"/>
  <c r="M7" i="17"/>
  <c r="M6" i="17"/>
  <c r="D9" i="17"/>
  <c r="J14" i="8"/>
  <c r="I19" i="8"/>
  <c r="I20" i="8" s="1"/>
  <c r="I25" i="8" s="1"/>
  <c r="L141" i="2"/>
  <c r="K32" i="2" l="1"/>
  <c r="K141" i="2"/>
  <c r="L32" i="2"/>
  <c r="B94" i="20" s="1"/>
  <c r="D15" i="17"/>
  <c r="D24" i="17" s="1"/>
  <c r="E49" i="17" s="1"/>
  <c r="O6" i="17"/>
  <c r="O7" i="17"/>
  <c r="I26" i="17"/>
  <c r="I24" i="17"/>
  <c r="D6" i="11" l="1"/>
  <c r="P7" i="17"/>
  <c r="C6" i="11"/>
  <c r="P6" i="17"/>
  <c r="S32" i="2"/>
  <c r="U32" i="2"/>
  <c r="R32" i="2"/>
  <c r="Q32" i="2"/>
  <c r="V32" i="2"/>
  <c r="T32" i="2"/>
  <c r="I15" i="17"/>
  <c r="I16" i="17" s="1"/>
  <c r="D16" i="17"/>
  <c r="E50" i="17"/>
  <c r="E51" i="17" s="1"/>
  <c r="E64" i="17" s="1"/>
  <c r="F6" i="11" l="1"/>
  <c r="G6" i="11"/>
  <c r="F49" i="17"/>
  <c r="F50" i="17" l="1"/>
  <c r="F51" i="17" s="1"/>
  <c r="F64" i="17" l="1"/>
  <c r="G49" i="17"/>
  <c r="G50" i="17" l="1"/>
  <c r="G51" i="17" s="1"/>
  <c r="G64" i="17" l="1"/>
  <c r="H49" i="17"/>
  <c r="H50" i="17" l="1"/>
  <c r="H51" i="17" s="1"/>
  <c r="H64" i="17" l="1"/>
  <c r="I49" i="17"/>
  <c r="I50" i="17" l="1"/>
  <c r="I51" i="17" s="1"/>
  <c r="I64" i="17" l="1"/>
  <c r="M19" i="13" l="1"/>
  <c r="Q21" i="13" l="1"/>
  <c r="M22" i="13"/>
  <c r="P19" i="13"/>
  <c r="N19" i="13"/>
  <c r="O19" i="13"/>
  <c r="N22" i="13" l="1"/>
  <c r="P22" i="13" l="1"/>
  <c r="O22" i="13"/>
  <c r="I27" i="17" l="1"/>
  <c r="I28" i="17" s="1"/>
  <c r="D25" i="17" s="1"/>
  <c r="C25" i="17" s="1"/>
  <c r="D75" i="17" l="1"/>
  <c r="D74" i="17"/>
  <c r="D73" i="17"/>
  <c r="D72" i="17"/>
  <c r="D71" i="17"/>
  <c r="D28" i="17"/>
  <c r="Q166" i="2" l="1"/>
  <c r="S191" i="2" s="1"/>
  <c r="V191" i="2" l="1"/>
  <c r="U191" i="2"/>
  <c r="R191" i="2"/>
  <c r="R196" i="2" s="1"/>
  <c r="T191" i="2"/>
  <c r="K16" i="13"/>
  <c r="E30" i="2"/>
  <c r="R167" i="2" l="1"/>
  <c r="R37" i="2"/>
  <c r="E3" i="24"/>
  <c r="E12" i="24" s="1"/>
  <c r="E4" i="24" l="1"/>
  <c r="Q155" i="2"/>
  <c r="Q156" i="2" l="1"/>
  <c r="T225" i="2" s="1"/>
  <c r="P155" i="2"/>
  <c r="P16" i="2" s="1"/>
  <c r="V225" i="2" l="1"/>
  <c r="R225" i="2"/>
  <c r="R230" i="2" s="1"/>
  <c r="S225" i="2"/>
  <c r="U225" i="2"/>
  <c r="E37" i="17"/>
  <c r="E63" i="17"/>
  <c r="E40" i="17" l="1"/>
  <c r="E41" i="17" s="1"/>
  <c r="R157" i="2"/>
  <c r="F39" i="17" l="1"/>
  <c r="E65" i="17"/>
  <c r="E66" i="17" s="1"/>
  <c r="E71" i="17" s="1"/>
  <c r="E77" i="17" l="1"/>
  <c r="E78" i="17"/>
  <c r="E35" i="20"/>
  <c r="E37" i="20" s="1"/>
  <c r="E6" i="20" s="1"/>
  <c r="L6" i="13" l="1"/>
  <c r="K27" i="13"/>
  <c r="M6" i="13" l="1"/>
  <c r="K28" i="13"/>
  <c r="M9" i="13"/>
  <c r="M15" i="13" l="1"/>
  <c r="N6" i="13"/>
  <c r="O6" i="13" s="1"/>
  <c r="N9" i="13"/>
  <c r="O9" i="13" s="1"/>
  <c r="P9" i="13" s="1"/>
  <c r="P6" i="13" l="1"/>
  <c r="Q6" i="13" s="1"/>
  <c r="Q9" i="13" l="1"/>
  <c r="M7" i="2" l="1"/>
  <c r="N7" i="2"/>
  <c r="O7" i="2"/>
  <c r="M16" i="2"/>
  <c r="N16" i="2"/>
  <c r="O16" i="2"/>
  <c r="M29" i="2"/>
  <c r="N29" i="2"/>
  <c r="M177" i="2"/>
  <c r="N177" i="2"/>
  <c r="O177" i="2"/>
  <c r="F40" i="17" l="1"/>
  <c r="F41" i="17" s="1"/>
  <c r="G39" i="17" s="1"/>
  <c r="G37" i="17"/>
  <c r="G40" i="17" s="1"/>
  <c r="H37" i="17"/>
  <c r="H40" i="17" s="1"/>
  <c r="I37" i="17"/>
  <c r="I40" i="17" s="1"/>
  <c r="G41" i="17" l="1"/>
  <c r="H39" i="17" s="1"/>
  <c r="H41" i="17" s="1"/>
  <c r="I39" i="17" s="1"/>
  <c r="F65" i="17"/>
  <c r="G65" i="17" l="1"/>
  <c r="I41" i="17" l="1"/>
  <c r="I65" i="17" s="1"/>
  <c r="H65" i="17"/>
  <c r="F63" i="17"/>
  <c r="G63" i="17"/>
  <c r="G66" i="17" s="1"/>
  <c r="G73" i="17" s="1"/>
  <c r="H63" i="17"/>
  <c r="I63" i="17"/>
  <c r="F66" i="17"/>
  <c r="F72" i="17" s="1"/>
  <c r="F77" i="17" s="1"/>
  <c r="I66" i="17" l="1"/>
  <c r="I75" i="17" s="1"/>
  <c r="I77" i="17" s="1"/>
  <c r="H66" i="17"/>
  <c r="H74" i="17" s="1"/>
  <c r="H77" i="17" s="1"/>
  <c r="G77" i="17"/>
  <c r="G78" i="17"/>
  <c r="F78" i="17"/>
  <c r="H78" i="17" l="1"/>
  <c r="I78" i="17"/>
  <c r="T62" i="2" l="1"/>
  <c r="U62" i="2"/>
  <c r="V62" i="2"/>
  <c r="Q120" i="2" l="1"/>
  <c r="Q122" i="2"/>
  <c r="Q123" i="2"/>
  <c r="Q111" i="2" l="1"/>
  <c r="P27" i="2" l="1"/>
  <c r="Q27" i="2" s="1"/>
  <c r="Q175" i="2" s="1"/>
  <c r="Q176" i="2" s="1"/>
  <c r="R174" i="2" s="1"/>
  <c r="R176" i="2" s="1"/>
  <c r="Q137" i="2"/>
  <c r="P175" i="2"/>
  <c r="P176" i="2" s="1"/>
  <c r="P56" i="2" s="1"/>
  <c r="Q56" i="2" s="1"/>
  <c r="O19" i="2"/>
  <c r="P160" i="2" s="1"/>
  <c r="Q160" i="2" s="1"/>
  <c r="Q47" i="2" s="1"/>
  <c r="Q28" i="2" l="1"/>
  <c r="P177" i="2"/>
  <c r="Q19" i="2"/>
  <c r="R160" i="2"/>
  <c r="Q161" i="2"/>
  <c r="Q46" i="2"/>
  <c r="P46" i="2" s="1"/>
  <c r="Q113" i="2"/>
  <c r="P113" i="2" s="1"/>
  <c r="S174" i="2"/>
  <c r="S176" i="2" s="1"/>
  <c r="T174" i="2" l="1"/>
  <c r="T176" i="2" s="1"/>
  <c r="U208" i="2"/>
  <c r="T208" i="2"/>
  <c r="R208" i="2"/>
  <c r="V208" i="2"/>
  <c r="S208" i="2"/>
  <c r="Q127" i="2"/>
  <c r="S160" i="2"/>
  <c r="R161" i="2"/>
  <c r="R113" i="2"/>
  <c r="R98" i="2"/>
  <c r="Q98" i="2"/>
  <c r="P98" i="2"/>
  <c r="R28" i="2"/>
  <c r="Q177" i="2"/>
  <c r="R162" i="2" l="1"/>
  <c r="R49" i="2" s="1"/>
  <c r="R110" i="2" s="1"/>
  <c r="R213" i="2"/>
  <c r="S209" i="2"/>
  <c r="V209" i="2"/>
  <c r="U209" i="2"/>
  <c r="T209" i="2"/>
  <c r="T160" i="2"/>
  <c r="S161" i="2"/>
  <c r="S113" i="2"/>
  <c r="S98" i="2" s="1"/>
  <c r="N23" i="8"/>
  <c r="P127" i="2"/>
  <c r="Q132" i="2"/>
  <c r="U174" i="2"/>
  <c r="U176" i="2" s="1"/>
  <c r="V174" i="2" s="1"/>
  <c r="V176" i="2" s="1"/>
  <c r="S28" i="2"/>
  <c r="R177" i="2"/>
  <c r="R56" i="2"/>
  <c r="O22" i="8" l="1"/>
  <c r="O16" i="8" s="1"/>
  <c r="S162" i="2"/>
  <c r="S213" i="2"/>
  <c r="P132" i="2"/>
  <c r="P75" i="2"/>
  <c r="Q75" i="2" s="1"/>
  <c r="V210" i="2"/>
  <c r="T210" i="2"/>
  <c r="U210" i="2"/>
  <c r="U160" i="2"/>
  <c r="T161" i="2"/>
  <c r="T113" i="2"/>
  <c r="T28" i="2"/>
  <c r="S56" i="2"/>
  <c r="S177" i="2"/>
  <c r="P44" i="2"/>
  <c r="P52" i="2" l="1"/>
  <c r="P57" i="2" s="1"/>
  <c r="N10" i="8"/>
  <c r="T162" i="2"/>
  <c r="T213" i="2"/>
  <c r="T98" i="2"/>
  <c r="U28" i="2"/>
  <c r="T56" i="2"/>
  <c r="T177" i="2"/>
  <c r="V160" i="2"/>
  <c r="U161" i="2"/>
  <c r="V212" i="2" s="1"/>
  <c r="U113" i="2"/>
  <c r="U98" i="2" s="1"/>
  <c r="U211" i="2"/>
  <c r="V211" i="2"/>
  <c r="P82" i="2"/>
  <c r="P150" i="2" s="1"/>
  <c r="P151" i="2" s="1"/>
  <c r="P152" i="2" s="1"/>
  <c r="Q7" i="2"/>
  <c r="Q52" i="2" l="1"/>
  <c r="E7" i="24" s="1"/>
  <c r="E9" i="24" s="1"/>
  <c r="N17" i="8"/>
  <c r="N13" i="8" s="1"/>
  <c r="N14" i="8" s="1"/>
  <c r="U162" i="2"/>
  <c r="U213" i="2"/>
  <c r="V213" i="2"/>
  <c r="V162" i="2"/>
  <c r="V161" i="2"/>
  <c r="V113" i="2"/>
  <c r="V98" i="2" s="1"/>
  <c r="V28" i="2"/>
  <c r="U177" i="2"/>
  <c r="U56" i="2"/>
  <c r="P58" i="2"/>
  <c r="P60" i="2" s="1"/>
  <c r="Q82" i="2"/>
  <c r="Q57" i="2"/>
  <c r="E8" i="24" l="1"/>
  <c r="Q150" i="2"/>
  <c r="Q151" i="2" s="1"/>
  <c r="Q25" i="2"/>
  <c r="V177" i="2"/>
  <c r="V56" i="2"/>
  <c r="Q58" i="2"/>
  <c r="Q29" i="2" s="1"/>
  <c r="J19" i="8" l="1"/>
  <c r="J20" i="8" s="1"/>
  <c r="J25" i="8" s="1"/>
  <c r="N19" i="8"/>
  <c r="N20" i="8" s="1"/>
  <c r="Q60" i="2"/>
  <c r="P109" i="2"/>
  <c r="E15" i="24" l="1"/>
  <c r="Q109" i="2"/>
  <c r="Q44" i="2" l="1"/>
  <c r="N11" i="8" s="1"/>
  <c r="P121" i="2" l="1"/>
  <c r="Q121" i="2" l="1"/>
  <c r="L3" i="13" l="1"/>
  <c r="L15" i="13" l="1"/>
  <c r="R84" i="2" s="1"/>
  <c r="N3" i="13"/>
  <c r="N15" i="13" s="1"/>
  <c r="M4" i="13"/>
  <c r="L4" i="13"/>
  <c r="R165" i="2"/>
  <c r="R166" i="2" s="1"/>
  <c r="R170" i="2" l="1"/>
  <c r="L27" i="13"/>
  <c r="L28" i="13" s="1"/>
  <c r="L16" i="13"/>
  <c r="M16" i="13"/>
  <c r="R41" i="2"/>
  <c r="R47" i="2" s="1"/>
  <c r="R46" i="2" s="1"/>
  <c r="F30" i="2"/>
  <c r="N4" i="13"/>
  <c r="T41" i="2"/>
  <c r="T47" i="2" s="1"/>
  <c r="T46" i="2" s="1"/>
  <c r="S41" i="2"/>
  <c r="S47" i="2" s="1"/>
  <c r="S46" i="2" s="1"/>
  <c r="G30" i="2"/>
  <c r="M27" i="13"/>
  <c r="S165" i="2"/>
  <c r="S166" i="2" s="1"/>
  <c r="S84" i="2"/>
  <c r="S123" i="2" s="1"/>
  <c r="S170" i="2"/>
  <c r="O3" i="13"/>
  <c r="O15" i="13" s="1"/>
  <c r="P3" i="13"/>
  <c r="P15" i="13" s="1"/>
  <c r="N27" i="13"/>
  <c r="T165" i="2"/>
  <c r="T166" i="2" s="1"/>
  <c r="N16" i="13"/>
  <c r="S192" i="2"/>
  <c r="U192" i="2"/>
  <c r="V192" i="2"/>
  <c r="T192" i="2"/>
  <c r="M28" i="13" l="1"/>
  <c r="R43" i="2"/>
  <c r="R40" i="2"/>
  <c r="F3" i="24" s="1"/>
  <c r="S43" i="2"/>
  <c r="N28" i="13"/>
  <c r="T43" i="2"/>
  <c r="T40" i="2"/>
  <c r="Q7" i="8" s="1"/>
  <c r="T170" i="2"/>
  <c r="T84" i="2"/>
  <c r="T123" i="2" s="1"/>
  <c r="S40" i="2"/>
  <c r="G3" i="24" s="1"/>
  <c r="G12" i="24" s="1"/>
  <c r="T193" i="2"/>
  <c r="T196" i="2" s="1"/>
  <c r="U193" i="2"/>
  <c r="V193" i="2"/>
  <c r="O4" i="13"/>
  <c r="O27" i="13"/>
  <c r="O28" i="13" s="1"/>
  <c r="U165" i="2"/>
  <c r="U166" i="2" s="1"/>
  <c r="V195" i="2" s="1"/>
  <c r="U194" i="2"/>
  <c r="V194" i="2"/>
  <c r="Q3" i="13"/>
  <c r="V165" i="2"/>
  <c r="V166" i="2" s="1"/>
  <c r="P4" i="13"/>
  <c r="P27" i="13"/>
  <c r="S196" i="2"/>
  <c r="S167" i="2"/>
  <c r="T155" i="2" l="1"/>
  <c r="T156" i="2" s="1"/>
  <c r="V228" i="2" s="1"/>
  <c r="T44" i="2"/>
  <c r="Q10" i="8" s="1"/>
  <c r="Q11" i="8" s="1"/>
  <c r="S82" i="2"/>
  <c r="S90" i="2" s="1"/>
  <c r="S94" i="2" s="1"/>
  <c r="R44" i="2"/>
  <c r="O7" i="8"/>
  <c r="O8" i="8" s="1"/>
  <c r="R155" i="2"/>
  <c r="R156" i="2" s="1"/>
  <c r="R82" i="2"/>
  <c r="T82" i="2"/>
  <c r="T90" i="2" s="1"/>
  <c r="T94" i="2" s="1"/>
  <c r="U167" i="2"/>
  <c r="T167" i="2"/>
  <c r="S44" i="2"/>
  <c r="P10" i="8" s="1"/>
  <c r="S155" i="2"/>
  <c r="S156" i="2" s="1"/>
  <c r="U227" i="2" s="1"/>
  <c r="P7" i="8"/>
  <c r="V196" i="2"/>
  <c r="P16" i="13"/>
  <c r="V84" i="2"/>
  <c r="V170" i="2"/>
  <c r="Q15" i="13"/>
  <c r="V41" i="2"/>
  <c r="Q27" i="13"/>
  <c r="P28" i="13"/>
  <c r="U196" i="2"/>
  <c r="U170" i="2"/>
  <c r="O16" i="13"/>
  <c r="U84" i="2"/>
  <c r="U123" i="2" s="1"/>
  <c r="V167" i="2"/>
  <c r="U41" i="2"/>
  <c r="F4" i="24" l="1"/>
  <c r="F12" i="24"/>
  <c r="T127" i="2"/>
  <c r="Q23" i="8" s="1"/>
  <c r="U228" i="2"/>
  <c r="S150" i="2"/>
  <c r="T150" i="2"/>
  <c r="T121" i="2"/>
  <c r="S127" i="2"/>
  <c r="P23" i="8" s="1"/>
  <c r="T227" i="2"/>
  <c r="V227" i="2"/>
  <c r="R150" i="2"/>
  <c r="R90" i="2"/>
  <c r="R94" i="2" s="1"/>
  <c r="R121" i="2"/>
  <c r="S121" i="2"/>
  <c r="O10" i="8"/>
  <c r="O11" i="8" s="1"/>
  <c r="R52" i="2"/>
  <c r="F7" i="24" s="1"/>
  <c r="V226" i="2"/>
  <c r="S226" i="2"/>
  <c r="U226" i="2"/>
  <c r="R127" i="2"/>
  <c r="T226" i="2"/>
  <c r="P8" i="8"/>
  <c r="G4" i="24"/>
  <c r="Q8" i="8"/>
  <c r="P11" i="8"/>
  <c r="U43" i="2"/>
  <c r="U40" i="2"/>
  <c r="U47" i="2"/>
  <c r="U46" i="2" s="1"/>
  <c r="V40" i="2"/>
  <c r="V43" i="2"/>
  <c r="V47" i="2"/>
  <c r="V46" i="2" s="1"/>
  <c r="V123" i="2"/>
  <c r="F9" i="24" l="1"/>
  <c r="F8" i="24"/>
  <c r="T132" i="2"/>
  <c r="U157" i="2"/>
  <c r="U49" i="2" s="1"/>
  <c r="R22" i="8" s="1"/>
  <c r="R16" i="8" s="1"/>
  <c r="S132" i="2"/>
  <c r="T157" i="2"/>
  <c r="T49" i="2" s="1"/>
  <c r="T52" i="2" s="1"/>
  <c r="T57" i="2" s="1"/>
  <c r="T58" i="2" s="1"/>
  <c r="T60" i="2" s="1"/>
  <c r="S230" i="2"/>
  <c r="S157" i="2"/>
  <c r="S49" i="2" s="1"/>
  <c r="U230" i="2"/>
  <c r="O23" i="8"/>
  <c r="R75" i="2"/>
  <c r="R132" i="2"/>
  <c r="R57" i="2"/>
  <c r="R58" i="2" s="1"/>
  <c r="R60" i="2" s="1"/>
  <c r="R64" i="2" s="1"/>
  <c r="O17" i="8"/>
  <c r="E19" i="20" s="1"/>
  <c r="T230" i="2"/>
  <c r="V82" i="2"/>
  <c r="R7" i="8"/>
  <c r="U155" i="2"/>
  <c r="U156" i="2" s="1"/>
  <c r="U44" i="2"/>
  <c r="V44" i="2"/>
  <c r="V155" i="2"/>
  <c r="V156" i="2" s="1"/>
  <c r="V127" i="2" s="1"/>
  <c r="S7" i="8"/>
  <c r="U82" i="2"/>
  <c r="U110" i="2" l="1"/>
  <c r="Q22" i="8"/>
  <c r="Q16" i="8" s="1"/>
  <c r="T110" i="2"/>
  <c r="Q17" i="8"/>
  <c r="Q19" i="8" s="1"/>
  <c r="Q20" i="8" s="1"/>
  <c r="F15" i="24"/>
  <c r="O19" i="8"/>
  <c r="O20" i="8" s="1"/>
  <c r="O13" i="8"/>
  <c r="Q10" i="10"/>
  <c r="E20" i="20" s="1"/>
  <c r="V29" i="10" s="1"/>
  <c r="R109" i="2"/>
  <c r="S52" i="2"/>
  <c r="G7" i="24" s="1"/>
  <c r="S110" i="2"/>
  <c r="S75" i="2" s="1"/>
  <c r="P22" i="8"/>
  <c r="P16" i="8" s="1"/>
  <c r="S8" i="8"/>
  <c r="U121" i="2"/>
  <c r="U90" i="2"/>
  <c r="U94" i="2" s="1"/>
  <c r="U150" i="2"/>
  <c r="S23" i="8"/>
  <c r="V132" i="2"/>
  <c r="S10" i="8"/>
  <c r="S11" i="8" s="1"/>
  <c r="R8" i="8"/>
  <c r="R10" i="8"/>
  <c r="R11" i="8" s="1"/>
  <c r="U52" i="2"/>
  <c r="U127" i="2"/>
  <c r="V229" i="2"/>
  <c r="V121" i="2"/>
  <c r="V90" i="2"/>
  <c r="V94" i="2" s="1"/>
  <c r="V150" i="2"/>
  <c r="T109" i="2"/>
  <c r="T64" i="2"/>
  <c r="F13" i="24"/>
  <c r="V32" i="10" l="1"/>
  <c r="V36" i="10" s="1"/>
  <c r="V31" i="10"/>
  <c r="V35" i="10" s="1"/>
  <c r="V33" i="10"/>
  <c r="V37" i="10" s="1"/>
  <c r="D9" i="11"/>
  <c r="C9" i="11"/>
  <c r="F9" i="11" s="1"/>
  <c r="D8" i="11"/>
  <c r="C8" i="11"/>
  <c r="F8" i="11" s="1"/>
  <c r="G9" i="24"/>
  <c r="G8" i="24"/>
  <c r="Q31" i="10"/>
  <c r="S31" i="10"/>
  <c r="T75" i="2"/>
  <c r="U75" i="2" s="1"/>
  <c r="S10" i="10"/>
  <c r="Q13" i="8"/>
  <c r="Q14" i="8" s="1"/>
  <c r="O14" i="8"/>
  <c r="P17" i="8"/>
  <c r="E21" i="20" s="1"/>
  <c r="E24" i="20" s="1"/>
  <c r="E26" i="20" s="1"/>
  <c r="E5" i="20" s="1"/>
  <c r="S57" i="2"/>
  <c r="S58" i="2" s="1"/>
  <c r="S60" i="2" s="1"/>
  <c r="Q25" i="10"/>
  <c r="V157" i="2"/>
  <c r="V49" i="2" s="1"/>
  <c r="V52" i="2" s="1"/>
  <c r="S17" i="8" s="1"/>
  <c r="V230" i="2"/>
  <c r="R23" i="8"/>
  <c r="U132" i="2"/>
  <c r="R17" i="8"/>
  <c r="U57" i="2"/>
  <c r="S32" i="10" l="1"/>
  <c r="E9" i="11"/>
  <c r="R25" i="10"/>
  <c r="E7" i="11" s="1"/>
  <c r="C7" i="11"/>
  <c r="F7" i="11" s="1"/>
  <c r="G8" i="11"/>
  <c r="Q32" i="10"/>
  <c r="E8" i="11"/>
  <c r="G9" i="11"/>
  <c r="S64" i="2"/>
  <c r="G13" i="24" s="1"/>
  <c r="G14" i="24" s="1"/>
  <c r="G15" i="24"/>
  <c r="S109" i="2"/>
  <c r="P19" i="8"/>
  <c r="P20" i="8" s="1"/>
  <c r="P13" i="8"/>
  <c r="P14" i="8" s="1"/>
  <c r="R10" i="10"/>
  <c r="V57" i="2"/>
  <c r="V58" i="2" s="1"/>
  <c r="V60" i="2" s="1"/>
  <c r="U58" i="2"/>
  <c r="U60" i="2" s="1"/>
  <c r="R19" i="8"/>
  <c r="R20" i="8" s="1"/>
  <c r="R13" i="8"/>
  <c r="D50" i="8" s="1"/>
  <c r="D51" i="8" s="1"/>
  <c r="V110" i="2"/>
  <c r="V75" i="2" s="1"/>
  <c r="S22" i="8"/>
  <c r="S16" i="8" s="1"/>
  <c r="S13" i="8" s="1"/>
  <c r="S14" i="8" s="1"/>
  <c r="S19" i="8"/>
  <c r="S20" i="8" s="1"/>
  <c r="R32" i="10" l="1"/>
  <c r="G7" i="11"/>
  <c r="V109" i="2"/>
  <c r="V64" i="2"/>
  <c r="U64" i="2"/>
  <c r="U109" i="2"/>
  <c r="R14" i="8"/>
  <c r="E10" i="20" l="1"/>
  <c r="S72" i="2"/>
  <c r="R72" i="2"/>
  <c r="R149" i="2"/>
  <c r="S119" i="2" l="1"/>
  <c r="S149" i="2"/>
  <c r="T149" i="2" l="1"/>
  <c r="T72" i="2"/>
  <c r="U72" i="2" l="1"/>
  <c r="U119" i="2" s="1"/>
  <c r="U149" i="2"/>
  <c r="T119" i="2"/>
  <c r="V72" i="2" l="1"/>
  <c r="V119" i="2" s="1"/>
  <c r="V149" i="2"/>
  <c r="R148" i="2"/>
  <c r="R71" i="2" s="1"/>
  <c r="S148" i="2"/>
  <c r="S71" i="2" s="1"/>
  <c r="T148" i="2" l="1"/>
  <c r="T71" i="2" s="1"/>
  <c r="T118" i="2" s="1"/>
  <c r="T124" i="2" s="1"/>
  <c r="T135" i="2" s="1"/>
  <c r="S118" i="2"/>
  <c r="S124" i="2" s="1"/>
  <c r="S135" i="2" s="1"/>
  <c r="R151" i="2"/>
  <c r="S151" i="2"/>
  <c r="S139" i="2" l="1"/>
  <c r="S141" i="2" s="1"/>
  <c r="C88" i="8"/>
  <c r="C86" i="8"/>
  <c r="T139" i="2"/>
  <c r="T141" i="2" s="1"/>
  <c r="D86" i="8"/>
  <c r="D88" i="8"/>
  <c r="T151" i="2"/>
  <c r="Q24" i="8" s="1"/>
  <c r="Q25" i="8" s="1"/>
  <c r="V148" i="2"/>
  <c r="U148" i="2"/>
  <c r="P24" i="8"/>
  <c r="P25" i="8" s="1"/>
  <c r="S152" i="2"/>
  <c r="P29" i="8" l="1"/>
  <c r="C78" i="8"/>
  <c r="C76" i="8"/>
  <c r="C77" i="8"/>
  <c r="Q29" i="8"/>
  <c r="D76" i="8"/>
  <c r="D77" i="8"/>
  <c r="D78" i="8"/>
  <c r="T152" i="2"/>
  <c r="U71" i="2"/>
  <c r="U118" i="2" s="1"/>
  <c r="U124" i="2" s="1"/>
  <c r="U135" i="2" s="1"/>
  <c r="U151" i="2"/>
  <c r="V151" i="2"/>
  <c r="V71" i="2"/>
  <c r="U139" i="2" l="1"/>
  <c r="U141" i="2" s="1"/>
  <c r="E86" i="8"/>
  <c r="E88" i="8"/>
  <c r="V118" i="2"/>
  <c r="V124" i="2" s="1"/>
  <c r="V135" i="2" s="1"/>
  <c r="V152" i="2"/>
  <c r="U152" i="2"/>
  <c r="S24" i="8"/>
  <c r="S25" i="8" s="1"/>
  <c r="R24" i="8"/>
  <c r="R25" i="8" s="1"/>
  <c r="P118" i="2"/>
  <c r="Q118" i="2" s="1"/>
  <c r="Q23" i="2"/>
  <c r="R118" i="2"/>
  <c r="E54" i="17"/>
  <c r="R30" i="2"/>
  <c r="R171" i="2" s="1"/>
  <c r="Q84" i="2"/>
  <c r="P84" i="2" s="1"/>
  <c r="Q171" i="2"/>
  <c r="V139" i="2" l="1"/>
  <c r="V141" i="2" s="1"/>
  <c r="F81" i="8"/>
  <c r="F86" i="8" s="1"/>
  <c r="R29" i="8"/>
  <c r="E78" i="8"/>
  <c r="E76" i="8"/>
  <c r="E77" i="8"/>
  <c r="S29" i="8"/>
  <c r="F73" i="8"/>
  <c r="F72" i="8"/>
  <c r="F74" i="8"/>
  <c r="S30" i="2"/>
  <c r="S171" i="2" s="1"/>
  <c r="F54" i="17"/>
  <c r="T30" i="2"/>
  <c r="U30" i="2" s="1"/>
  <c r="G54" i="17"/>
  <c r="I54" i="17"/>
  <c r="V30" i="2"/>
  <c r="V171" i="2" s="1"/>
  <c r="H54" i="17"/>
  <c r="T171" i="2"/>
  <c r="Q90" i="2"/>
  <c r="Q94" i="2" s="1"/>
  <c r="R123" i="2"/>
  <c r="P90" i="2"/>
  <c r="P94" i="2" s="1"/>
  <c r="P116" i="2"/>
  <c r="P171" i="2"/>
  <c r="P30" i="2" s="1"/>
  <c r="U171" i="2"/>
  <c r="Q116" i="2" l="1"/>
  <c r="Q64" i="2"/>
  <c r="E13" i="24" s="1"/>
  <c r="P64" i="2"/>
  <c r="E14" i="24" l="1"/>
  <c r="F14" i="24"/>
  <c r="R119" i="2"/>
  <c r="R124" i="2" s="1"/>
  <c r="R135" i="2" s="1"/>
  <c r="R139" i="2" l="1"/>
  <c r="R141" i="2" s="1"/>
  <c r="B86" i="8"/>
  <c r="B88" i="8"/>
  <c r="O24" i="8"/>
  <c r="O25" i="8" s="1"/>
  <c r="N24" i="8"/>
  <c r="Q152" i="2"/>
  <c r="R152" i="2"/>
  <c r="O29" i="8" l="1"/>
  <c r="B77" i="8"/>
  <c r="B78" i="8"/>
  <c r="B76" i="8"/>
  <c r="N25" i="8"/>
  <c r="N29" i="8" s="1"/>
  <c r="P119" i="2"/>
  <c r="D53" i="8" l="1"/>
  <c r="D54" i="8" s="1"/>
  <c r="Q119" i="2"/>
  <c r="Q124" i="2" s="1"/>
  <c r="Q135" i="2" s="1"/>
  <c r="P124" i="2"/>
  <c r="E9" i="20" l="1"/>
  <c r="E11" i="20" s="1"/>
  <c r="E14" i="20" s="1"/>
  <c r="E16" i="20" s="1"/>
  <c r="E4" i="20" s="1"/>
  <c r="D57" i="8"/>
  <c r="D61" i="8" s="1"/>
  <c r="P135" i="2"/>
  <c r="Q139" i="2"/>
  <c r="Q141" i="2" s="1"/>
  <c r="V69" i="8" l="1"/>
  <c r="D63" i="8"/>
  <c r="V77" i="8" s="1"/>
  <c r="P32" i="2"/>
  <c r="P97" i="2"/>
  <c r="P139" i="2"/>
  <c r="P141" i="2" s="1"/>
  <c r="F5" i="11" l="1"/>
  <c r="Q70" i="2"/>
  <c r="P70" i="2"/>
  <c r="P100" i="2"/>
  <c r="P101" i="2" s="1"/>
  <c r="Q97" i="2"/>
  <c r="P74" i="2" l="1"/>
  <c r="P79" i="2" s="1"/>
  <c r="P103" i="2" s="1"/>
  <c r="P2" i="2" s="1"/>
  <c r="G5" i="11"/>
  <c r="R97" i="2"/>
  <c r="Q100" i="2"/>
  <c r="Q101" i="2" s="1"/>
  <c r="Q74" i="2"/>
  <c r="Q79" i="2" s="1"/>
  <c r="R70" i="2"/>
  <c r="R74" i="2" l="1"/>
  <c r="R79" i="2" s="1"/>
  <c r="S70" i="2"/>
  <c r="Q103" i="2"/>
  <c r="Q2" i="2" s="1"/>
  <c r="S97" i="2"/>
  <c r="R100" i="2"/>
  <c r="R101" i="2" s="1"/>
  <c r="R103" i="2" l="1"/>
  <c r="R2" i="2" s="1"/>
  <c r="T97" i="2"/>
  <c r="S100" i="2"/>
  <c r="S101" i="2" s="1"/>
  <c r="S74" i="2"/>
  <c r="S79" i="2" s="1"/>
  <c r="T70" i="2"/>
  <c r="S103" i="2" l="1"/>
  <c r="S2" i="2" s="1"/>
  <c r="T74" i="2"/>
  <c r="T79" i="2" s="1"/>
  <c r="U70" i="2"/>
  <c r="U97" i="2"/>
  <c r="T100" i="2"/>
  <c r="T101" i="2" s="1"/>
  <c r="T103" i="2" l="1"/>
  <c r="T2" i="2" s="1"/>
  <c r="V97" i="2"/>
  <c r="V100" i="2" s="1"/>
  <c r="V101" i="2" s="1"/>
  <c r="U100" i="2"/>
  <c r="U101" i="2" s="1"/>
  <c r="U74" i="2"/>
  <c r="U79" i="2" s="1"/>
  <c r="V70" i="2"/>
  <c r="V74" i="2" s="1"/>
  <c r="V79" i="2" s="1"/>
  <c r="U103" i="2" l="1"/>
  <c r="U2" i="2" s="1"/>
  <c r="V103" i="2"/>
  <c r="V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B10" authorId="0" shapeId="0" xr:uid="{1BB4CB42-548D-F54A-B90D-7CD65AEFD573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Calibri"/>
            <family val="2"/>
          </rPr>
          <t>assumes 0.3% annual structural market share loss--incremented up/down based on bull/bear case--skewing base case to the downside given flat structural market share over the past 7 years due to online sales channel gains offsetting retail losses</t>
        </r>
      </text>
    </comment>
    <comment ref="B14" authorId="0" shapeId="0" xr:uid="{A65B6E3B-DADF-1E45-9429-E7945DFFED74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Gartner, Canalys</t>
        </r>
      </text>
    </comment>
    <comment ref="B15" authorId="0" shapeId="0" xr:uid="{1E21D51C-78B0-534A-8D0F-4CE23F388813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Gartner, Canalys</t>
        </r>
      </text>
    </comment>
    <comment ref="B16" authorId="0" shapeId="0" xr:uid="{F872C516-40D8-9745-A703-32D0E94A05B1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Calibri"/>
            <family val="2"/>
          </rPr>
          <t xml:space="preserve">Bull: Adoption inflects above a standard S-curve as AI workload penetration + Windows 10 end-of-support (EOS) pull forward upgrades. Model this as an accelerating post-midpoint slope (0.70 vs. 0.61 pre-midpoint) to reflect faster-than-normal penetration.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Base: Classic S-curve diffusion. Set the post-midpoint growth-rate slope ’27–’28 ≈ 0.60, just below the pre-midpoint ’26–’27 ≈ 0.61, consistent with a normal S-curve where the incremental slope begins to roll over after the midpoint.
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Bear: Use a lower k such that ~100% AI PC adoption takes ~10 years (analogous to SSD adoption from ~2012 to the early 2020s), capturing near-term macro noise and/or a weaker value proposition that slows uptake among the late majority (~2/3 of the market).
</t>
        </r>
      </text>
    </comment>
    <comment ref="B18" authorId="0" shapeId="0" xr:uid="{8E400C9B-82E9-7140-B12B-859DD1227FED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Assumes a linear decline until the parity year.
</t>
        </r>
        <r>
          <rPr>
            <sz val="10"/>
            <color rgb="FF000000"/>
            <rFont val="Calibri"/>
            <family val="2"/>
          </rPr>
          <t>Base case is benchmarked to the most recent analogous adoption curve (SSDs), which reached mass-market penetration in roughly four years.</t>
        </r>
      </text>
    </comment>
    <comment ref="E20" authorId="0" shapeId="0" xr:uid="{3FDC951D-C235-3C45-AD01-0E68A772B96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>17% discount applied (in-line</t>
        </r>
        <r>
          <rPr>
            <sz val="10"/>
            <color rgb="FF000000"/>
            <rFont val="Calibri"/>
            <family val="2"/>
            <scheme val="minor"/>
          </rPr>
          <t xml:space="preserve"> with COVID upgrade cycle derating where NTM EV/EBIT compressed from 12.7x to 10.5x despite a sharp rally)</t>
        </r>
        <r>
          <rPr>
            <sz val="10"/>
            <color rgb="FF000000"/>
            <rFont val="Calibri"/>
            <family val="2"/>
            <scheme val="minor"/>
          </rPr>
          <t xml:space="preserve"> to</t>
        </r>
        <r>
          <rPr>
            <sz val="10"/>
            <color rgb="FF000000"/>
            <rFont val="Calibri"/>
            <family val="2"/>
            <scheme val="minor"/>
          </rPr>
          <t xml:space="preserve"> </t>
        </r>
        <r>
          <rPr>
            <sz val="10"/>
            <color rgb="FF000000"/>
            <rFont val="Calibri"/>
            <family val="2"/>
            <scheme val="minor"/>
          </rPr>
          <t>avoid capitalizing pull-forward-driven EBIT at a full “steady-state” multiple.</t>
        </r>
        <r>
          <rPr>
            <sz val="10"/>
            <color rgb="FF000000"/>
            <rFont val="Calibri"/>
            <family val="2"/>
            <scheme val="minor"/>
          </rPr>
          <t xml:space="preserve"> No rerating assumed</t>
        </r>
      </text>
    </comment>
    <comment ref="B21" authorId="0" shapeId="0" xr:uid="{DCFDCADE-2D05-224B-95FA-09F6557B01E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based on growth inflection over secular growth rate driven by this year's smartphone upgrade cycle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IBISWorld</t>
        </r>
      </text>
    </comment>
    <comment ref="B22" authorId="0" shapeId="0" xr:uid="{76E898DE-9D7D-1F48-8A9C-B3F528A599B0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No major product cycles anticipated within the next 5 years
</t>
        </r>
      </text>
    </comment>
    <comment ref="B29" authorId="0" shapeId="0" xr:uid="{79179FF9-5E66-484C-8573-F4DFB2A1DEF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Assumes no idiosyncratic growth headwind to BBY from channel erosion, given robust buy-online-pickup-in-store model adoption &amp; effective management execution
</t>
        </r>
      </text>
    </comment>
    <comment ref="B30" authorId="0" shapeId="0" xr:uid="{7FF91EEE-32AD-3343-8595-A2066BD87DA6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Assumes linear convergence</t>
        </r>
      </text>
    </comment>
    <comment ref="B38" authorId="0" shapeId="0" xr:uid="{79280E7B-53EB-6742-87F1-94BA27E22A51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Base case assumes a four-year ramp, consistent with the timeline required to scale the current platform under Renew Blue</t>
        </r>
      </text>
    </comment>
    <comment ref="B44" authorId="0" shapeId="0" xr:uid="{1E95EC70-00A2-804A-923A-F60C3D5F4578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>Based on the observed maturation timelines of Amazon’s and Walmart’s advertising businesses (approximately 6–7 years and ~4 years, respectively), I assume a 6-year ramp toward the longer end of the range to stay conservative</t>
        </r>
      </text>
    </comment>
    <comment ref="B49" authorId="0" shapeId="0" xr:uid="{A232D73E-575D-1943-A9EA-0429ABAF6550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median consensus estimate from FY'26 to '28, taken straight-lined thereafter</t>
        </r>
      </text>
    </comment>
    <comment ref="B59" authorId="0" shapeId="0" xr:uid="{F10F7E90-F3E4-5247-B927-915B1A4C2E9D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Consensus FY '28 extrapolated through 2031</t>
        </r>
      </text>
    </comment>
    <comment ref="A81" authorId="0" shapeId="0" xr:uid="{85F52FEE-9064-2D45-9945-B0991619B6F3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TTM &amp; FY '25 trends taken to reflecting the current macroeconomic environment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A4" authorId="0" shapeId="0" xr:uid="{25FC8760-0504-E14D-9048-120CFB689FCC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includes PCs and associated peripherals &amp; accessories</t>
        </r>
      </text>
    </comment>
    <comment ref="A6" authorId="0" shapeId="0" xr:uid="{F24D9D50-07CB-4F49-90C3-43C3F95341E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https://www-statista-com.proxy.library.vanderbilt.edu/statistics/203759/average-selling-price-of-desktop-pcs-worldwide/</t>
        </r>
      </text>
    </comment>
    <comment ref="A7" authorId="0" shapeId="0" xr:uid="{02B3972B-F03A-2E49-AA37-A77B2F8A55B5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https://www-statista-com.proxy.library.vanderbilt.edu/statistics/722992/worldwide-personal-computers-average-selling-price/?srsltid=AfmBOoqIo-HUKJeFogpWurajrjpBBY7aY7Wqv1Vd5-8ff6y9bJsQmVt1</t>
        </r>
      </text>
    </comment>
    <comment ref="A9" authorId="0" shapeId="0" xr:uid="{B7E3BF50-A652-9447-A4EA-EE9D21A3C4A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COVID cycle years highlighted</t>
        </r>
      </text>
    </comment>
    <comment ref="B12" authorId="0" shapeId="0" xr:uid="{897CBFA8-B458-BE43-ACEB-66B7CE64581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market share during normal, non-cyclical years</t>
        </r>
      </text>
    </comment>
    <comment ref="B13" authorId="0" shapeId="0" xr:uid="{20546B5E-2AFA-A24F-9B85-AD16305D6BAE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Calibrated to the COVID upgrade cycle, as no major cycles occurred from 2017–2020 and the company’s current operating model was not fully implemented prior to 2017</t>
        </r>
      </text>
    </comment>
    <comment ref="B16" authorId="0" shapeId="0" xr:uid="{644AC802-8832-6B42-B5A5-725B0D70C372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Gartner,Canalys</t>
        </r>
      </text>
    </comment>
    <comment ref="B17" authorId="0" shapeId="0" xr:uid="{21CB07EB-F4B1-2146-8B7E-9131BBF49B01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Gartner,Canalys</t>
        </r>
      </text>
    </comment>
    <comment ref="B18" authorId="0" shapeId="0" xr:uid="{AD46B822-E7A3-6948-9D42-6ED75DAEC2C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average of the mid-point of the price premium range provided by HP, &amp; the difference between the price of a mid-spec Copilot PC (which ranges from $950 to $2,400) at $1,300 with that of the average PC SKU this year (~$659): 
https://www.hp.com/hk-en/shop/tech-takes/post/should-i-buy-ai-pc-buyers-guide#:~:text=AI%20PC%20vs.&amp;text=AI%20PCs%20currently%20command%20a,savings%20and%20enhanced%20data%20security, https://www.microsoft.com/en-us/store/configure/surface-laptop-13-8-inch/8mzbmmcjzqjk, https://www.news.market.us/laptop-statistics/
</t>
        </r>
      </text>
    </comment>
    <comment ref="B19" authorId="0" shapeId="0" xr:uid="{262D2BF8-0C7E-304C-AD51-D36870A2A32D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Baseline growth rate (ex-AI)</t>
        </r>
      </text>
    </comment>
    <comment ref="B20" authorId="0" shapeId="0" xr:uid="{971A918D-45C2-1443-962B-8BECC8607743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Calibri"/>
            <family val="2"/>
            <scheme val="minor"/>
          </rPr>
          <t>U.S. unit volume growth over the past decade was supported by population-driven demand, which is expected to decelerate materially over the next 10 years, reducing the structural tailwind to category volumes</t>
        </r>
      </text>
    </comment>
    <comment ref="B21" authorId="0" shapeId="0" xr:uid="{7EAEF2BC-14DB-0646-9282-7837693F66E2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Calibri"/>
            <family val="2"/>
          </rPr>
          <t>Historical change is used to isolate the baseline, ex-AI increase.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https://www.news.market.us/laptop-statistics</t>
        </r>
      </text>
    </comment>
    <comment ref="B28" authorId="0" shapeId="0" xr:uid="{5112709A-DBE8-634F-BE86-48B0E466E539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https://www.grandviewresearch.com/horizon/outlook/consumer-electronics-market/united-states</t>
        </r>
      </text>
    </comment>
    <comment ref="B29" authorId="0" shapeId="0" xr:uid="{A7606C8D-3B6D-2E4B-A71D-5C35829BD798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https://www.mordorintelligence.com/industry-reports/north-america-electronic-manufacturing-services-market</t>
        </r>
      </text>
    </comment>
    <comment ref="B30" authorId="0" shapeId="0" xr:uid="{AE6F2D4C-D8EA-9448-883C-BFC67F28AABE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1"/>
            <color rgb="FF000000"/>
            <rFont val="Calibri"/>
            <family val="34"/>
          </rPr>
          <t xml:space="preserve">product of (online channel share in 2030/Y2024 share) * (total electronics market value in 2030/Y2024) taken to the sixth root)
</t>
        </r>
        <r>
          <rPr>
            <sz val="11"/>
            <color rgb="FF000000"/>
            <rFont val="Calibri"/>
            <family val="34"/>
          </rPr>
          <t xml:space="preserve">
</t>
        </r>
        <r>
          <rPr>
            <sz val="11"/>
            <color rgb="FF000000"/>
            <rFont val="Calibri"/>
            <family val="34"/>
          </rPr>
          <t xml:space="preserve">https://www-statista-com.proxy.library.vanderbilt.edu/outlook/cmo/consumer-electronics/north-america </t>
        </r>
      </text>
    </comment>
    <comment ref="B33" authorId="0" shapeId="0" xr:uid="{4174154E-4AD8-744E-94D7-D5098148B6B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https://www.numerator.com/resources/blog/electronics-price-sensitivity/</t>
        </r>
      </text>
    </comment>
    <comment ref="B36" authorId="0" shapeId="0" xr:uid="{391C6921-14F4-E543-B347-CD9CC10DF9AA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Calibri"/>
            <family val="2"/>
          </rPr>
          <t>The company carries a limited SKU set in more commoditized categories to protect margins; as a result, its online market share is best interpreted as representative of the high-end segment of the market</t>
        </r>
      </text>
    </comment>
    <comment ref="B38" authorId="0" shapeId="0" xr:uid="{CA2EDAFF-BEDF-9F4D-89CA-0D500D8F3CF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https://sell.amazon.com/pricing</t>
        </r>
      </text>
    </comment>
    <comment ref="B39" authorId="0" shapeId="0" xr:uid="{7FC67DDF-742B-5048-ACD8-3F4B84C195E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https://www.neweggbusiness.com/sellers/index.php/home-3/?srsltid=AfmBOooDWHalOV6KQ82O0Hzqdo8UUCqS9TsCk0SxLxj0ZgAf44RAlNLe</t>
        </r>
      </text>
    </comment>
    <comment ref="B43" authorId="0" shapeId="0" xr:uid="{92C08644-2AF1-FB44-AD2D-A427E11473B4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calcualted as average of ad rev / GMV of peers</t>
        </r>
      </text>
    </comment>
    <comment ref="B51" authorId="0" shapeId="0" xr:uid="{38D71755-F000-CA4A-BBF9-A36AF2105C22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smartphone segment excluded given minimal share of electronics sales</t>
        </r>
      </text>
    </comment>
    <comment ref="B65" authorId="0" shapeId="0" xr:uid="{173653F8-87FA-524F-B824-604375572F44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https://medium.com/@raphaelvictor7878/amazon-the-relentless-machine-how-a-670-billion-empire-keeps-growing-46b7be18051a</t>
        </r>
      </text>
    </comment>
    <comment ref="B67" authorId="0" shapeId="0" xr:uid="{9B554086-CFD7-5647-84D0-2A3FFC2B0E4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High-end of range taken to reflect BBY's scale</t>
        </r>
      </text>
    </comment>
    <comment ref="B81" authorId="0" shapeId="0" xr:uid="{E4343D7C-6B95-224E-ABFE-812A11BB2AFA}">
      <text>
        <r>
          <rPr>
            <b/>
            <sz val="10"/>
            <color rgb="FF000000"/>
            <rFont val="Tahoma"/>
            <family val="2"/>
          </rPr>
          <t xml:space="preserve">Dan S:
</t>
        </r>
        <r>
          <rPr>
            <sz val="10"/>
            <color rgb="FF000000"/>
            <rFont val="Tahoma"/>
            <family val="2"/>
          </rPr>
          <t xml:space="preserve">extrapolate '18-'24 decline: https://my-ibisworld-com.proxy.library.vanderbilt.edu/us/en/industry-specialized/OD6586/products-and-markets
</t>
        </r>
      </text>
    </comment>
    <comment ref="B84" authorId="0" shapeId="0" xr:uid="{3EF52044-E8E1-9744-B7F5-EC30D9661506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No major upgrade and/or launch cycles anticipated within the next 5 years</t>
        </r>
      </text>
    </comment>
    <comment ref="B85" authorId="0" shapeId="0" xr:uid="{2E9B9087-8EFA-2B48-BBC6-893E7E6397FF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Calibri"/>
            <family val="2"/>
          </rPr>
          <t xml:space="preserve"> https://www.news.market.us/consumer-electronics-statistics/
</t>
        </r>
      </text>
    </comment>
    <comment ref="B91" authorId="0" shapeId="0" xr:uid="{93ED3847-F848-3F4E-A3D7-B152DC5CC49D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https://my-ibisworld-com.proxy.library.vanderbilt.edu/us/en/industry-specialized/OD6589/performance</t>
        </r>
      </text>
    </comment>
    <comment ref="B94" authorId="0" shapeId="0" xr:uid="{438D9228-B43F-5D42-88D6-48167833D44A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 xml:space="preserve">delta between industry sales CAGR in 2013–2015 and the CAGR in the prior 2008–2012 period (after industry growth had begun to mature): https://www.visualcapitalist.com/video-game-industry-revenue-over-time#:~:text=Video%20Game%20Revenues%20Double%20in%20the%202010s
</t>
        </r>
        <r>
          <rPr>
            <sz val="9"/>
            <color rgb="FF000000"/>
            <rFont val="Calibri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>incremental uplift attributable to the PS5 launch in 2020 is not used as an explicit driver, as it is confounded by lockdown-driven pull-forward in entertainment spending.</t>
        </r>
      </text>
    </comment>
    <comment ref="B101" authorId="0" shapeId="0" xr:uid="{A3F2224A-8126-D848-96AB-E1459A71E111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Gaming console sales used as a proxy: https://www.news.market.us/gaming-console-statistics/</t>
        </r>
      </text>
    </comment>
    <comment ref="B108" authorId="0" shapeId="0" xr:uid="{8A43AC61-2C99-914B-BF13-4649457AC3DB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https://www.grandviewresearch.com/industry-analysis/us-household-appliances-market</t>
        </r>
      </text>
    </comment>
    <comment ref="B109" authorId="0" shapeId="0" xr:uid="{6F420553-230A-9F44-8A33-482C18CE8442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https://finance.yahoo.com/news/us-household-appliances-market-insights-132700926.html</t>
        </r>
      </text>
    </comment>
    <comment ref="B110" authorId="0" shapeId="0" xr:uid="{911466BA-5226-DA4A-AF7A-F60FB533C244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https://www.statista.com/outlook/cmo/household-appliances/americas?srsltid=AfmBOoqVw_taUURP0lis8FGUeYousZjKRVbIf52GLzPH8yugwA_j8yAL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B95" authorId="0" shapeId="0" xr:uid="{9A7CCFD1-9061-1B49-9989-95E79B25C68F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Post-COVID normalized figures taken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S3" authorId="0" shapeId="0" xr:uid="{788C7354-D98B-4F45-9478-495AC7BC1159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Average sales during normal years (i.e. without upgrade years), incremented by 10 year growth rate</t>
        </r>
      </text>
    </comment>
    <comment ref="T8" authorId="0" shapeId="0" xr:uid="{54F0B3FF-D05A-9542-8734-3D7B387B611F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Multiplied by 1/4 to capture the inflection beginning in Q4 of this year</t>
        </r>
      </text>
    </comment>
    <comment ref="K15" authorId="0" shapeId="0" xr:uid="{74591838-E0BF-F049-A159-608BA65CF473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based on q1 - q3 actuals + q4 seasonal % of total revenue * total merchandise revenues
total merchandise revenues are taken as 1/4 the forecasted for the year, given no historical quarterly seasonality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A6" authorId="0" shapeId="0" xr:uid="{6C6E7129-798A-3747-9FE6-036F6BD55361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did not calibrate SG&amp;A at a quarterly level because reported SG&amp;A is heavily impacted by seasonal timing noise (holiday labor ramps, promotional/returns cadence, and occupancy/accrual true-ups)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D1" authorId="0" shapeId="0" xr:uid="{1DD821AE-AFDA-1A43-B43F-84AD05E54B17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Yahoo Finance</t>
        </r>
      </text>
    </comment>
    <comment ref="G1" authorId="0" shapeId="0" xr:uid="{58036427-2969-0242-87C2-94EA75184100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FactSet Consensus
'28</t>
        </r>
      </text>
    </comment>
    <comment ref="N3" authorId="0" shapeId="0" xr:uid="{0D28D0C7-1F86-1340-8A13-48C3611B74B3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75th percentile taken to reflect declining category trend</t>
        </r>
      </text>
    </comment>
    <comment ref="N6" authorId="0" shapeId="0" xr:uid="{B1F289B8-72E8-8E47-A451-F2417AD77572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Damodoran</t>
        </r>
      </text>
    </comment>
    <comment ref="K7" authorId="0" shapeId="0" xr:uid="{2E89D4B8-D2EB-584B-906D-27A85B0105B2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Consensus estimate taken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C39" authorId="0" shapeId="0" xr:uid="{20E84ECF-EE7C-3040-BC0B-A16C2EE89D54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Source: FactSet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S</author>
  </authors>
  <commentList>
    <comment ref="D8" authorId="0" shapeId="0" xr:uid="{5720C1FF-0A07-EA42-9CD8-325C1AA18E6F}">
      <text>
        <r>
          <rPr>
            <b/>
            <sz val="10"/>
            <color rgb="FF000000"/>
            <rFont val="Tahoma"/>
            <family val="2"/>
          </rPr>
          <t>Dan S: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Consensus TV/EBITDA Multiple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<sst xmlns="http://schemas.openxmlformats.org/spreadsheetml/2006/main" count="802" uniqueCount="577">
  <si>
    <t>BestBuy Inc.</t>
  </si>
  <si>
    <t>Computing</t>
  </si>
  <si>
    <t>Consumer electronics</t>
  </si>
  <si>
    <t>Appliances</t>
  </si>
  <si>
    <t>Entertainment</t>
  </si>
  <si>
    <t>Secular Growth</t>
  </si>
  <si>
    <t>Services</t>
  </si>
  <si>
    <t>% of Merchandise Revenue</t>
  </si>
  <si>
    <t>Other</t>
  </si>
  <si>
    <t>Growth</t>
  </si>
  <si>
    <t>Marketplace</t>
  </si>
  <si>
    <t>Value of PCs Sold in the US ($MM)</t>
  </si>
  <si>
    <t>Shipments (MM units)</t>
  </si>
  <si>
    <t>ASP</t>
  </si>
  <si>
    <t>AI PC Price Premium</t>
  </si>
  <si>
    <t>Secular Increase</t>
  </si>
  <si>
    <t>Structural Market Share</t>
  </si>
  <si>
    <t>Upgrade Wallet Share</t>
  </si>
  <si>
    <t>Penetration Rate</t>
  </si>
  <si>
    <t>Online Revenue FY'25</t>
  </si>
  <si>
    <t>Average Take Rate</t>
  </si>
  <si>
    <t>Incremental Ad Rev Build</t>
  </si>
  <si>
    <t>Average Retail Media Network GMV Ad Monetization Rate</t>
  </si>
  <si>
    <t>BBY Ad Premium</t>
  </si>
  <si>
    <t>Wt average of categories in: https://www-statista-com.proxy.library.vanderbilt.edu/outlook/cmo/consumer-electronics/north-america</t>
  </si>
  <si>
    <t>Marketplace ad margin</t>
  </si>
  <si>
    <t>Wt average of: theretailexec.com/retail-operations/retail-media-networks (high-end at 70% to adjust for BBY's scale vs mid-sized retail ad networks), Walmart (midpoint at 80%--https://www.moloco.com/blog/commerce-media-how-ad-profits-fuel-ecommerce-growth), Amazon (70%--https://www.marketwatch.com/story/amazons-crown-jewel-is-this-business-that-doesnt-get-nearly-enough-attention-d76a627d)</t>
  </si>
  <si>
    <t>Drones</t>
  </si>
  <si>
    <t>Gaming Equipment</t>
  </si>
  <si>
    <t>TV Peripheral Devices</t>
  </si>
  <si>
    <t>TV, Radio &amp; Multimedia</t>
  </si>
  <si>
    <t>Disclosed Capex by Function</t>
  </si>
  <si>
    <t>Store-related improvements</t>
  </si>
  <si>
    <t>Supply chain</t>
  </si>
  <si>
    <t>E-commece &amp; IT</t>
  </si>
  <si>
    <t>Count</t>
  </si>
  <si>
    <t>Useful Lives--Best Guess</t>
  </si>
  <si>
    <t>Stores</t>
  </si>
  <si>
    <t>Supply Chain</t>
  </si>
  <si>
    <t>Software</t>
  </si>
  <si>
    <t>Output</t>
  </si>
  <si>
    <t>Predicted total depreciation--stores</t>
  </si>
  <si>
    <t>Predicted total depreciation--supply chain</t>
  </si>
  <si>
    <t>Predicted total depreciation--e-commerce</t>
  </si>
  <si>
    <t>Predicted total depreciation</t>
  </si>
  <si>
    <t>% Error</t>
  </si>
  <si>
    <t>SG&amp;A Model</t>
  </si>
  <si>
    <t>SG&amp;A Breakdown</t>
  </si>
  <si>
    <t>Depreciation</t>
  </si>
  <si>
    <t>SG&amp;A</t>
  </si>
  <si>
    <t>SG&amp;A ex-Dep</t>
  </si>
  <si>
    <t>Revenue</t>
  </si>
  <si>
    <t>Predicted Total SG&amp;A</t>
  </si>
  <si>
    <t>% Deviation</t>
  </si>
  <si>
    <t>Fixed SG&amp;A</t>
  </si>
  <si>
    <t>Fixed SG&amp;A / Store</t>
  </si>
  <si>
    <t>Variable SG&amp;A</t>
  </si>
  <si>
    <t>Variable SG&amp;A % of Revenue</t>
  </si>
  <si>
    <t xml:space="preserve"> Forecast Period</t>
  </si>
  <si>
    <t>Balance Sheet Check</t>
  </si>
  <si>
    <t>Cost of Goods Sold (% of Revenue)</t>
  </si>
  <si>
    <t>Fixed SG&amp;A Per Store ($MM)</t>
  </si>
  <si>
    <t>Software Useful Life (Years)</t>
  </si>
  <si>
    <t>Stores Useful Life (Years)</t>
  </si>
  <si>
    <t>Supply Chain Useful Life (Years)</t>
  </si>
  <si>
    <t>Amortization Expense ($MM)</t>
  </si>
  <si>
    <t>Interest (% of Debt)</t>
  </si>
  <si>
    <t>Tax Rate (% of Earnings Before Tax)</t>
  </si>
  <si>
    <t>Accounts Receivable (Days)</t>
  </si>
  <si>
    <t>Inventory (Days)</t>
  </si>
  <si>
    <t>Accounts Payable (Days)</t>
  </si>
  <si>
    <t>Debt Issuance (Repayment) ($MM)</t>
  </si>
  <si>
    <t>Buybacks (% of FCF)</t>
  </si>
  <si>
    <t>Days in Period</t>
  </si>
  <si>
    <t>Total Revenue</t>
  </si>
  <si>
    <t>Revenue (ex-Ads)</t>
  </si>
  <si>
    <t>Marketplace Ads Revenue</t>
  </si>
  <si>
    <t>Cost of Goods Sold (COGS)</t>
  </si>
  <si>
    <t>Gross Profit</t>
  </si>
  <si>
    <t>Operating Expenses</t>
  </si>
  <si>
    <t>Selling, general &amp; administrative expenses (ex-D&amp;A)</t>
  </si>
  <si>
    <t>Selling, general &amp; administrative expenses (ex-ads business)</t>
  </si>
  <si>
    <t>Selling, general &amp; administrative expenses (ads business)</t>
  </si>
  <si>
    <t>D&amp;A</t>
  </si>
  <si>
    <t>Restructuring charges</t>
  </si>
  <si>
    <t>Goodwill impairment</t>
  </si>
  <si>
    <t>Operating Income</t>
  </si>
  <si>
    <t>Other Income (Expense)</t>
  </si>
  <si>
    <t>Investment income &amp; Other</t>
  </si>
  <si>
    <t>Interest expense</t>
  </si>
  <si>
    <t>Earnings before taxes</t>
  </si>
  <si>
    <t>Taxes</t>
  </si>
  <si>
    <t>Equity in income of affiliates</t>
  </si>
  <si>
    <t>Net Earnings</t>
  </si>
  <si>
    <t>Diluted EPS</t>
  </si>
  <si>
    <t>Assets</t>
  </si>
  <si>
    <t>Current Assets</t>
  </si>
  <si>
    <t>Cash</t>
  </si>
  <si>
    <t>Accounts receivable</t>
  </si>
  <si>
    <t>Inventory</t>
  </si>
  <si>
    <t>Other current assets</t>
  </si>
  <si>
    <t>Total Current Assets</t>
  </si>
  <si>
    <t>Net Property &amp; Equipment</t>
  </si>
  <si>
    <t>Operating lease assets</t>
  </si>
  <si>
    <t>Goodwill</t>
  </si>
  <si>
    <t>Other assets</t>
  </si>
  <si>
    <t>Total Assets</t>
  </si>
  <si>
    <t>Liabilities</t>
  </si>
  <si>
    <t>Current Liabilities</t>
  </si>
  <si>
    <t>Accounts payable</t>
  </si>
  <si>
    <t>Unredeemed gift card liabilities</t>
  </si>
  <si>
    <t>Deferred revenue</t>
  </si>
  <si>
    <t>Accrued compensation &amp; related liabilities</t>
  </si>
  <si>
    <t>Accrued liabilities</t>
  </si>
  <si>
    <t>Short-term debt</t>
  </si>
  <si>
    <t>Current portion of operating lease liabilities</t>
  </si>
  <si>
    <t>Current portion of long-term debt</t>
  </si>
  <si>
    <t>Total Current Liabilities</t>
  </si>
  <si>
    <t>Long-term operating lease liabilties</t>
  </si>
  <si>
    <t>Long-term debt</t>
  </si>
  <si>
    <t>Long-term liabilities</t>
  </si>
  <si>
    <t>Total Liabilities</t>
  </si>
  <si>
    <t>Shareholder's Equity</t>
  </si>
  <si>
    <t>Equity capital</t>
  </si>
  <si>
    <t>Retained earnings</t>
  </si>
  <si>
    <t>APIC</t>
  </si>
  <si>
    <t>Accumulated OCI</t>
  </si>
  <si>
    <t>Total Liabilities &amp; Shareholder's Equity</t>
  </si>
  <si>
    <t>Check</t>
  </si>
  <si>
    <t>Operating Cash Flow</t>
  </si>
  <si>
    <t>Net earnings</t>
  </si>
  <si>
    <t>Depreciation &amp; amortization</t>
  </si>
  <si>
    <t>Stock-based compensation</t>
  </si>
  <si>
    <t>Deferred income taxes</t>
  </si>
  <si>
    <t>Other, net</t>
  </si>
  <si>
    <t>Changes in operating assets &amp; liabilities</t>
  </si>
  <si>
    <t>Income taxes</t>
  </si>
  <si>
    <t>Other liabilities</t>
  </si>
  <si>
    <t>Cash from Operations</t>
  </si>
  <si>
    <t>Investing Cash Flow</t>
  </si>
  <si>
    <t>Capital expenditures</t>
  </si>
  <si>
    <t>Purchases of investments</t>
  </si>
  <si>
    <t>Net proceeds from sale of subsidiary</t>
  </si>
  <si>
    <t>Sale of investments</t>
  </si>
  <si>
    <t>Cash from Investing</t>
  </si>
  <si>
    <t>Financing Cash Flow</t>
  </si>
  <si>
    <t>Net issuance of common stock</t>
  </si>
  <si>
    <t>Dividends paid</t>
  </si>
  <si>
    <t>Net debt issued</t>
  </si>
  <si>
    <t>Cash from Financing</t>
  </si>
  <si>
    <t>Net Increase (decrease) in Cash</t>
  </si>
  <si>
    <t>Working Capital Schedule</t>
  </si>
  <si>
    <t>Accounts Receivable</t>
  </si>
  <si>
    <t>Accounts Payable</t>
  </si>
  <si>
    <t>Deferred Revenue</t>
  </si>
  <si>
    <t>Net Working Capital (NWC)</t>
  </si>
  <si>
    <t>(Increase)/Decrease in NWC</t>
  </si>
  <si>
    <t>Capex: E-Commerce &amp; IT Investment</t>
  </si>
  <si>
    <t>Online Revenue</t>
  </si>
  <si>
    <t>IT E-Commerce &amp; IT Capex % of Online Revenue</t>
  </si>
  <si>
    <t>E-commerce &amp; IT Capex</t>
  </si>
  <si>
    <t>E-commerce &amp; IT Depreciation</t>
  </si>
  <si>
    <t>Capex: Store Maintenance &amp; Improvements</t>
  </si>
  <si>
    <t>Number of Stores</t>
  </si>
  <si>
    <t>Store-Related Capex</t>
  </si>
  <si>
    <t>Store-Related Depreciation</t>
  </si>
  <si>
    <t>Capex: Supply Chain</t>
  </si>
  <si>
    <t>Merchandise Revenue</t>
  </si>
  <si>
    <t>Supply Chain Capex</t>
  </si>
  <si>
    <t>Supply Chain Depreciation</t>
  </si>
  <si>
    <t>Services Revenue</t>
  </si>
  <si>
    <t>Debt &amp; Interest Schedule</t>
  </si>
  <si>
    <t>Debt Opening</t>
  </si>
  <si>
    <t>Issuance (repayment)</t>
  </si>
  <si>
    <t>Debt Closing</t>
  </si>
  <si>
    <t>Interest Expense</t>
  </si>
  <si>
    <t>Mid-Year Convention</t>
  </si>
  <si>
    <t>Yes</t>
  </si>
  <si>
    <t>YoY Growth</t>
  </si>
  <si>
    <t>N/A</t>
  </si>
  <si>
    <t>% Margin</t>
  </si>
  <si>
    <t>EBITDA</t>
  </si>
  <si>
    <t>Depreciation &amp; Amortization</t>
  </si>
  <si>
    <t>EBIT</t>
  </si>
  <si>
    <t>NOPLAT</t>
  </si>
  <si>
    <t>Capital Expenditures</t>
  </si>
  <si>
    <t>Free Cashflow</t>
  </si>
  <si>
    <t>Period</t>
  </si>
  <si>
    <t>Discount Factor</t>
  </si>
  <si>
    <t>PV of Free Cashflow</t>
  </si>
  <si>
    <t>Consensus Adjusted EBITDA</t>
  </si>
  <si>
    <t>Consensus Free Cashflow</t>
  </si>
  <si>
    <t>PV of Consensus FCF</t>
  </si>
  <si>
    <t>WACC</t>
  </si>
  <si>
    <t>Terminal Value</t>
  </si>
  <si>
    <t>Present Value of Terminal Value</t>
  </si>
  <si>
    <t>Enterprise Value</t>
  </si>
  <si>
    <t>Net Debt</t>
  </si>
  <si>
    <t>Equity Value</t>
  </si>
  <si>
    <t>Diluted Shares Outstanding</t>
  </si>
  <si>
    <t>Implied Share Price</t>
  </si>
  <si>
    <t>Upside (Downside)</t>
  </si>
  <si>
    <t>Exit EBITDA Multiple</t>
  </si>
  <si>
    <t>Exit Multiple</t>
  </si>
  <si>
    <t>CAGR</t>
  </si>
  <si>
    <t>Ticker</t>
  </si>
  <si>
    <t>P/E</t>
  </si>
  <si>
    <t>Walmart</t>
  </si>
  <si>
    <t>Target</t>
  </si>
  <si>
    <t>TGT</t>
  </si>
  <si>
    <t>DKS</t>
  </si>
  <si>
    <t>Academy Sports</t>
  </si>
  <si>
    <t>ASO</t>
  </si>
  <si>
    <t>Bath &amp; Body Works</t>
  </si>
  <si>
    <t>BBWI</t>
  </si>
  <si>
    <t>Best Buy</t>
  </si>
  <si>
    <t>BBY</t>
  </si>
  <si>
    <t>Median</t>
  </si>
  <si>
    <t>Share Price Range</t>
  </si>
  <si>
    <t>Low</t>
  </si>
  <si>
    <t>High</t>
  </si>
  <si>
    <t>Implied</t>
  </si>
  <si>
    <t>Start</t>
  </si>
  <si>
    <t>Diff</t>
  </si>
  <si>
    <t>Intrinsic Value</t>
  </si>
  <si>
    <t>Trading Multiples</t>
  </si>
  <si>
    <t>EV/EBITDA</t>
  </si>
  <si>
    <t>EV/EBIT</t>
  </si>
  <si>
    <t>52 Week Range</t>
  </si>
  <si>
    <t>Bounds</t>
  </si>
  <si>
    <t>BBB</t>
  </si>
  <si>
    <t>Cyclical Growth</t>
  </si>
  <si>
    <t>Consensus Implied Value of TV at Exit</t>
  </si>
  <si>
    <t>Consensus Implied PV of Terminal Value</t>
  </si>
  <si>
    <t>Online Rev % of Total</t>
  </si>
  <si>
    <t>Consumer Electronics</t>
  </si>
  <si>
    <t>Marketplace Ads</t>
  </si>
  <si>
    <t>Retail Channel Share Eorsion</t>
  </si>
  <si>
    <t>AI PC Penetration Rate</t>
  </si>
  <si>
    <t>AI PC Premium</t>
  </si>
  <si>
    <t>Structural US PC Sales</t>
  </si>
  <si>
    <t>E-Commerce Growth Rate</t>
  </si>
  <si>
    <t xml:space="preserve">Total US Electronics E-Commerce GMV </t>
  </si>
  <si>
    <t>Cost of Equity</t>
  </si>
  <si>
    <t>Weighted Average Cost of Capital</t>
  </si>
  <si>
    <t>Weight of Equity</t>
  </si>
  <si>
    <t>YoY %</t>
  </si>
  <si>
    <t>Share Price</t>
  </si>
  <si>
    <t>($ in millions)</t>
  </si>
  <si>
    <t>*</t>
  </si>
  <si>
    <t>Entry Valuation</t>
  </si>
  <si>
    <t>Transaction Assumptions</t>
  </si>
  <si>
    <t>LTM EBITDA</t>
  </si>
  <si>
    <t>Transaction Fees</t>
  </si>
  <si>
    <t>Entry Multiple</t>
  </si>
  <si>
    <t>Financing Fees</t>
  </si>
  <si>
    <t>Purchase Enterprise Value</t>
  </si>
  <si>
    <t>Financing Fees Amortization Period</t>
  </si>
  <si>
    <t>Cash to B/S</t>
  </si>
  <si>
    <t>Circularity Toggle</t>
  </si>
  <si>
    <t>Debt Assumptions</t>
  </si>
  <si>
    <t>x EBITDA</t>
  </si>
  <si>
    <t>$ Amount</t>
  </si>
  <si>
    <t>Rate</t>
  </si>
  <si>
    <t>Floor</t>
  </si>
  <si>
    <t>% Amort.</t>
  </si>
  <si>
    <t>% Fee</t>
  </si>
  <si>
    <t>$ Fee</t>
  </si>
  <si>
    <t>Senior Notes</t>
  </si>
  <si>
    <t>Total Debt</t>
  </si>
  <si>
    <t>Sources &amp; Uses</t>
  </si>
  <si>
    <t>Sources</t>
  </si>
  <si>
    <t>Uses</t>
  </si>
  <si>
    <t>Sponsor Equity</t>
  </si>
  <si>
    <t>Total Sources</t>
  </si>
  <si>
    <t>Total Uses</t>
  </si>
  <si>
    <t>FCF Projection</t>
  </si>
  <si>
    <t>Less: Interest</t>
  </si>
  <si>
    <t>Less: Mandatory Amortization</t>
  </si>
  <si>
    <t>Beginning Cash Balance</t>
  </si>
  <si>
    <t>Net Change in Cash Flow</t>
  </si>
  <si>
    <t>Ending Cash Balance</t>
  </si>
  <si>
    <t>Debt Schedule</t>
  </si>
  <si>
    <t>Beginning Balance</t>
  </si>
  <si>
    <t>Ending Balance</t>
  </si>
  <si>
    <t>Senior Notes Interest Rate</t>
  </si>
  <si>
    <t>Exit Valuation</t>
  </si>
  <si>
    <t>Exit LTM EBITDA</t>
  </si>
  <si>
    <t>Exit Multiple Assumption</t>
  </si>
  <si>
    <t>Exit Enterprise Value</t>
  </si>
  <si>
    <t>Less: Debt</t>
  </si>
  <si>
    <t>Plus: Cash</t>
  </si>
  <si>
    <t>Exit Equity Value</t>
  </si>
  <si>
    <t>Cash (Outflows) / Inflows</t>
  </si>
  <si>
    <t>IRR</t>
  </si>
  <si>
    <t>MOIC</t>
  </si>
  <si>
    <t>Free Cash Flow</t>
  </si>
  <si>
    <t>18% IRR</t>
  </si>
  <si>
    <t>Implied EV</t>
  </si>
  <si>
    <t>Entry LTM EV/EBITDA</t>
  </si>
  <si>
    <t>Base</t>
  </si>
  <si>
    <t>Implied Equity Value</t>
  </si>
  <si>
    <t>Downside</t>
  </si>
  <si>
    <t>Model Assumptions</t>
  </si>
  <si>
    <t>Sources &amp; Uses Table</t>
  </si>
  <si>
    <t>Returns Calculation</t>
  </si>
  <si>
    <t>Free Cash Flow Projection</t>
  </si>
  <si>
    <t>Levered Free Cash Flow</t>
  </si>
  <si>
    <t>22% IRR</t>
  </si>
  <si>
    <t>Senior Notes Interest Expense (After-Tax)</t>
  </si>
  <si>
    <t>LBO</t>
  </si>
  <si>
    <t xml:space="preserve">GMV Ad Monetization Rate </t>
  </si>
  <si>
    <t xml:space="preserve">Secular Growth </t>
  </si>
  <si>
    <t>Weighted Average Diluted Shares Outstanding</t>
  </si>
  <si>
    <t>Sales Growth</t>
  </si>
  <si>
    <t>Ads</t>
  </si>
  <si>
    <t>Online Revenue (% of Total)</t>
  </si>
  <si>
    <t>Capex % of Online Revenue</t>
  </si>
  <si>
    <t>Capex / Store</t>
  </si>
  <si>
    <t>Merchandise Revenues</t>
  </si>
  <si>
    <t>Capex % of Merchandise Revenues</t>
  </si>
  <si>
    <t>D&amp;A Expense</t>
  </si>
  <si>
    <t>Normal Sales</t>
  </si>
  <si>
    <t>Secular Growth Rate</t>
  </si>
  <si>
    <t>Upgrade Sales</t>
  </si>
  <si>
    <t>Upgrade Wallet Size</t>
  </si>
  <si>
    <t>AI PC Price Premium--Parity Year</t>
  </si>
  <si>
    <t>Catalyst-Driven Growth</t>
  </si>
  <si>
    <t>Growth Convergence Year</t>
  </si>
  <si>
    <t xml:space="preserve">COGS </t>
  </si>
  <si>
    <t>(+) Cash &amp; Cash Equivalents</t>
  </si>
  <si>
    <t>(-) Total Debt</t>
  </si>
  <si>
    <t>PV of Terminal Value</t>
  </si>
  <si>
    <t>Discounted Cash Flow Valuation</t>
  </si>
  <si>
    <t>LBO Valuation (Downside Check)</t>
  </si>
  <si>
    <t>+/- Deviation from Consensus</t>
  </si>
  <si>
    <t>GTA VI &amp; PS6 Growth Inflection--Release Years CY '27 &amp; '28</t>
  </si>
  <si>
    <t>Inputs</t>
  </si>
  <si>
    <t>Variable SG&amp;A % of Rev (Actual FY '25)</t>
  </si>
  <si>
    <t>Useful Life (Years)</t>
  </si>
  <si>
    <t>FY '25 EBITDA</t>
  </si>
  <si>
    <t>Historical</t>
  </si>
  <si>
    <t>AI PC Penetration Rate--Current CY '25</t>
  </si>
  <si>
    <t>Fiscal Year</t>
  </si>
  <si>
    <t>Forecast</t>
  </si>
  <si>
    <t>Industry Growth</t>
  </si>
  <si>
    <t>BBY Market Share</t>
  </si>
  <si>
    <t>% of Total Revenue</t>
  </si>
  <si>
    <t>Take Rate</t>
  </si>
  <si>
    <t>Growth Rate</t>
  </si>
  <si>
    <t>k (adoption curve steepness)</t>
  </si>
  <si>
    <t>Year of Max Penetration</t>
  </si>
  <si>
    <t>BBY Pricing Premium</t>
  </si>
  <si>
    <t>Total Merchandise Revenue</t>
  </si>
  <si>
    <t>Total US Computing Sales</t>
  </si>
  <si>
    <t>Drivers</t>
  </si>
  <si>
    <t>Downside Check (LBO)</t>
  </si>
  <si>
    <t>Total Electronics E-Commerce Channel GMV (United States)--CY '24</t>
  </si>
  <si>
    <t>Statista</t>
  </si>
  <si>
    <t>Market Share Potential</t>
  </si>
  <si>
    <t>PCs, peripherals, &amp; accessories</t>
  </si>
  <si>
    <t xml:space="preserve">Amazon </t>
  </si>
  <si>
    <t>Electronics E-Commerce Growth Rate Forecast</t>
  </si>
  <si>
    <t>Grandview</t>
  </si>
  <si>
    <t>Mordor Intelligence</t>
  </si>
  <si>
    <t>Amazon</t>
  </si>
  <si>
    <t>Current Online Penetration Rate</t>
  </si>
  <si>
    <t>Computing Drivers</t>
  </si>
  <si>
    <t>Marketplace Drivers</t>
  </si>
  <si>
    <t>ARPU by Category</t>
  </si>
  <si>
    <t>Working Capital</t>
  </si>
  <si>
    <t>Capex / Store ($MM)</t>
  </si>
  <si>
    <t>Software Capex % of Online Revenue</t>
  </si>
  <si>
    <t>Supply Chain Capex % of Merchandise Revenues</t>
  </si>
  <si>
    <t>COGS &amp; Operating Expenses</t>
  </si>
  <si>
    <t>Depreciation, Capex &amp; Amortization</t>
  </si>
  <si>
    <t>Debt, Interest &amp; Taxes</t>
  </si>
  <si>
    <t>Store Count Growth Y/Y</t>
  </si>
  <si>
    <t>(+) Depreciation &amp; Amortization</t>
  </si>
  <si>
    <t>(-) Capital Expenditures</t>
  </si>
  <si>
    <t>(-) Change in Net Working Capital</t>
  </si>
  <si>
    <t>% of Online Revenue</t>
  </si>
  <si>
    <t>Store-Related Improvements</t>
  </si>
  <si>
    <t>E-Commerce &amp; IT</t>
  </si>
  <si>
    <t>Store Count</t>
  </si>
  <si>
    <t>Industry Sales CAGR--2008 to 2012</t>
  </si>
  <si>
    <t>Services % of Merchandise Revenue--Actual</t>
  </si>
  <si>
    <t>Services Build</t>
  </si>
  <si>
    <t>Store Count--annual Trend</t>
  </si>
  <si>
    <t>Store Count--Y/Y</t>
  </si>
  <si>
    <t>Online Revenue % of Total</t>
  </si>
  <si>
    <t>Store Capex / Store ($MM)</t>
  </si>
  <si>
    <t>Income Statement ($MM)</t>
  </si>
  <si>
    <t>Balance Sheet ($MM)</t>
  </si>
  <si>
    <t>Cash Flow Statement ($MM)</t>
  </si>
  <si>
    <t xml:space="preserve">   Scenario</t>
  </si>
  <si>
    <t>Industry Sales CAGR--2012-2015</t>
  </si>
  <si>
    <t>Amazon (Electronics Category)</t>
  </si>
  <si>
    <t>NewEgg (Electronics Category)</t>
  </si>
  <si>
    <t>Sales CAGR '25 - '30</t>
  </si>
  <si>
    <t>Research And Markets</t>
  </si>
  <si>
    <t>BBY ARPU</t>
  </si>
  <si>
    <t>Etsy</t>
  </si>
  <si>
    <t>BBY Structural Market Share</t>
  </si>
  <si>
    <t>AI PC Penetration Rate--Midpoint Year</t>
  </si>
  <si>
    <t>Electronics E-commerce Growth Rate</t>
  </si>
  <si>
    <t>Ad Revenue Yield on GMV</t>
  </si>
  <si>
    <t>Long-Term Industry Growth Rate</t>
  </si>
  <si>
    <t>BBY Ad Pricing Premium</t>
  </si>
  <si>
    <t>Best Buy Inc.</t>
  </si>
  <si>
    <t>Sales by Category ($B)</t>
  </si>
  <si>
    <t>(All figures in $MM except for percentages)</t>
  </si>
  <si>
    <t>Retail Channel Share Erosion Headwind</t>
  </si>
  <si>
    <t>Average Mid-Sized Retail Media Network</t>
  </si>
  <si>
    <t>Online Revenue (CY 2022 &amp; 2023--$MM)</t>
  </si>
  <si>
    <t>Number of Online Customers (CY 2022 &amp; 2023--in MM)</t>
  </si>
  <si>
    <t>Industry ARPU (Category Weighted Average)</t>
  </si>
  <si>
    <t>Overall AI PC Penetration Rate--CY '25</t>
  </si>
  <si>
    <t>AI PC Penetration Rate--Midpoint CY</t>
  </si>
  <si>
    <t>Mid-to-High-End Tech E-Commerce GMV CY '24</t>
  </si>
  <si>
    <t>Low-Ticket Electronics E-Commerce Share of Overall Market</t>
  </si>
  <si>
    <t>Growth in % of Merchandise Revenue Y/Y</t>
  </si>
  <si>
    <t>Y/Y Change in Capex % of Merchandise Revenues</t>
  </si>
  <si>
    <r>
      <rPr>
        <b/>
        <i/>
        <sz val="10"/>
        <color rgb="FF0C813D"/>
        <rFont val="Calibri (Body)"/>
      </rPr>
      <t>Bolded Dark Green = Scenario-Dependent Assumption;</t>
    </r>
    <r>
      <rPr>
        <i/>
        <sz val="10"/>
        <color theme="1"/>
        <rFont val="Calibri (Body)"/>
      </rPr>
      <t>Black = Fixed Parameter</t>
    </r>
  </si>
  <si>
    <t xml:space="preserve"> '18 - '25 Average PC Selling Price CAGR</t>
  </si>
  <si>
    <t>Average AI PC Price Premium--EOCY 2025</t>
  </si>
  <si>
    <t>Growth Headwind from Secular Retail Sales Channel Erosion</t>
  </si>
  <si>
    <t>Incremental Cost of Debt</t>
  </si>
  <si>
    <t>BBY Credit Rating</t>
  </si>
  <si>
    <t>After Tax Cost of Debt</t>
  </si>
  <si>
    <t>Levered Beta</t>
  </si>
  <si>
    <t>Market Risk Premium</t>
  </si>
  <si>
    <t>Risk-free rate (US 10-Year Treasury Yield)</t>
  </si>
  <si>
    <t>Implied Consensus Exit Multiple</t>
  </si>
  <si>
    <t xml:space="preserve">22% IRR--Required Entry LTM EV/EBITDA </t>
  </si>
  <si>
    <t>18% IRR--Required Entry LTM EV/EBITDA</t>
  </si>
  <si>
    <t>Model Scenario</t>
  </si>
  <si>
    <t>Implied Consensus Exit EV/EBITDA Multiple</t>
  </si>
  <si>
    <t>Long-Term Tax Rate '26 - '31</t>
  </si>
  <si>
    <t>Supporting Schedules ($MM)</t>
  </si>
  <si>
    <t>ICE BofA BBB Corp OAS (as of Dec 16, 2025)</t>
  </si>
  <si>
    <t xml:space="preserve"> Financial Model</t>
  </si>
  <si>
    <t xml:space="preserve"> Prepared By:</t>
  </si>
  <si>
    <t xml:space="preserve"> Dan Sonad</t>
  </si>
  <si>
    <r>
      <t xml:space="preserve">  </t>
    </r>
    <r>
      <rPr>
        <sz val="20"/>
        <color theme="1"/>
        <rFont val="Calibri (Body)"/>
      </rPr>
      <t>December 16, 2025</t>
    </r>
  </si>
  <si>
    <t>EBAY</t>
  </si>
  <si>
    <t>eBay</t>
  </si>
  <si>
    <t>Name</t>
  </si>
  <si>
    <t>Market Capitalization</t>
  </si>
  <si>
    <t>Enterprise Value (TEV)</t>
  </si>
  <si>
    <t>NTM Multiples</t>
  </si>
  <si>
    <t>TEV / EBITDA</t>
  </si>
  <si>
    <t>TEV / EBIT</t>
  </si>
  <si>
    <t>Macy's</t>
  </si>
  <si>
    <t>Currys</t>
  </si>
  <si>
    <t>CURY-GB</t>
  </si>
  <si>
    <t>Dick's Sporting Goods</t>
  </si>
  <si>
    <t>M</t>
  </si>
  <si>
    <t>NTM Financial Metrics ($MM)</t>
  </si>
  <si>
    <t>Net Income</t>
  </si>
  <si>
    <t>Minimum</t>
  </si>
  <si>
    <t>25th Percentile</t>
  </si>
  <si>
    <t>Mean</t>
  </si>
  <si>
    <t>75th Percentile</t>
  </si>
  <si>
    <t>Maximum</t>
  </si>
  <si>
    <t>Best Buy -- Implied Share Price</t>
  </si>
  <si>
    <t>Levered Beta (5Y Monthly)</t>
  </si>
  <si>
    <t>Unlevered Peer Beta</t>
  </si>
  <si>
    <t>Unlevered Beta</t>
  </si>
  <si>
    <t>Tax Rate</t>
  </si>
  <si>
    <t>Debt ($MM)</t>
  </si>
  <si>
    <t>Market Cap ($MM)</t>
  </si>
  <si>
    <t>Revenue--Estimate</t>
  </si>
  <si>
    <t>Revenue--Consensus</t>
  </si>
  <si>
    <t>EPS--Estimate</t>
  </si>
  <si>
    <t>EPS--Consensus</t>
  </si>
  <si>
    <t>Net Margin</t>
  </si>
  <si>
    <t>Share Price as of Dec. 19, 2025</t>
  </si>
  <si>
    <t>Y/Y Change</t>
  </si>
  <si>
    <t>Weighted Average Diluted Share Count</t>
  </si>
  <si>
    <t>EBIT Margin</t>
  </si>
  <si>
    <t>EBIT--Estimate</t>
  </si>
  <si>
    <t>EBIT--Consensus</t>
  </si>
  <si>
    <t>Gain (Loss) on sale of subsidiary, net</t>
  </si>
  <si>
    <t>E-commerce</t>
  </si>
  <si>
    <t xml:space="preserve">               </t>
  </si>
  <si>
    <t>Implied Enterprise Value</t>
  </si>
  <si>
    <t>Trading Comparables</t>
  </si>
  <si>
    <t>(Gain) Loss on sale of subsidiary, net</t>
  </si>
  <si>
    <t>Ads Segment Operating Margin</t>
  </si>
  <si>
    <t>Stock-Based Compensation % of Fixed SG&amp;A</t>
  </si>
  <si>
    <t>Deferred Revenue % of Services (Annualized)</t>
  </si>
  <si>
    <t>Actual FY'25 Depreciation Expense</t>
  </si>
  <si>
    <t>Useful Life Build</t>
  </si>
  <si>
    <t>BBY Penetration Rate--FY '25</t>
  </si>
  <si>
    <t>Repurchase, Share Coun &amp; Dividend</t>
  </si>
  <si>
    <t>Dividend Growth Rate</t>
  </si>
  <si>
    <t>Subtotal</t>
  </si>
  <si>
    <t>Annual Structural Market Share Erosion</t>
  </si>
  <si>
    <t>Receivables</t>
  </si>
  <si>
    <t>Payables</t>
  </si>
  <si>
    <t xml:space="preserve">COGS % of Revenue--Consensus FQ4 '26 </t>
  </si>
  <si>
    <t>Consensus COGS % of Revenue--Consensus FY'27 to FY'30</t>
  </si>
  <si>
    <t>Accounts Receivable Days--FQ4 '26</t>
  </si>
  <si>
    <t>Accounts Payable Days--FQ4 '26</t>
  </si>
  <si>
    <t>Accounts Receivable Days--FY '27 - FY '31</t>
  </si>
  <si>
    <t>Inventory Days--FQ4 '26</t>
  </si>
  <si>
    <t>Inventory Days--FY '27 - FY '31</t>
  </si>
  <si>
    <t>Accounts Payable Days--FY '27 - FY '31</t>
  </si>
  <si>
    <t>Store Count Growth--FQ4 '26 Y/Y</t>
  </si>
  <si>
    <t>Store Count Growth--FY '27 - 30 Y/Y</t>
  </si>
  <si>
    <t>Tax Expense</t>
  </si>
  <si>
    <t>Effective Tax Rate--Consensus FY '27</t>
  </si>
  <si>
    <t>Effective Tax Rate--Consensus FQ4 '26</t>
  </si>
  <si>
    <t>Effective Tax Rate--Consensus FY '28 - '31</t>
  </si>
  <si>
    <t>Buybacks &amp; Share Count</t>
  </si>
  <si>
    <t>DCF</t>
  </si>
  <si>
    <t>Buybacks</t>
  </si>
  <si>
    <t>Share Count</t>
  </si>
  <si>
    <t>Implied Consensus Net Income</t>
  </si>
  <si>
    <t>Implied Consensus EPS</t>
  </si>
  <si>
    <t>Dividends</t>
  </si>
  <si>
    <t>Annual Growth Rate</t>
  </si>
  <si>
    <t>Total US Electronics E-Commerce GMV--Next CY '26 ($MM)</t>
  </si>
  <si>
    <t>% of FCF--FY '26 - '31</t>
  </si>
  <si>
    <t>Implied Conesnsus Share Count--FY '28</t>
  </si>
  <si>
    <t>Consensus Implied Y/Y Change in Share Count--FY '27</t>
  </si>
  <si>
    <t>Implied Consensus WASO--FQ4 '26 (MM)</t>
  </si>
  <si>
    <t>Implied Consensus WASO--FY '27 (MM)</t>
  </si>
  <si>
    <t>Consensus Implied Y/Y Change in Share Count--FY '28</t>
  </si>
  <si>
    <t>Implied Y/Y Change in Share Count--FY '29 - '31</t>
  </si>
  <si>
    <t>Steady State Operating Margin Potential</t>
  </si>
  <si>
    <t>Steady State Penetration Rate</t>
  </si>
  <si>
    <t>Years to Target Pricing Premium &amp; Segment Operating Margin</t>
  </si>
  <si>
    <t>Volume CAGR</t>
  </si>
  <si>
    <t>Structural Market Sales--CY '26 ($MM)</t>
  </si>
  <si>
    <t>Equity Value to Enterprise Value Bridge</t>
  </si>
  <si>
    <t>(in $MM except per share amounts)</t>
  </si>
  <si>
    <t>Current Share Price</t>
  </si>
  <si>
    <t>Less: Cash &amp; Cash Equivalents</t>
  </si>
  <si>
    <t>Plus: Total Debt</t>
  </si>
  <si>
    <t>Diluted Shares Outstanding (MM)</t>
  </si>
  <si>
    <t>Cumulative COVID Uplift to Market Sales (Total Upgrade Wallet)</t>
  </si>
  <si>
    <t>Cumulative COVID Uplift (FY 21 - 23) vs. Structural Baseline (FY17–FY20)</t>
  </si>
  <si>
    <t>Bull</t>
  </si>
  <si>
    <t>Bear</t>
  </si>
  <si>
    <t>Consensus Implied Y/Y Change in Share Count--FQ4 '26</t>
  </si>
  <si>
    <t>Upside (Downside)--DCF</t>
  </si>
  <si>
    <t>Upside (Downside)--Trading Comparables</t>
  </si>
  <si>
    <t>Current Price (as at Dec 26, 2025)</t>
  </si>
  <si>
    <t>Median Street Price Target (as at Dec 16, 2025)</t>
  </si>
  <si>
    <t>% of Merchandise Revenue--FQ4 '26 - FY '31</t>
  </si>
  <si>
    <t>Gross &amp; Operating Margins</t>
  </si>
  <si>
    <t>Best Buy -- Implied Discount</t>
  </si>
  <si>
    <t>FQ4 '26E</t>
  </si>
  <si>
    <t>Catalyst-Driven Growth--FQ4 '26</t>
  </si>
  <si>
    <t>Catalyst-Driven Growth--FY '27 - '31</t>
  </si>
  <si>
    <t>LBO Model Fixed Under Bear Case Free Cash Flow &amp; EBITDA Forecasts</t>
  </si>
  <si>
    <t>Consensus estimates til '28 (last date available)--base case inputs thereafter which post-28 do not reflect variant views</t>
  </si>
  <si>
    <t>Average</t>
  </si>
  <si>
    <t>FCF Dividend Coverage Ratio</t>
  </si>
  <si>
    <t>Total Yield</t>
  </si>
  <si>
    <t>Share Repurchases ($MM)</t>
  </si>
  <si>
    <t>Free Cash Flow ($MM)</t>
  </si>
  <si>
    <t>Date</t>
  </si>
  <si>
    <t>Price</t>
  </si>
  <si>
    <t>NTM Operating Margin</t>
  </si>
  <si>
    <t xml:space="preserve">NTM Sales Growth </t>
  </si>
  <si>
    <t>2Y Sales CAGR</t>
  </si>
  <si>
    <t>Normalized Run-Rate EBIT Estimate</t>
  </si>
  <si>
    <t>Adjusted EV / NTM EBIT (with 17% Discount)</t>
  </si>
  <si>
    <t xml:space="preserve">Bull </t>
  </si>
  <si>
    <t>EBIT Estimate</t>
  </si>
  <si>
    <t>Cyclically Adjusted EV/EBIT Multiple</t>
  </si>
  <si>
    <t>Implied Upside (Downside)</t>
  </si>
  <si>
    <t>Market Data ($MM)</t>
  </si>
  <si>
    <t>Median Consensus 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</si>
</sst>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5" formatCode="&quot;$&quot;#,##0_);\(&quot;$&quot;#,##0\)"/>
    <numFmt numFmtId="7" formatCode="&quot;$&quot;#,##0.00_);\(&quot;$&quot;#,##0.00\)"/>
    <numFmt numFmtId="41" formatCode="_(* #,##0_);_(* \(#,##0\);_(* &quot;-&quot;_);_(@_)"/>
    <numFmt numFmtId="43" formatCode="_(* #,##0.00_);_(* \(#,##0.00\);_(* &quot;-&quot;??_);_(@_)"/>
    <numFmt numFmtId="164" formatCode="_-* #,##0_-;\(#,##0\)_-;_-* &quot;-&quot;_-;_-@"/>
    <numFmt numFmtId="165" formatCode="0.0%"/>
    <numFmt numFmtId="166" formatCode="_(* #,##0_);_(* \(#,##0\);_(* &quot;-&quot;??_);_(@_)"/>
    <numFmt numFmtId="167" formatCode="0.0000_ ;\-0.0000\ "/>
    <numFmt numFmtId="168" formatCode="0.0"/>
    <numFmt numFmtId="169" formatCode="&quot;$&quot;#,##0.00"/>
    <numFmt numFmtId="170" formatCode="0&quot;A&quot;"/>
    <numFmt numFmtId="171" formatCode="0&quot;E&quot;"/>
    <numFmt numFmtId="172" formatCode="#,##0.0_);\(#,##0.0\)"/>
    <numFmt numFmtId="173" formatCode="#,##0.00000000000_);\(#,##0.00000000000\)"/>
    <numFmt numFmtId="174" formatCode="0.0&quot;x&quot;"/>
    <numFmt numFmtId="175" formatCode="&quot;$&quot;#,##0"/>
    <numFmt numFmtId="176" formatCode="0.00%;\(0.00%\)"/>
    <numFmt numFmtId="177" formatCode="0.0\x"/>
    <numFmt numFmtId="178" formatCode="0.00\x"/>
    <numFmt numFmtId="179" formatCode="&quot;$&quot;#,##0_);\(&quot;$&quot;#,##0\);&quot;-  &quot;"/>
    <numFmt numFmtId="180" formatCode="0.0\x\ "/>
    <numFmt numFmtId="181" formatCode="0.0%;\(0.0%\);&quot;-  &quot;"/>
    <numFmt numFmtId="182" formatCode="&quot;$&quot;#,##0_);\(&quot;$&quot;#,##0\)\ ;&quot;-  &quot;"/>
    <numFmt numFmtId="183" formatCode="0\ &quot;Years&quot;\ "/>
    <numFmt numFmtId="184" formatCode="&quot;SOFR+&quot;0"/>
    <numFmt numFmtId="185" formatCode="0.0%\ ;\(0.0%\)"/>
    <numFmt numFmtId="186" formatCode="#,##0_);\(#,##0\)\ ;&quot;-  &quot;"/>
    <numFmt numFmtId="187" formatCode="m/d/yy;@"/>
    <numFmt numFmtId="188" formatCode="#,##0_);\(#,##0\);&quot;-  &quot;"/>
    <numFmt numFmtId="189" formatCode="0.0%;\(0.0%\)"/>
    <numFmt numFmtId="190" formatCode="&quot;Year&quot;\ 0"/>
    <numFmt numFmtId="191" formatCode="&quot;Exit Year&quot;\ 0"/>
    <numFmt numFmtId="192" formatCode="#,##0.000_);\(#,##0.000\)"/>
    <numFmt numFmtId="193" formatCode="&quot;$&quot;#,##0.0"/>
    <numFmt numFmtId="194" formatCode="&quot;$&quot;#,##0.0_);\(&quot;$&quot;#,##0.0\)"/>
    <numFmt numFmtId="195" formatCode="&quot;Q&quot;0&quot; '26A&quot;"/>
    <numFmt numFmtId="196" formatCode="&quot;Q&quot;0&quot; '26E&quot;"/>
    <numFmt numFmtId="197" formatCode="&quot;Q&quot;0&quot; '25A&quot;"/>
    <numFmt numFmtId="198" formatCode="&quot;Retail Channel Share (Actual)--&quot;0"/>
    <numFmt numFmtId="199" formatCode="&quot;Forecasted Retail Channel Share--&quot;0"/>
    <numFmt numFmtId="200" formatCode="&quot;Industry Sales--&quot;0&quot; ($B)&quot;"/>
    <numFmt numFmtId="201" formatCode="&quot;Total US Personal Computers &amp; Accessories Sales--&quot;0&quot; ($B)&quot;"/>
    <numFmt numFmtId="202" formatCode="&quot;Total US Video Game Sales--&quot;0&quot; ($B)&quot;"/>
    <numFmt numFmtId="203" formatCode="&quot;WACC = &quot;0.0%"/>
    <numFmt numFmtId="204" formatCode="&quot;FQ4 '26 E&quot;"/>
    <numFmt numFmtId="205" formatCode="#,##0.0&quot;x&quot;"/>
    <numFmt numFmtId="206" formatCode="0_);\(0\)"/>
    <numFmt numFmtId="207" formatCode="_-* #,##0.00_-;\(#,##0\)_-;_-* &quot;-&quot;_-;_-@"/>
    <numFmt numFmtId="208" formatCode="&quot;Average PC Selling Price CAGR--&quot;0"/>
    <numFmt numFmtId="209" formatCode="mm/dd/yy"/>
  </numFmts>
  <fonts count="101" x14ac:knownFonts="1">
    <font>
      <sz val="11"/>
      <color theme="1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4"/>
      <color theme="0"/>
      <name val="Arial Narrow"/>
      <family val="2"/>
    </font>
    <font>
      <sz val="12"/>
      <color rgb="FF0000FF"/>
      <name val="Arial Narrow"/>
      <family val="2"/>
    </font>
    <font>
      <b/>
      <sz val="12"/>
      <color theme="1"/>
      <name val="Arial Narrow"/>
      <family val="2"/>
    </font>
    <font>
      <b/>
      <sz val="12"/>
      <color rgb="FF0000FF"/>
      <name val="Arial Narrow"/>
      <family val="2"/>
    </font>
    <font>
      <sz val="11"/>
      <color theme="1"/>
      <name val="Calibri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i/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sz val="25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0"/>
      <name val="Open Sans"/>
      <family val="2"/>
    </font>
    <font>
      <sz val="11"/>
      <color rgb="FF0000FF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u/>
      <sz val="10"/>
      <color theme="1"/>
      <name val="Arial"/>
      <family val="2"/>
    </font>
    <font>
      <i/>
      <sz val="10"/>
      <name val="Arial"/>
      <family val="2"/>
    </font>
    <font>
      <u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Calibri"/>
      <family val="2"/>
    </font>
    <font>
      <sz val="14"/>
      <color theme="1"/>
      <name val="Times New Roman"/>
      <family val="1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1"/>
      <color theme="0"/>
      <name val="Calibri"/>
      <family val="2"/>
    </font>
    <font>
      <sz val="10"/>
      <color rgb="FF000000"/>
      <name val="Calibri"/>
      <family val="2"/>
      <scheme val="minor"/>
    </font>
    <font>
      <sz val="11"/>
      <color rgb="FF0000FF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25"/>
      <color theme="0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1"/>
      <color theme="0"/>
      <name val="Calibri"/>
      <family val="2"/>
    </font>
    <font>
      <b/>
      <i/>
      <u/>
      <sz val="11"/>
      <color theme="1"/>
      <name val="Calibri"/>
      <family val="2"/>
    </font>
    <font>
      <b/>
      <sz val="12"/>
      <color theme="1"/>
      <name val="Calibri (Body)"/>
    </font>
    <font>
      <sz val="12"/>
      <color theme="1"/>
      <name val="Calibri (Body)"/>
    </font>
    <font>
      <b/>
      <sz val="12"/>
      <color theme="0"/>
      <name val="Calibri (Body)"/>
    </font>
    <font>
      <sz val="12"/>
      <color rgb="FF0000FF"/>
      <name val="Calibri (Body)"/>
    </font>
    <font>
      <b/>
      <sz val="12"/>
      <color rgb="FFFFFFFF"/>
      <name val="Calibri (Body)"/>
    </font>
    <font>
      <b/>
      <i/>
      <u/>
      <sz val="11"/>
      <color theme="0"/>
      <name val="Calibri"/>
      <family val="2"/>
    </font>
    <font>
      <u/>
      <sz val="11"/>
      <color rgb="FF000000"/>
      <name val="Calibri"/>
      <family val="2"/>
    </font>
    <font>
      <sz val="12"/>
      <color rgb="FF0000FF"/>
      <name val="Calibri"/>
      <family val="2"/>
    </font>
    <font>
      <i/>
      <sz val="12"/>
      <color rgb="FF0000FF"/>
      <name val="Calibri"/>
      <family val="2"/>
    </font>
    <font>
      <b/>
      <sz val="14"/>
      <color theme="1"/>
      <name val="Calibri"/>
      <family val="2"/>
    </font>
    <font>
      <b/>
      <sz val="14"/>
      <color theme="0"/>
      <name val="Calibri"/>
      <family val="2"/>
    </font>
    <font>
      <b/>
      <u/>
      <sz val="12"/>
      <color theme="0"/>
      <name val="Calibri"/>
      <family val="2"/>
    </font>
    <font>
      <sz val="12"/>
      <color theme="0"/>
      <name val="Calibri"/>
      <family val="2"/>
    </font>
    <font>
      <b/>
      <sz val="12"/>
      <color rgb="FF0044BF"/>
      <name val="Calibri"/>
      <family val="2"/>
    </font>
    <font>
      <b/>
      <sz val="12"/>
      <name val="Calibri"/>
      <family val="2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FF"/>
      <name val="Calibri"/>
      <family val="2"/>
    </font>
    <font>
      <b/>
      <sz val="12"/>
      <color rgb="FF0000FF"/>
      <name val="Calibri (Body)"/>
    </font>
    <font>
      <b/>
      <sz val="12"/>
      <color rgb="FF0C813D"/>
      <name val="Calibri"/>
      <family val="2"/>
      <scheme val="minor"/>
    </font>
    <font>
      <b/>
      <i/>
      <sz val="10"/>
      <color rgb="FF0C813D"/>
      <name val="Calibri (Body)"/>
    </font>
    <font>
      <i/>
      <sz val="10"/>
      <color theme="1"/>
      <name val="Calibri (Body)"/>
    </font>
    <font>
      <b/>
      <i/>
      <sz val="10"/>
      <color rgb="FF00B050"/>
      <name val="Calibri (Body)"/>
    </font>
    <font>
      <b/>
      <i/>
      <sz val="11"/>
      <color theme="1"/>
      <name val="Calibri"/>
      <family val="2"/>
    </font>
    <font>
      <b/>
      <sz val="11"/>
      <color rgb="FF0000FF"/>
      <name val="Calibri"/>
      <family val="2"/>
    </font>
    <font>
      <sz val="11"/>
      <color rgb="FF000000"/>
      <name val="Calibri"/>
      <family val="34"/>
    </font>
    <font>
      <sz val="12"/>
      <color rgb="FFE7F2FF"/>
      <name val="Calibri"/>
      <family val="2"/>
    </font>
    <font>
      <b/>
      <i/>
      <sz val="12"/>
      <color theme="1"/>
      <name val="Calibri"/>
      <family val="2"/>
    </font>
    <font>
      <b/>
      <i/>
      <sz val="11"/>
      <color theme="0"/>
      <name val="Calibri"/>
      <family val="2"/>
      <scheme val="minor"/>
    </font>
    <font>
      <b/>
      <sz val="76"/>
      <color rgb="FF0000FF"/>
      <name val="Calibri"/>
      <family val="2"/>
      <scheme val="minor"/>
    </font>
    <font>
      <b/>
      <sz val="25"/>
      <color theme="1"/>
      <name val="Calibri (Body)"/>
    </font>
    <font>
      <sz val="20"/>
      <color theme="1"/>
      <name val="Calibri"/>
      <family val="2"/>
      <scheme val="minor"/>
    </font>
    <font>
      <sz val="25"/>
      <color theme="1"/>
      <name val="Calibri"/>
      <family val="2"/>
      <scheme val="minor"/>
    </font>
    <font>
      <sz val="20"/>
      <color theme="1"/>
      <name val="Calibri (Body)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3"/>
      <color rgb="FF21252C"/>
      <name val="Calibri"/>
      <family val="2"/>
    </font>
    <font>
      <sz val="12"/>
      <color rgb="FF21252C"/>
      <name val="Calibri"/>
      <family val="2"/>
    </font>
    <font>
      <b/>
      <sz val="12"/>
      <color rgb="FFFFFFFF"/>
      <name val="Calibri"/>
      <family val="2"/>
    </font>
    <font>
      <i/>
      <sz val="12"/>
      <color theme="1"/>
      <name val="Arial Narrow"/>
      <family val="2"/>
    </font>
    <font>
      <b/>
      <sz val="11"/>
      <color theme="0"/>
      <name val="Times New Roman"/>
      <family val="1"/>
    </font>
    <font>
      <sz val="11"/>
      <color theme="1"/>
      <name val="Times New Roman"/>
      <family val="1"/>
    </font>
    <font>
      <sz val="9"/>
      <color rgb="FF00000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000C3F"/>
        <bgColor rgb="FF132E57"/>
      </patternFill>
    </fill>
    <fill>
      <patternFill patternType="solid">
        <fgColor rgb="FF000C3F"/>
        <bgColor indexed="64"/>
      </patternFill>
    </fill>
    <fill>
      <patternFill patternType="solid">
        <fgColor rgb="FFE7F2FF"/>
        <bgColor rgb="FF1E8496"/>
      </patternFill>
    </fill>
    <fill>
      <patternFill patternType="solid">
        <fgColor rgb="FF000C3F"/>
        <bgColor rgb="FF000000"/>
      </patternFill>
    </fill>
    <fill>
      <patternFill patternType="solid">
        <fgColor rgb="FFE7F2FF"/>
        <bgColor rgb="FF132E57"/>
      </patternFill>
    </fill>
    <fill>
      <patternFill patternType="solid">
        <fgColor rgb="FFE7F2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44BF"/>
        <bgColor indexed="64"/>
      </patternFill>
    </fill>
    <fill>
      <patternFill patternType="solid">
        <fgColor rgb="FF0044BF"/>
        <bgColor rgb="FF132E57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4FF"/>
        <bgColor indexed="64"/>
      </patternFill>
    </fill>
    <fill>
      <patternFill patternType="solid">
        <fgColor rgb="FF00FF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8999908444471571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44BF"/>
        <bgColor rgb="FF000000"/>
      </patternFill>
    </fill>
    <fill>
      <patternFill patternType="solid">
        <fgColor rgb="FF0064FF"/>
        <bgColor rgb="FF132E57"/>
      </patternFill>
    </fill>
    <fill>
      <patternFill patternType="solid">
        <fgColor rgb="FF5C99FF"/>
        <bgColor indexed="64"/>
      </patternFill>
    </fill>
    <fill>
      <patternFill patternType="solid">
        <fgColor rgb="FFF0F0F0"/>
        <bgColor indexed="64"/>
      </patternFill>
    </fill>
  </fills>
  <borders count="11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000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double">
        <color indexed="64"/>
      </left>
      <right/>
      <top style="double">
        <color theme="0"/>
      </top>
      <bottom style="double">
        <color theme="0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/>
      <right/>
      <top style="thick">
        <color theme="1"/>
      </top>
      <bottom style="double">
        <color indexed="64"/>
      </bottom>
      <diagonal/>
    </border>
    <border>
      <left style="thick">
        <color theme="1"/>
      </left>
      <right/>
      <top/>
      <bottom/>
      <diagonal/>
    </border>
    <border>
      <left/>
      <right/>
      <top style="thick">
        <color theme="1"/>
      </top>
      <bottom style="double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0"/>
      </bottom>
      <diagonal/>
    </border>
    <border>
      <left style="thin">
        <color theme="1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0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 style="double">
        <color theme="0"/>
      </right>
      <top style="double">
        <color indexed="64"/>
      </top>
      <bottom style="double">
        <color theme="0"/>
      </bottom>
      <diagonal/>
    </border>
    <border>
      <left style="double">
        <color theme="0"/>
      </left>
      <right/>
      <top/>
      <bottom/>
      <diagonal/>
    </border>
    <border>
      <left style="double">
        <color theme="1"/>
      </left>
      <right/>
      <top style="double">
        <color theme="0"/>
      </top>
      <bottom/>
      <diagonal/>
    </border>
    <border>
      <left/>
      <right/>
      <top/>
      <bottom style="medium">
        <color theme="1"/>
      </bottom>
      <diagonal/>
    </border>
    <border>
      <left style="mediumDashed">
        <color theme="1"/>
      </left>
      <right/>
      <top style="mediumDashed">
        <color theme="1"/>
      </top>
      <bottom/>
      <diagonal/>
    </border>
    <border>
      <left/>
      <right/>
      <top style="mediumDashed">
        <color theme="1"/>
      </top>
      <bottom/>
      <diagonal/>
    </border>
    <border>
      <left/>
      <right style="mediumDashed">
        <color theme="1"/>
      </right>
      <top style="mediumDashed">
        <color theme="1"/>
      </top>
      <bottom/>
      <diagonal/>
    </border>
    <border>
      <left style="mediumDashed">
        <color theme="1"/>
      </left>
      <right/>
      <top/>
      <bottom/>
      <diagonal/>
    </border>
    <border>
      <left/>
      <right style="mediumDashed">
        <color theme="1"/>
      </right>
      <top/>
      <bottom/>
      <diagonal/>
    </border>
    <border>
      <left style="mediumDashed">
        <color theme="1"/>
      </left>
      <right/>
      <top/>
      <bottom style="mediumDashed">
        <color theme="1"/>
      </bottom>
      <diagonal/>
    </border>
    <border>
      <left/>
      <right/>
      <top/>
      <bottom style="mediumDashed">
        <color theme="1"/>
      </bottom>
      <diagonal/>
    </border>
    <border>
      <left/>
      <right style="mediumDashed">
        <color theme="1"/>
      </right>
      <top/>
      <bottom style="mediumDashed">
        <color theme="1"/>
      </bottom>
      <diagonal/>
    </border>
    <border>
      <left/>
      <right style="medium">
        <color theme="1"/>
      </right>
      <top/>
      <bottom/>
      <diagonal/>
    </border>
    <border>
      <left style="mediumDashed">
        <color theme="1"/>
      </left>
      <right/>
      <top/>
      <bottom style="medium">
        <color theme="1"/>
      </bottom>
      <diagonal/>
    </border>
    <border>
      <left/>
      <right style="mediumDashed">
        <color theme="1"/>
      </right>
      <top/>
      <bottom style="medium">
        <color theme="1"/>
      </bottom>
      <diagonal/>
    </border>
    <border>
      <left style="thick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ck">
        <color theme="0"/>
      </top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/>
      <right/>
      <top style="thin">
        <color theme="1"/>
      </top>
      <bottom style="double">
        <color indexed="64"/>
      </bottom>
      <diagonal/>
    </border>
    <border>
      <left/>
      <right style="mediumDashed">
        <color indexed="64"/>
      </right>
      <top/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Dashed">
        <color theme="0"/>
      </top>
      <bottom style="mediumDashed">
        <color theme="0"/>
      </bottom>
      <diagonal/>
    </border>
    <border>
      <left/>
      <right/>
      <top/>
      <bottom style="mediumDashed">
        <color theme="0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1"/>
      </bottom>
      <diagonal/>
    </border>
    <border>
      <left style="medium">
        <color theme="1"/>
      </left>
      <right style="thin">
        <color theme="0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ck">
        <color theme="1"/>
      </top>
      <bottom style="medium">
        <color theme="1"/>
      </bottom>
      <diagonal/>
    </border>
    <border>
      <left style="medium">
        <color theme="1"/>
      </left>
      <right style="thin">
        <color theme="0"/>
      </right>
      <top style="thick">
        <color indexed="64"/>
      </top>
      <bottom style="medium">
        <color theme="1"/>
      </bottom>
      <diagonal/>
    </border>
  </borders>
  <cellStyleXfs count="9">
    <xf numFmtId="0" fontId="0" fillId="0" borderId="0"/>
    <xf numFmtId="0" fontId="7" fillId="0" borderId="2"/>
    <xf numFmtId="0" fontId="14" fillId="0" borderId="2" applyNumberFormat="0" applyFill="0" applyBorder="0" applyAlignment="0" applyProtection="0"/>
    <xf numFmtId="0" fontId="15" fillId="0" borderId="2"/>
    <xf numFmtId="0" fontId="14" fillId="0" borderId="2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0" borderId="2"/>
    <xf numFmtId="9" fontId="6" fillId="0" borderId="2" applyFont="0" applyFill="0" applyBorder="0" applyAlignment="0" applyProtection="0"/>
    <xf numFmtId="9" fontId="27" fillId="0" borderId="0" applyFont="0" applyFill="0" applyBorder="0" applyAlignment="0" applyProtection="0"/>
  </cellStyleXfs>
  <cellXfs count="765">
    <xf numFmtId="0" fontId="0" fillId="0" borderId="0" xfId="0"/>
    <xf numFmtId="164" fontId="8" fillId="0" borderId="0" xfId="0" applyNumberFormat="1" applyFont="1"/>
    <xf numFmtId="164" fontId="8" fillId="0" borderId="0" xfId="0" applyNumberFormat="1" applyFont="1" applyAlignment="1">
      <alignment horizontal="center"/>
    </xf>
    <xf numFmtId="164" fontId="10" fillId="0" borderId="0" xfId="0" applyNumberFormat="1" applyFont="1"/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164" fontId="12" fillId="0" borderId="0" xfId="0" applyNumberFormat="1" applyFont="1"/>
    <xf numFmtId="0" fontId="13" fillId="0" borderId="0" xfId="0" applyFont="1"/>
    <xf numFmtId="9" fontId="8" fillId="0" borderId="0" xfId="0" applyNumberFormat="1" applyFont="1"/>
    <xf numFmtId="164" fontId="16" fillId="0" borderId="0" xfId="0" applyNumberFormat="1" applyFont="1"/>
    <xf numFmtId="164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right"/>
    </xf>
    <xf numFmtId="0" fontId="19" fillId="0" borderId="7" xfId="0" applyFont="1" applyBorder="1"/>
    <xf numFmtId="0" fontId="13" fillId="0" borderId="2" xfId="0" applyFont="1" applyBorder="1"/>
    <xf numFmtId="0" fontId="0" fillId="0" borderId="2" xfId="0" applyBorder="1"/>
    <xf numFmtId="0" fontId="0" fillId="8" borderId="0" xfId="0" applyFill="1"/>
    <xf numFmtId="37" fontId="21" fillId="0" borderId="2" xfId="0" applyNumberFormat="1" applyFont="1" applyBorder="1" applyAlignment="1">
      <alignment horizontal="right"/>
    </xf>
    <xf numFmtId="170" fontId="17" fillId="4" borderId="2" xfId="0" applyNumberFormat="1" applyFont="1" applyFill="1" applyBorder="1"/>
    <xf numFmtId="170" fontId="17" fillId="6" borderId="2" xfId="0" applyNumberFormat="1" applyFont="1" applyFill="1" applyBorder="1"/>
    <xf numFmtId="0" fontId="17" fillId="0" borderId="5" xfId="6" applyFont="1" applyBorder="1" applyAlignment="1">
      <alignment horizontal="centerContinuous"/>
    </xf>
    <xf numFmtId="0" fontId="6" fillId="0" borderId="2" xfId="6"/>
    <xf numFmtId="0" fontId="23" fillId="0" borderId="5" xfId="6" applyFont="1" applyBorder="1" applyAlignment="1">
      <alignment horizontal="center"/>
    </xf>
    <xf numFmtId="0" fontId="6" fillId="7" borderId="2" xfId="6" applyFill="1"/>
    <xf numFmtId="175" fontId="6" fillId="0" borderId="2" xfId="6" applyNumberFormat="1" applyAlignment="1">
      <alignment horizontal="right"/>
    </xf>
    <xf numFmtId="0" fontId="24" fillId="3" borderId="2" xfId="6" applyFont="1" applyFill="1"/>
    <xf numFmtId="0" fontId="6" fillId="0" borderId="10" xfId="6" applyBorder="1"/>
    <xf numFmtId="9" fontId="25" fillId="0" borderId="14" xfId="6" applyNumberFormat="1" applyFont="1" applyBorder="1"/>
    <xf numFmtId="43" fontId="6" fillId="0" borderId="2" xfId="6" applyNumberFormat="1"/>
    <xf numFmtId="169" fontId="6" fillId="0" borderId="2" xfId="6" applyNumberFormat="1"/>
    <xf numFmtId="9" fontId="6" fillId="0" borderId="2" xfId="6" applyNumberFormat="1"/>
    <xf numFmtId="0" fontId="5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28" fillId="0" borderId="0" xfId="0" applyFont="1" applyAlignment="1">
      <alignment horizontal="centerContinuous"/>
    </xf>
    <xf numFmtId="165" fontId="31" fillId="11" borderId="0" xfId="8" applyNumberFormat="1" applyFont="1" applyFill="1"/>
    <xf numFmtId="0" fontId="0" fillId="0" borderId="5" xfId="0" applyBorder="1"/>
    <xf numFmtId="181" fontId="31" fillId="11" borderId="0" xfId="0" applyNumberFormat="1" applyFont="1" applyFill="1" applyAlignment="1">
      <alignment horizontal="right"/>
    </xf>
    <xf numFmtId="182" fontId="28" fillId="8" borderId="0" xfId="0" applyNumberFormat="1" applyFont="1" applyFill="1"/>
    <xf numFmtId="183" fontId="31" fillId="11" borderId="0" xfId="0" applyNumberFormat="1" applyFont="1" applyFill="1"/>
    <xf numFmtId="0" fontId="31" fillId="11" borderId="9" xfId="0" applyFont="1" applyFill="1" applyBorder="1" applyAlignment="1">
      <alignment horizontal="center"/>
    </xf>
    <xf numFmtId="182" fontId="0" fillId="0" borderId="0" xfId="0" applyNumberFormat="1"/>
    <xf numFmtId="186" fontId="0" fillId="8" borderId="5" xfId="0" applyNumberFormat="1" applyFill="1" applyBorder="1" applyAlignment="1">
      <alignment horizontal="right"/>
    </xf>
    <xf numFmtId="181" fontId="31" fillId="11" borderId="5" xfId="0" applyNumberFormat="1" applyFont="1" applyFill="1" applyBorder="1" applyAlignment="1">
      <alignment horizontal="right"/>
    </xf>
    <xf numFmtId="181" fontId="31" fillId="8" borderId="5" xfId="0" applyNumberFormat="1" applyFont="1" applyFill="1" applyBorder="1" applyAlignment="1">
      <alignment horizontal="right"/>
    </xf>
    <xf numFmtId="185" fontId="15" fillId="8" borderId="5" xfId="0" applyNumberFormat="1" applyFont="1" applyFill="1" applyBorder="1" applyAlignment="1">
      <alignment horizontal="right"/>
    </xf>
    <xf numFmtId="182" fontId="0" fillId="8" borderId="5" xfId="0" applyNumberFormat="1" applyFill="1" applyBorder="1" applyAlignment="1">
      <alignment horizontal="right"/>
    </xf>
    <xf numFmtId="180" fontId="28" fillId="8" borderId="0" xfId="0" applyNumberFormat="1" applyFont="1" applyFill="1" applyAlignment="1">
      <alignment horizontal="right"/>
    </xf>
    <xf numFmtId="182" fontId="28" fillId="8" borderId="0" xfId="0" applyNumberFormat="1" applyFont="1" applyFill="1" applyAlignment="1">
      <alignment horizontal="right"/>
    </xf>
    <xf numFmtId="0" fontId="28" fillId="0" borderId="0" xfId="0" applyFont="1" applyAlignment="1">
      <alignment horizontal="right"/>
    </xf>
    <xf numFmtId="0" fontId="28" fillId="8" borderId="0" xfId="0" applyFont="1" applyFill="1" applyAlignment="1">
      <alignment horizontal="right"/>
    </xf>
    <xf numFmtId="1" fontId="0" fillId="0" borderId="0" xfId="0" applyNumberFormat="1"/>
    <xf numFmtId="0" fontId="0" fillId="0" borderId="0" xfId="0" applyAlignment="1">
      <alignment horizontal="centerContinuous"/>
    </xf>
    <xf numFmtId="0" fontId="32" fillId="0" borderId="0" xfId="0" applyFont="1"/>
    <xf numFmtId="0" fontId="32" fillId="0" borderId="0" xfId="0" applyFont="1" applyAlignment="1">
      <alignment horizontal="right"/>
    </xf>
    <xf numFmtId="0" fontId="32" fillId="0" borderId="0" xfId="0" applyFont="1" applyAlignment="1">
      <alignment horizontal="left"/>
    </xf>
    <xf numFmtId="177" fontId="15" fillId="8" borderId="0" xfId="0" applyNumberFormat="1" applyFont="1" applyFill="1"/>
    <xf numFmtId="182" fontId="0" fillId="8" borderId="0" xfId="0" applyNumberFormat="1" applyFill="1"/>
    <xf numFmtId="181" fontId="15" fillId="0" borderId="0" xfId="0" applyNumberFormat="1" applyFont="1" applyAlignment="1">
      <alignment horizontal="right"/>
    </xf>
    <xf numFmtId="186" fontId="0" fillId="8" borderId="0" xfId="0" applyNumberFormat="1" applyFill="1"/>
    <xf numFmtId="181" fontId="15" fillId="0" borderId="5" xfId="0" applyNumberFormat="1" applyFont="1" applyBorder="1" applyAlignment="1">
      <alignment horizontal="right"/>
    </xf>
    <xf numFmtId="186" fontId="0" fillId="8" borderId="5" xfId="0" applyNumberFormat="1" applyFill="1" applyBorder="1"/>
    <xf numFmtId="177" fontId="28" fillId="8" borderId="0" xfId="0" applyNumberFormat="1" applyFont="1" applyFill="1" applyAlignment="1">
      <alignment horizontal="right"/>
    </xf>
    <xf numFmtId="181" fontId="28" fillId="0" borderId="0" xfId="0" applyNumberFormat="1" applyFont="1"/>
    <xf numFmtId="187" fontId="29" fillId="0" borderId="0" xfId="0" applyNumberFormat="1" applyFont="1"/>
    <xf numFmtId="188" fontId="0" fillId="0" borderId="5" xfId="0" applyNumberFormat="1" applyBorder="1"/>
    <xf numFmtId="188" fontId="28" fillId="0" borderId="0" xfId="0" applyNumberFormat="1" applyFont="1"/>
    <xf numFmtId="188" fontId="0" fillId="0" borderId="0" xfId="0" applyNumberFormat="1"/>
    <xf numFmtId="0" fontId="28" fillId="14" borderId="13" xfId="0" applyFont="1" applyFill="1" applyBorder="1"/>
    <xf numFmtId="189" fontId="33" fillId="8" borderId="0" xfId="0" applyNumberFormat="1" applyFont="1" applyFill="1"/>
    <xf numFmtId="179" fontId="0" fillId="8" borderId="0" xfId="0" applyNumberFormat="1" applyFill="1"/>
    <xf numFmtId="188" fontId="0" fillId="8" borderId="5" xfId="0" applyNumberFormat="1" applyFill="1" applyBorder="1"/>
    <xf numFmtId="188" fontId="0" fillId="8" borderId="0" xfId="0" applyNumberFormat="1" applyFill="1"/>
    <xf numFmtId="0" fontId="28" fillId="8" borderId="0" xfId="0" applyFont="1" applyFill="1"/>
    <xf numFmtId="180" fontId="0" fillId="8" borderId="5" xfId="0" applyNumberFormat="1" applyFill="1" applyBorder="1"/>
    <xf numFmtId="190" fontId="28" fillId="14" borderId="13" xfId="0" applyNumberFormat="1" applyFont="1" applyFill="1" applyBorder="1" applyAlignment="1">
      <alignment horizontal="right"/>
    </xf>
    <xf numFmtId="0" fontId="34" fillId="0" borderId="0" xfId="0" applyFont="1"/>
    <xf numFmtId="191" fontId="0" fillId="0" borderId="0" xfId="0" applyNumberFormat="1" applyAlignment="1">
      <alignment horizontal="left"/>
    </xf>
    <xf numFmtId="179" fontId="0" fillId="8" borderId="0" xfId="0" applyNumberFormat="1" applyFill="1" applyAlignment="1">
      <alignment horizontal="right"/>
    </xf>
    <xf numFmtId="0" fontId="28" fillId="15" borderId="15" xfId="0" applyFont="1" applyFill="1" applyBorder="1"/>
    <xf numFmtId="0" fontId="28" fillId="15" borderId="7" xfId="0" applyFont="1" applyFill="1" applyBorder="1"/>
    <xf numFmtId="189" fontId="28" fillId="15" borderId="7" xfId="0" applyNumberFormat="1" applyFont="1" applyFill="1" applyBorder="1"/>
    <xf numFmtId="189" fontId="28" fillId="15" borderId="16" xfId="0" applyNumberFormat="1" applyFont="1" applyFill="1" applyBorder="1"/>
    <xf numFmtId="0" fontId="28" fillId="15" borderId="18" xfId="0" applyFont="1" applyFill="1" applyBorder="1"/>
    <xf numFmtId="0" fontId="28" fillId="15" borderId="5" xfId="0" applyFont="1" applyFill="1" applyBorder="1"/>
    <xf numFmtId="180" fontId="28" fillId="15" borderId="5" xfId="0" applyNumberFormat="1" applyFont="1" applyFill="1" applyBorder="1"/>
    <xf numFmtId="180" fontId="28" fillId="15" borderId="19" xfId="0" applyNumberFormat="1" applyFont="1" applyFill="1" applyBorder="1"/>
    <xf numFmtId="0" fontId="35" fillId="0" borderId="0" xfId="0" applyFont="1"/>
    <xf numFmtId="179" fontId="26" fillId="0" borderId="0" xfId="0" applyNumberFormat="1" applyFont="1"/>
    <xf numFmtId="180" fontId="26" fillId="0" borderId="5" xfId="0" applyNumberFormat="1" applyFont="1" applyBorder="1" applyAlignment="1">
      <alignment horizontal="right"/>
    </xf>
    <xf numFmtId="192" fontId="10" fillId="0" borderId="0" xfId="0" applyNumberFormat="1" applyFont="1"/>
    <xf numFmtId="0" fontId="23" fillId="0" borderId="0" xfId="0" applyFont="1"/>
    <xf numFmtId="7" fontId="0" fillId="0" borderId="9" xfId="0" applyNumberFormat="1" applyBorder="1"/>
    <xf numFmtId="0" fontId="23" fillId="0" borderId="2" xfId="0" applyFont="1" applyBorder="1"/>
    <xf numFmtId="182" fontId="23" fillId="0" borderId="0" xfId="0" applyNumberFormat="1" applyFont="1"/>
    <xf numFmtId="0" fontId="26" fillId="0" borderId="0" xfId="0" applyFont="1"/>
    <xf numFmtId="188" fontId="26" fillId="0" borderId="0" xfId="0" applyNumberFormat="1" applyFont="1"/>
    <xf numFmtId="177" fontId="0" fillId="8" borderId="2" xfId="0" applyNumberFormat="1" applyFill="1" applyBorder="1"/>
    <xf numFmtId="0" fontId="4" fillId="0" borderId="2" xfId="6" applyFont="1"/>
    <xf numFmtId="37" fontId="0" fillId="8" borderId="0" xfId="0" applyNumberFormat="1" applyFill="1"/>
    <xf numFmtId="0" fontId="0" fillId="16" borderId="0" xfId="0" applyFill="1"/>
    <xf numFmtId="0" fontId="0" fillId="0" borderId="27" xfId="0" applyBorder="1"/>
    <xf numFmtId="43" fontId="13" fillId="0" borderId="0" xfId="0" applyNumberFormat="1" applyFont="1"/>
    <xf numFmtId="0" fontId="19" fillId="0" borderId="0" xfId="0" applyFont="1"/>
    <xf numFmtId="0" fontId="13" fillId="7" borderId="0" xfId="0" applyFont="1" applyFill="1"/>
    <xf numFmtId="0" fontId="53" fillId="0" borderId="0" xfId="0" applyFont="1"/>
    <xf numFmtId="0" fontId="13" fillId="0" borderId="2" xfId="6" applyFont="1"/>
    <xf numFmtId="171" fontId="56" fillId="12" borderId="2" xfId="6" applyNumberFormat="1" applyFont="1" applyFill="1"/>
    <xf numFmtId="0" fontId="42" fillId="12" borderId="0" xfId="0" applyFont="1" applyFill="1"/>
    <xf numFmtId="0" fontId="13" fillId="0" borderId="0" xfId="0" applyFont="1" applyAlignment="1">
      <alignment horizontal="left" indent="1"/>
    </xf>
    <xf numFmtId="10" fontId="13" fillId="0" borderId="0" xfId="8" applyNumberFormat="1" applyFont="1" applyAlignment="1">
      <alignment horizontal="right"/>
    </xf>
    <xf numFmtId="3" fontId="13" fillId="0" borderId="0" xfId="0" applyNumberFormat="1" applyFont="1"/>
    <xf numFmtId="0" fontId="13" fillId="0" borderId="0" xfId="0" applyFont="1" applyAlignment="1">
      <alignment horizontal="right"/>
    </xf>
    <xf numFmtId="165" fontId="13" fillId="0" borderId="0" xfId="0" applyNumberFormat="1" applyFont="1"/>
    <xf numFmtId="5" fontId="13" fillId="0" borderId="0" xfId="0" applyNumberFormat="1" applyFont="1"/>
    <xf numFmtId="171" fontId="56" fillId="17" borderId="2" xfId="6" applyNumberFormat="1" applyFont="1" applyFill="1"/>
    <xf numFmtId="0" fontId="56" fillId="17" borderId="2" xfId="6" applyFont="1" applyFill="1" applyAlignment="1">
      <alignment horizontal="right"/>
    </xf>
    <xf numFmtId="0" fontId="19" fillId="7" borderId="0" xfId="0" applyFont="1" applyFill="1"/>
    <xf numFmtId="5" fontId="19" fillId="7" borderId="0" xfId="0" applyNumberFormat="1" applyFont="1" applyFill="1" applyAlignment="1">
      <alignment horizontal="right"/>
    </xf>
    <xf numFmtId="170" fontId="55" fillId="20" borderId="2" xfId="6" applyNumberFormat="1" applyFont="1" applyFill="1"/>
    <xf numFmtId="0" fontId="57" fillId="0" borderId="2" xfId="6" applyFont="1"/>
    <xf numFmtId="10" fontId="13" fillId="0" borderId="0" xfId="0" applyNumberFormat="1" applyFont="1"/>
    <xf numFmtId="165" fontId="13" fillId="0" borderId="0" xfId="8" applyNumberFormat="1" applyFont="1" applyAlignment="1">
      <alignment horizontal="right"/>
    </xf>
    <xf numFmtId="165" fontId="19" fillId="7" borderId="0" xfId="0" applyNumberFormat="1" applyFont="1" applyFill="1"/>
    <xf numFmtId="168" fontId="0" fillId="0" borderId="0" xfId="0" applyNumberFormat="1"/>
    <xf numFmtId="195" fontId="17" fillId="6" borderId="2" xfId="0" applyNumberFormat="1" applyFont="1" applyFill="1" applyBorder="1" applyAlignment="1">
      <alignment horizontal="right"/>
    </xf>
    <xf numFmtId="196" fontId="9" fillId="2" borderId="2" xfId="0" applyNumberFormat="1" applyFont="1" applyFill="1" applyBorder="1" applyAlignment="1">
      <alignment horizontal="right"/>
    </xf>
    <xf numFmtId="0" fontId="59" fillId="0" borderId="41" xfId="0" applyFont="1" applyBorder="1"/>
    <xf numFmtId="0" fontId="59" fillId="0" borderId="0" xfId="0" applyFont="1"/>
    <xf numFmtId="0" fontId="59" fillId="0" borderId="40" xfId="0" applyFont="1" applyBorder="1"/>
    <xf numFmtId="0" fontId="59" fillId="0" borderId="42" xfId="0" applyFont="1" applyBorder="1"/>
    <xf numFmtId="165" fontId="60" fillId="18" borderId="39" xfId="6" applyNumberFormat="1" applyFont="1" applyFill="1" applyBorder="1"/>
    <xf numFmtId="0" fontId="59" fillId="0" borderId="51" xfId="0" applyFont="1" applyBorder="1"/>
    <xf numFmtId="0" fontId="59" fillId="7" borderId="29" xfId="0" applyFont="1" applyFill="1" applyBorder="1" applyAlignment="1">
      <alignment horizontal="left" indent="1"/>
    </xf>
    <xf numFmtId="0" fontId="60" fillId="17" borderId="29" xfId="6" applyFont="1" applyFill="1" applyBorder="1"/>
    <xf numFmtId="169" fontId="60" fillId="17" borderId="29" xfId="6" applyNumberFormat="1" applyFont="1" applyFill="1" applyBorder="1"/>
    <xf numFmtId="0" fontId="60" fillId="19" borderId="48" xfId="0" applyFont="1" applyFill="1" applyBorder="1" applyAlignment="1">
      <alignment horizontal="left"/>
    </xf>
    <xf numFmtId="169" fontId="60" fillId="19" borderId="49" xfId="0" applyNumberFormat="1" applyFont="1" applyFill="1" applyBorder="1"/>
    <xf numFmtId="0" fontId="59" fillId="0" borderId="2" xfId="0" applyFont="1" applyBorder="1"/>
    <xf numFmtId="0" fontId="60" fillId="0" borderId="0" xfId="0" applyFont="1" applyAlignment="1">
      <alignment horizontal="center"/>
    </xf>
    <xf numFmtId="3" fontId="59" fillId="0" borderId="29" xfId="0" applyNumberFormat="1" applyFont="1" applyBorder="1"/>
    <xf numFmtId="165" fontId="59" fillId="0" borderId="29" xfId="0" applyNumberFormat="1" applyFont="1" applyBorder="1"/>
    <xf numFmtId="168" fontId="61" fillId="0" borderId="29" xfId="0" applyNumberFormat="1" applyFont="1" applyBorder="1"/>
    <xf numFmtId="165" fontId="61" fillId="0" borderId="31" xfId="0" applyNumberFormat="1" applyFont="1" applyBorder="1"/>
    <xf numFmtId="0" fontId="59" fillId="0" borderId="29" xfId="0" applyFont="1" applyBorder="1" applyAlignment="1">
      <alignment horizontal="left" indent="3"/>
    </xf>
    <xf numFmtId="0" fontId="59" fillId="0" borderId="29" xfId="0" applyFont="1" applyBorder="1" applyAlignment="1">
      <alignment horizontal="left" indent="2"/>
    </xf>
    <xf numFmtId="0" fontId="59" fillId="0" borderId="29" xfId="0" applyFont="1" applyBorder="1" applyAlignment="1">
      <alignment horizontal="left" indent="1"/>
    </xf>
    <xf numFmtId="0" fontId="59" fillId="0" borderId="35" xfId="0" applyFont="1" applyBorder="1" applyAlignment="1">
      <alignment horizontal="left" indent="1"/>
    </xf>
    <xf numFmtId="0" fontId="59" fillId="0" borderId="36" xfId="0" applyFont="1" applyBorder="1" applyAlignment="1">
      <alignment horizontal="left" indent="1"/>
    </xf>
    <xf numFmtId="169" fontId="59" fillId="0" borderId="29" xfId="0" applyNumberFormat="1" applyFont="1" applyBorder="1"/>
    <xf numFmtId="7" fontId="59" fillId="0" borderId="36" xfId="0" applyNumberFormat="1" applyFont="1" applyBorder="1"/>
    <xf numFmtId="169" fontId="59" fillId="0" borderId="35" xfId="0" applyNumberFormat="1" applyFont="1" applyBorder="1"/>
    <xf numFmtId="194" fontId="59" fillId="0" borderId="29" xfId="0" applyNumberFormat="1" applyFont="1" applyBorder="1"/>
    <xf numFmtId="194" fontId="59" fillId="0" borderId="36" xfId="0" applyNumberFormat="1" applyFont="1" applyBorder="1"/>
    <xf numFmtId="0" fontId="46" fillId="7" borderId="29" xfId="6" applyFont="1" applyFill="1" applyBorder="1"/>
    <xf numFmtId="193" fontId="46" fillId="7" borderId="29" xfId="6" applyNumberFormat="1" applyFont="1" applyFill="1" applyBorder="1"/>
    <xf numFmtId="169" fontId="46" fillId="7" borderId="29" xfId="6" applyNumberFormat="1" applyFont="1" applyFill="1" applyBorder="1"/>
    <xf numFmtId="0" fontId="46" fillId="7" borderId="46" xfId="0" applyFont="1" applyFill="1" applyBorder="1" applyAlignment="1">
      <alignment horizontal="center"/>
    </xf>
    <xf numFmtId="0" fontId="45" fillId="17" borderId="37" xfId="6" applyFont="1" applyFill="1" applyBorder="1"/>
    <xf numFmtId="0" fontId="45" fillId="17" borderId="38" xfId="6" applyFont="1" applyFill="1" applyBorder="1"/>
    <xf numFmtId="0" fontId="46" fillId="7" borderId="43" xfId="0" applyFont="1" applyFill="1" applyBorder="1" applyAlignment="1">
      <alignment horizontal="left" indent="27"/>
    </xf>
    <xf numFmtId="174" fontId="59" fillId="0" borderId="35" xfId="0" applyNumberFormat="1" applyFont="1" applyBorder="1"/>
    <xf numFmtId="0" fontId="60" fillId="17" borderId="31" xfId="0" applyFont="1" applyFill="1" applyBorder="1" applyAlignment="1">
      <alignment horizontal="left"/>
    </xf>
    <xf numFmtId="0" fontId="60" fillId="17" borderId="30" xfId="0" applyFont="1" applyFill="1" applyBorder="1" applyAlignment="1">
      <alignment horizontal="left" indent="1"/>
    </xf>
    <xf numFmtId="0" fontId="60" fillId="17" borderId="31" xfId="0" applyFont="1" applyFill="1" applyBorder="1" applyAlignment="1">
      <alignment horizontal="left" indent="1"/>
    </xf>
    <xf numFmtId="0" fontId="59" fillId="0" borderId="44" xfId="0" applyFont="1" applyBorder="1" applyAlignment="1">
      <alignment vertical="center"/>
    </xf>
    <xf numFmtId="0" fontId="51" fillId="0" borderId="0" xfId="0" applyFont="1"/>
    <xf numFmtId="37" fontId="44" fillId="0" borderId="2" xfId="0" applyNumberFormat="1" applyFont="1" applyBorder="1" applyAlignment="1">
      <alignment horizontal="right"/>
    </xf>
    <xf numFmtId="37" fontId="13" fillId="0" borderId="0" xfId="0" applyNumberFormat="1" applyFont="1"/>
    <xf numFmtId="10" fontId="53" fillId="0" borderId="0" xfId="0" applyNumberFormat="1" applyFont="1"/>
    <xf numFmtId="0" fontId="19" fillId="0" borderId="2" xfId="0" applyFont="1" applyBorder="1"/>
    <xf numFmtId="0" fontId="51" fillId="0" borderId="2" xfId="0" applyFont="1" applyBorder="1"/>
    <xf numFmtId="37" fontId="13" fillId="0" borderId="2" xfId="0" applyNumberFormat="1" applyFont="1" applyBorder="1" applyAlignment="1">
      <alignment horizontal="right"/>
    </xf>
    <xf numFmtId="3" fontId="13" fillId="0" borderId="2" xfId="0" applyNumberFormat="1" applyFont="1" applyBorder="1"/>
    <xf numFmtId="10" fontId="13" fillId="0" borderId="2" xfId="0" applyNumberFormat="1" applyFont="1" applyBorder="1"/>
    <xf numFmtId="165" fontId="13" fillId="0" borderId="2" xfId="0" applyNumberFormat="1" applyFont="1" applyBorder="1"/>
    <xf numFmtId="165" fontId="13" fillId="0" borderId="2" xfId="0" applyNumberFormat="1" applyFont="1" applyBorder="1" applyAlignment="1">
      <alignment horizontal="right"/>
    </xf>
    <xf numFmtId="165" fontId="44" fillId="0" borderId="2" xfId="0" applyNumberFormat="1" applyFont="1" applyBorder="1" applyAlignment="1">
      <alignment horizontal="right"/>
    </xf>
    <xf numFmtId="0" fontId="64" fillId="0" borderId="2" xfId="5" applyFont="1" applyFill="1" applyBorder="1"/>
    <xf numFmtId="9" fontId="13" fillId="0" borderId="2" xfId="0" applyNumberFormat="1" applyFont="1" applyBorder="1"/>
    <xf numFmtId="0" fontId="13" fillId="0" borderId="2" xfId="0" applyFont="1" applyBorder="1" applyAlignment="1">
      <alignment horizontal="left" indent="1"/>
    </xf>
    <xf numFmtId="0" fontId="19" fillId="0" borderId="0" xfId="0" applyFont="1" applyAlignment="1">
      <alignment horizontal="left"/>
    </xf>
    <xf numFmtId="0" fontId="53" fillId="0" borderId="0" xfId="0" applyFont="1" applyAlignment="1">
      <alignment horizontal="left" indent="1"/>
    </xf>
    <xf numFmtId="0" fontId="19" fillId="0" borderId="2" xfId="0" applyFont="1" applyBorder="1" applyAlignment="1">
      <alignment horizontal="left"/>
    </xf>
    <xf numFmtId="0" fontId="53" fillId="0" borderId="2" xfId="0" applyFont="1" applyBorder="1" applyAlignment="1">
      <alignment horizontal="left" indent="3"/>
    </xf>
    <xf numFmtId="0" fontId="51" fillId="0" borderId="2" xfId="0" applyFont="1" applyBorder="1" applyAlignment="1">
      <alignment horizontal="left" vertical="center" readingOrder="1"/>
    </xf>
    <xf numFmtId="10" fontId="44" fillId="0" borderId="2" xfId="0" applyNumberFormat="1" applyFont="1" applyBorder="1"/>
    <xf numFmtId="37" fontId="13" fillId="0" borderId="2" xfId="0" applyNumberFormat="1" applyFont="1" applyBorder="1" applyAlignment="1">
      <alignment horizontal="left"/>
    </xf>
    <xf numFmtId="0" fontId="42" fillId="0" borderId="0" xfId="0" applyFont="1"/>
    <xf numFmtId="0" fontId="57" fillId="0" borderId="2" xfId="0" applyFont="1" applyBorder="1"/>
    <xf numFmtId="0" fontId="13" fillId="0" borderId="29" xfId="0" applyFont="1" applyBorder="1"/>
    <xf numFmtId="0" fontId="13" fillId="0" borderId="29" xfId="0" applyFont="1" applyBorder="1" applyAlignment="1">
      <alignment horizontal="left" indent="1"/>
    </xf>
    <xf numFmtId="165" fontId="13" fillId="0" borderId="29" xfId="0" applyNumberFormat="1" applyFont="1" applyBorder="1"/>
    <xf numFmtId="164" fontId="13" fillId="0" borderId="29" xfId="0" applyNumberFormat="1" applyFont="1" applyBorder="1"/>
    <xf numFmtId="37" fontId="44" fillId="0" borderId="29" xfId="0" applyNumberFormat="1" applyFont="1" applyBorder="1" applyAlignment="1">
      <alignment horizontal="right"/>
    </xf>
    <xf numFmtId="43" fontId="13" fillId="0" borderId="29" xfId="0" applyNumberFormat="1" applyFont="1" applyBorder="1"/>
    <xf numFmtId="0" fontId="19" fillId="0" borderId="29" xfId="0" applyFont="1" applyBorder="1"/>
    <xf numFmtId="0" fontId="42" fillId="17" borderId="29" xfId="0" applyFont="1" applyFill="1" applyBorder="1"/>
    <xf numFmtId="0" fontId="52" fillId="17" borderId="29" xfId="0" applyFont="1" applyFill="1" applyBorder="1"/>
    <xf numFmtId="0" fontId="19" fillId="7" borderId="29" xfId="0" applyFont="1" applyFill="1" applyBorder="1"/>
    <xf numFmtId="165" fontId="19" fillId="7" borderId="29" xfId="0" applyNumberFormat="1" applyFont="1" applyFill="1" applyBorder="1"/>
    <xf numFmtId="0" fontId="51" fillId="0" borderId="2" xfId="5" applyFont="1" applyFill="1" applyBorder="1"/>
    <xf numFmtId="0" fontId="40" fillId="0" borderId="0" xfId="0" applyFont="1"/>
    <xf numFmtId="10" fontId="13" fillId="0" borderId="29" xfId="0" applyNumberFormat="1" applyFont="1" applyBorder="1"/>
    <xf numFmtId="165" fontId="44" fillId="0" borderId="29" xfId="0" applyNumberFormat="1" applyFont="1" applyBorder="1" applyAlignment="1">
      <alignment horizontal="right"/>
    </xf>
    <xf numFmtId="0" fontId="19" fillId="0" borderId="29" xfId="0" applyFont="1" applyBorder="1" applyAlignment="1">
      <alignment horizontal="left"/>
    </xf>
    <xf numFmtId="9" fontId="44" fillId="0" borderId="29" xfId="0" applyNumberFormat="1" applyFont="1" applyBorder="1" applyAlignment="1">
      <alignment horizontal="right"/>
    </xf>
    <xf numFmtId="0" fontId="42" fillId="17" borderId="35" xfId="0" applyFont="1" applyFill="1" applyBorder="1"/>
    <xf numFmtId="0" fontId="52" fillId="17" borderId="35" xfId="0" applyFont="1" applyFill="1" applyBorder="1"/>
    <xf numFmtId="37" fontId="13" fillId="0" borderId="29" xfId="0" applyNumberFormat="1" applyFont="1" applyBorder="1" applyAlignment="1">
      <alignment horizontal="right"/>
    </xf>
    <xf numFmtId="0" fontId="19" fillId="7" borderId="29" xfId="0" applyFont="1" applyFill="1" applyBorder="1" applyAlignment="1">
      <alignment horizontal="left"/>
    </xf>
    <xf numFmtId="0" fontId="13" fillId="0" borderId="29" xfId="0" applyFont="1" applyBorder="1" applyAlignment="1">
      <alignment horizontal="left" indent="2"/>
    </xf>
    <xf numFmtId="3" fontId="13" fillId="0" borderId="29" xfId="0" applyNumberFormat="1" applyFont="1" applyBorder="1"/>
    <xf numFmtId="0" fontId="53" fillId="0" borderId="29" xfId="0" applyFont="1" applyBorder="1" applyAlignment="1">
      <alignment horizontal="left" indent="3"/>
    </xf>
    <xf numFmtId="39" fontId="44" fillId="0" borderId="29" xfId="0" applyNumberFormat="1" applyFont="1" applyBorder="1" applyAlignment="1">
      <alignment horizontal="right"/>
    </xf>
    <xf numFmtId="165" fontId="19" fillId="7" borderId="29" xfId="0" applyNumberFormat="1" applyFont="1" applyFill="1" applyBorder="1" applyAlignment="1">
      <alignment horizontal="right"/>
    </xf>
    <xf numFmtId="165" fontId="19" fillId="0" borderId="2" xfId="0" applyNumberFormat="1" applyFont="1" applyBorder="1"/>
    <xf numFmtId="0" fontId="42" fillId="8" borderId="0" xfId="0" applyFont="1" applyFill="1" applyAlignment="1">
      <alignment horizontal="center"/>
    </xf>
    <xf numFmtId="0" fontId="13" fillId="8" borderId="0" xfId="0" applyFont="1" applyFill="1"/>
    <xf numFmtId="0" fontId="19" fillId="7" borderId="9" xfId="0" applyFont="1" applyFill="1" applyBorder="1"/>
    <xf numFmtId="0" fontId="19" fillId="7" borderId="10" xfId="0" applyFont="1" applyFill="1" applyBorder="1"/>
    <xf numFmtId="164" fontId="65" fillId="0" borderId="9" xfId="0" applyNumberFormat="1" applyFont="1" applyBorder="1"/>
    <xf numFmtId="164" fontId="66" fillId="0" borderId="0" xfId="0" applyNumberFormat="1" applyFont="1"/>
    <xf numFmtId="164" fontId="13" fillId="0" borderId="0" xfId="0" applyNumberFormat="1" applyFont="1"/>
    <xf numFmtId="172" fontId="65" fillId="0" borderId="9" xfId="0" applyNumberFormat="1" applyFont="1" applyBorder="1" applyAlignment="1">
      <alignment horizontal="right"/>
    </xf>
    <xf numFmtId="43" fontId="13" fillId="0" borderId="9" xfId="0" applyNumberFormat="1" applyFont="1" applyBorder="1"/>
    <xf numFmtId="172" fontId="65" fillId="0" borderId="0" xfId="0" applyNumberFormat="1" applyFont="1" applyAlignment="1">
      <alignment horizontal="right"/>
    </xf>
    <xf numFmtId="172" fontId="13" fillId="0" borderId="0" xfId="0" applyNumberFormat="1" applyFont="1"/>
    <xf numFmtId="165" fontId="13" fillId="0" borderId="9" xfId="0" applyNumberFormat="1" applyFont="1" applyBorder="1"/>
    <xf numFmtId="172" fontId="50" fillId="0" borderId="9" xfId="0" applyNumberFormat="1" applyFont="1" applyBorder="1" applyAlignment="1">
      <alignment horizontal="right"/>
    </xf>
    <xf numFmtId="0" fontId="13" fillId="0" borderId="9" xfId="0" applyFont="1" applyBorder="1"/>
    <xf numFmtId="168" fontId="13" fillId="0" borderId="9" xfId="0" applyNumberFormat="1" applyFont="1" applyBorder="1"/>
    <xf numFmtId="4" fontId="13" fillId="0" borderId="9" xfId="0" applyNumberFormat="1" applyFont="1" applyBorder="1"/>
    <xf numFmtId="173" fontId="13" fillId="0" borderId="9" xfId="0" applyNumberFormat="1" applyFont="1" applyBorder="1"/>
    <xf numFmtId="10" fontId="13" fillId="0" borderId="9" xfId="0" applyNumberFormat="1" applyFont="1" applyBorder="1"/>
    <xf numFmtId="164" fontId="65" fillId="0" borderId="0" xfId="0" applyNumberFormat="1" applyFont="1"/>
    <xf numFmtId="0" fontId="42" fillId="17" borderId="2" xfId="0" applyFont="1" applyFill="1" applyBorder="1"/>
    <xf numFmtId="0" fontId="13" fillId="0" borderId="29" xfId="0" applyFont="1" applyBorder="1" applyAlignment="1">
      <alignment horizontal="left" wrapText="1" indent="1"/>
    </xf>
    <xf numFmtId="0" fontId="63" fillId="0" borderId="0" xfId="0" applyFont="1" applyAlignment="1">
      <alignment horizontal="center"/>
    </xf>
    <xf numFmtId="0" fontId="13" fillId="0" borderId="29" xfId="0" applyFont="1" applyBorder="1" applyAlignment="1">
      <alignment horizontal="left" indent="3"/>
    </xf>
    <xf numFmtId="165" fontId="59" fillId="0" borderId="31" xfId="0" applyNumberFormat="1" applyFont="1" applyBorder="1"/>
    <xf numFmtId="0" fontId="58" fillId="7" borderId="29" xfId="0" applyFont="1" applyFill="1" applyBorder="1" applyAlignment="1">
      <alignment horizontal="left" indent="1"/>
    </xf>
    <xf numFmtId="165" fontId="58" fillId="7" borderId="29" xfId="0" applyNumberFormat="1" applyFont="1" applyFill="1" applyBorder="1"/>
    <xf numFmtId="0" fontId="59" fillId="0" borderId="2" xfId="0" applyFont="1" applyBorder="1" applyAlignment="1">
      <alignment horizontal="left" indent="1"/>
    </xf>
    <xf numFmtId="165" fontId="61" fillId="0" borderId="2" xfId="0" applyNumberFormat="1" applyFont="1" applyBorder="1"/>
    <xf numFmtId="165" fontId="59" fillId="0" borderId="2" xfId="0" applyNumberFormat="1" applyFont="1" applyBorder="1"/>
    <xf numFmtId="0" fontId="38" fillId="17" borderId="13" xfId="0" applyFont="1" applyFill="1" applyBorder="1"/>
    <xf numFmtId="170" fontId="38" fillId="17" borderId="13" xfId="0" applyNumberFormat="1" applyFont="1" applyFill="1" applyBorder="1"/>
    <xf numFmtId="171" fontId="38" fillId="17" borderId="13" xfId="0" applyNumberFormat="1" applyFont="1" applyFill="1" applyBorder="1"/>
    <xf numFmtId="0" fontId="24" fillId="17" borderId="13" xfId="0" applyFont="1" applyFill="1" applyBorder="1"/>
    <xf numFmtId="171" fontId="9" fillId="13" borderId="2" xfId="0" applyNumberFormat="1" applyFont="1" applyFill="1" applyBorder="1"/>
    <xf numFmtId="0" fontId="20" fillId="22" borderId="0" xfId="0" applyFont="1" applyFill="1" applyAlignment="1">
      <alignment vertical="center"/>
    </xf>
    <xf numFmtId="0" fontId="48" fillId="12" borderId="2" xfId="6" applyFont="1" applyFill="1" applyAlignment="1">
      <alignment horizontal="left" vertical="top"/>
    </xf>
    <xf numFmtId="164" fontId="49" fillId="13" borderId="2" xfId="6" applyNumberFormat="1" applyFont="1" applyFill="1" applyAlignment="1">
      <alignment horizontal="centerContinuous"/>
    </xf>
    <xf numFmtId="164" fontId="36" fillId="4" borderId="2" xfId="6" applyNumberFormat="1" applyFont="1" applyFill="1" applyAlignment="1">
      <alignment horizontal="centerContinuous"/>
    </xf>
    <xf numFmtId="171" fontId="68" fillId="13" borderId="2" xfId="6" applyNumberFormat="1" applyFont="1" applyFill="1"/>
    <xf numFmtId="0" fontId="50" fillId="0" borderId="2" xfId="6" applyFont="1"/>
    <xf numFmtId="171" fontId="69" fillId="13" borderId="2" xfId="6" applyNumberFormat="1" applyFont="1" applyFill="1" applyAlignment="1">
      <alignment horizontal="right"/>
    </xf>
    <xf numFmtId="164" fontId="49" fillId="0" borderId="2" xfId="6" applyNumberFormat="1" applyFont="1" applyAlignment="1">
      <alignment horizontal="centerContinuous"/>
    </xf>
    <xf numFmtId="171" fontId="69" fillId="0" borderId="2" xfId="6" applyNumberFormat="1" applyFont="1" applyAlignment="1">
      <alignment horizontal="right"/>
    </xf>
    <xf numFmtId="0" fontId="50" fillId="0" borderId="2" xfId="6" applyFont="1" applyAlignment="1">
      <alignment horizontal="left" indent="1"/>
    </xf>
    <xf numFmtId="10" fontId="54" fillId="0" borderId="2" xfId="6" applyNumberFormat="1" applyFont="1" applyAlignment="1">
      <alignment horizontal="right"/>
    </xf>
    <xf numFmtId="10" fontId="54" fillId="0" borderId="2" xfId="6" applyNumberFormat="1" applyFont="1"/>
    <xf numFmtId="164" fontId="50" fillId="0" borderId="0" xfId="0" applyNumberFormat="1" applyFont="1"/>
    <xf numFmtId="165" fontId="54" fillId="0" borderId="2" xfId="6" applyNumberFormat="1" applyFont="1"/>
    <xf numFmtId="0" fontId="54" fillId="0" borderId="2" xfId="6" applyFont="1" applyAlignment="1">
      <alignment horizontal="left" indent="1"/>
    </xf>
    <xf numFmtId="166" fontId="36" fillId="0" borderId="2" xfId="6" applyNumberFormat="1" applyFont="1"/>
    <xf numFmtId="0" fontId="50" fillId="0" borderId="0" xfId="6" applyFont="1" applyBorder="1"/>
    <xf numFmtId="166" fontId="50" fillId="0" borderId="2" xfId="6" applyNumberFormat="1" applyFont="1"/>
    <xf numFmtId="9" fontId="50" fillId="0" borderId="2" xfId="6" applyNumberFormat="1" applyFont="1"/>
    <xf numFmtId="0" fontId="36" fillId="0" borderId="2" xfId="6" applyFont="1"/>
    <xf numFmtId="5" fontId="36" fillId="0" borderId="7" xfId="6" applyNumberFormat="1" applyFont="1" applyBorder="1"/>
    <xf numFmtId="164" fontId="36" fillId="0" borderId="2" xfId="6" applyNumberFormat="1" applyFont="1"/>
    <xf numFmtId="2" fontId="50" fillId="0" borderId="2" xfId="6" applyNumberFormat="1" applyFont="1"/>
    <xf numFmtId="5" fontId="36" fillId="0" borderId="2" xfId="6" applyNumberFormat="1" applyFont="1"/>
    <xf numFmtId="172" fontId="65" fillId="0" borderId="0" xfId="0" applyNumberFormat="1" applyFont="1"/>
    <xf numFmtId="5" fontId="50" fillId="0" borderId="2" xfId="6" applyNumberFormat="1" applyFont="1"/>
    <xf numFmtId="7" fontId="50" fillId="0" borderId="2" xfId="6" applyNumberFormat="1" applyFont="1"/>
    <xf numFmtId="171" fontId="68" fillId="13" borderId="10" xfId="6" applyNumberFormat="1" applyFont="1" applyFill="1" applyBorder="1" applyAlignment="1">
      <alignment horizontal="left"/>
    </xf>
    <xf numFmtId="171" fontId="68" fillId="13" borderId="13" xfId="6" applyNumberFormat="1" applyFont="1" applyFill="1" applyBorder="1" applyAlignment="1">
      <alignment horizontal="left"/>
    </xf>
    <xf numFmtId="171" fontId="68" fillId="13" borderId="14" xfId="6" applyNumberFormat="1" applyFont="1" applyFill="1" applyBorder="1" applyAlignment="1">
      <alignment horizontal="left"/>
    </xf>
    <xf numFmtId="37" fontId="50" fillId="0" borderId="2" xfId="6" applyNumberFormat="1" applyFont="1" applyAlignment="1">
      <alignment horizontal="right"/>
    </xf>
    <xf numFmtId="164" fontId="50" fillId="0" borderId="2" xfId="6" applyNumberFormat="1" applyFont="1" applyAlignment="1">
      <alignment horizontal="right"/>
    </xf>
    <xf numFmtId="10" fontId="50" fillId="0" borderId="2" xfId="6" applyNumberFormat="1" applyFont="1"/>
    <xf numFmtId="177" fontId="50" fillId="0" borderId="2" xfId="6" applyNumberFormat="1" applyFont="1"/>
    <xf numFmtId="169" fontId="36" fillId="0" borderId="2" xfId="6" applyNumberFormat="1" applyFont="1"/>
    <xf numFmtId="0" fontId="36" fillId="0" borderId="2" xfId="6" applyFont="1" applyAlignment="1">
      <alignment horizontal="centerContinuous"/>
    </xf>
    <xf numFmtId="0" fontId="67" fillId="0" borderId="2" xfId="6" applyFont="1" applyAlignment="1">
      <alignment horizontal="centerContinuous"/>
    </xf>
    <xf numFmtId="169" fontId="71" fillId="12" borderId="15" xfId="6" applyNumberFormat="1" applyFont="1" applyFill="1" applyBorder="1"/>
    <xf numFmtId="10" fontId="49" fillId="12" borderId="12" xfId="6" applyNumberFormat="1" applyFont="1" applyFill="1" applyBorder="1"/>
    <xf numFmtId="178" fontId="72" fillId="0" borderId="20" xfId="6" applyNumberFormat="1" applyFont="1" applyBorder="1"/>
    <xf numFmtId="165" fontId="50" fillId="10" borderId="2" xfId="6" applyNumberFormat="1" applyFont="1" applyFill="1"/>
    <xf numFmtId="165" fontId="70" fillId="10" borderId="2" xfId="6" applyNumberFormat="1" applyFont="1" applyFill="1"/>
    <xf numFmtId="170" fontId="67" fillId="6" borderId="2" xfId="6" applyNumberFormat="1" applyFont="1" applyFill="1"/>
    <xf numFmtId="165" fontId="3" fillId="0" borderId="29" xfId="0" applyNumberFormat="1" applyFont="1" applyBorder="1"/>
    <xf numFmtId="0" fontId="42" fillId="17" borderId="0" xfId="0" applyFont="1" applyFill="1"/>
    <xf numFmtId="0" fontId="19" fillId="7" borderId="55" xfId="0" applyFont="1" applyFill="1" applyBorder="1"/>
    <xf numFmtId="172" fontId="65" fillId="0" borderId="55" xfId="0" applyNumberFormat="1" applyFont="1" applyBorder="1" applyAlignment="1">
      <alignment horizontal="right"/>
    </xf>
    <xf numFmtId="43" fontId="13" fillId="0" borderId="55" xfId="0" applyNumberFormat="1" applyFont="1" applyBorder="1"/>
    <xf numFmtId="3" fontId="3" fillId="0" borderId="29" xfId="0" applyNumberFormat="1" applyFont="1" applyBorder="1"/>
    <xf numFmtId="165" fontId="59" fillId="0" borderId="0" xfId="0" applyNumberFormat="1" applyFont="1"/>
    <xf numFmtId="0" fontId="42" fillId="17" borderId="30" xfId="0" applyFont="1" applyFill="1" applyBorder="1"/>
    <xf numFmtId="0" fontId="42" fillId="17" borderId="34" xfId="0" applyFont="1" applyFill="1" applyBorder="1"/>
    <xf numFmtId="0" fontId="36" fillId="7" borderId="2" xfId="6" applyFont="1" applyFill="1"/>
    <xf numFmtId="0" fontId="50" fillId="7" borderId="2" xfId="6" applyFont="1" applyFill="1"/>
    <xf numFmtId="5" fontId="36" fillId="7" borderId="2" xfId="6" applyNumberFormat="1" applyFont="1" applyFill="1"/>
    <xf numFmtId="5" fontId="36" fillId="7" borderId="7" xfId="6" applyNumberFormat="1" applyFont="1" applyFill="1" applyBorder="1"/>
    <xf numFmtId="4" fontId="13" fillId="0" borderId="9" xfId="0" applyNumberFormat="1" applyFont="1" applyBorder="1" applyAlignment="1">
      <alignment horizontal="left" indent="1"/>
    </xf>
    <xf numFmtId="164" fontId="36" fillId="0" borderId="0" xfId="0" applyNumberFormat="1" applyFont="1"/>
    <xf numFmtId="164" fontId="50" fillId="0" borderId="0" xfId="0" applyNumberFormat="1" applyFont="1" applyAlignment="1">
      <alignment horizontal="center"/>
    </xf>
    <xf numFmtId="164" fontId="50" fillId="0" borderId="1" xfId="0" applyNumberFormat="1" applyFont="1" applyBorder="1"/>
    <xf numFmtId="164" fontId="50" fillId="0" borderId="1" xfId="0" applyNumberFormat="1" applyFont="1" applyBorder="1" applyAlignment="1">
      <alignment horizontal="center"/>
    </xf>
    <xf numFmtId="164" fontId="50" fillId="0" borderId="0" xfId="0" applyNumberFormat="1" applyFont="1" applyAlignment="1">
      <alignment horizontal="left"/>
    </xf>
    <xf numFmtId="164" fontId="50" fillId="0" borderId="2" xfId="0" applyNumberFormat="1" applyFont="1" applyBorder="1"/>
    <xf numFmtId="164" fontId="50" fillId="0" borderId="2" xfId="0" applyNumberFormat="1" applyFont="1" applyBorder="1" applyAlignment="1">
      <alignment horizontal="center"/>
    </xf>
    <xf numFmtId="164" fontId="65" fillId="0" borderId="2" xfId="0" applyNumberFormat="1" applyFont="1" applyBorder="1"/>
    <xf numFmtId="43" fontId="50" fillId="0" borderId="2" xfId="0" applyNumberFormat="1" applyFont="1" applyBorder="1"/>
    <xf numFmtId="164" fontId="50" fillId="0" borderId="5" xfId="0" applyNumberFormat="1" applyFont="1" applyBorder="1"/>
    <xf numFmtId="164" fontId="50" fillId="0" borderId="5" xfId="0" applyNumberFormat="1" applyFont="1" applyBorder="1" applyAlignment="1">
      <alignment horizontal="center"/>
    </xf>
    <xf numFmtId="10" fontId="65" fillId="0" borderId="0" xfId="0" applyNumberFormat="1" applyFont="1"/>
    <xf numFmtId="2" fontId="65" fillId="0" borderId="0" xfId="0" applyNumberFormat="1" applyFont="1"/>
    <xf numFmtId="164" fontId="50" fillId="0" borderId="2" xfId="0" applyNumberFormat="1" applyFont="1" applyBorder="1" applyAlignment="1">
      <alignment horizontal="left"/>
    </xf>
    <xf numFmtId="164" fontId="36" fillId="0" borderId="2" xfId="0" applyNumberFormat="1" applyFont="1" applyBorder="1"/>
    <xf numFmtId="164" fontId="50" fillId="0" borderId="0" xfId="0" applyNumberFormat="1" applyFont="1" applyAlignment="1">
      <alignment horizontal="left" indent="1"/>
    </xf>
    <xf numFmtId="164" fontId="36" fillId="0" borderId="1" xfId="0" applyNumberFormat="1" applyFont="1" applyBorder="1"/>
    <xf numFmtId="0" fontId="75" fillId="0" borderId="0" xfId="0" applyFont="1"/>
    <xf numFmtId="164" fontId="75" fillId="0" borderId="0" xfId="0" applyNumberFormat="1" applyFont="1"/>
    <xf numFmtId="164" fontId="36" fillId="0" borderId="0" xfId="0" applyNumberFormat="1" applyFont="1" applyAlignment="1">
      <alignment horizontal="center"/>
    </xf>
    <xf numFmtId="166" fontId="50" fillId="0" borderId="0" xfId="0" applyNumberFormat="1" applyFont="1"/>
    <xf numFmtId="164" fontId="36" fillId="0" borderId="1" xfId="0" applyNumberFormat="1" applyFont="1" applyBorder="1" applyAlignment="1">
      <alignment horizontal="center"/>
    </xf>
    <xf numFmtId="9" fontId="75" fillId="0" borderId="0" xfId="0" applyNumberFormat="1" applyFont="1"/>
    <xf numFmtId="1" fontId="75" fillId="0" borderId="0" xfId="0" applyNumberFormat="1" applyFont="1"/>
    <xf numFmtId="0" fontId="74" fillId="0" borderId="0" xfId="0" applyFont="1" applyAlignment="1">
      <alignment horizontal="left" indent="1"/>
    </xf>
    <xf numFmtId="164" fontId="65" fillId="0" borderId="5" xfId="0" applyNumberFormat="1" applyFont="1" applyBorder="1"/>
    <xf numFmtId="10" fontId="36" fillId="0" borderId="2" xfId="0" applyNumberFormat="1" applyFont="1" applyBorder="1"/>
    <xf numFmtId="164" fontId="36" fillId="0" borderId="2" xfId="0" applyNumberFormat="1" applyFont="1" applyBorder="1" applyAlignment="1">
      <alignment horizontal="center"/>
    </xf>
    <xf numFmtId="164" fontId="36" fillId="0" borderId="3" xfId="0" applyNumberFormat="1" applyFont="1" applyBorder="1"/>
    <xf numFmtId="164" fontId="36" fillId="0" borderId="3" xfId="0" applyNumberFormat="1" applyFont="1" applyBorder="1" applyAlignment="1">
      <alignment horizontal="center"/>
    </xf>
    <xf numFmtId="168" fontId="36" fillId="0" borderId="2" xfId="0" applyNumberFormat="1" applyFont="1" applyBorder="1" applyAlignment="1">
      <alignment horizontal="left"/>
    </xf>
    <xf numFmtId="168" fontId="36" fillId="0" borderId="2" xfId="0" applyNumberFormat="1" applyFont="1" applyBorder="1"/>
    <xf numFmtId="168" fontId="36" fillId="0" borderId="2" xfId="0" applyNumberFormat="1" applyFont="1" applyBorder="1" applyAlignment="1">
      <alignment horizontal="center"/>
    </xf>
    <xf numFmtId="169" fontId="36" fillId="0" borderId="2" xfId="0" applyNumberFormat="1" applyFont="1" applyBorder="1"/>
    <xf numFmtId="164" fontId="36" fillId="7" borderId="0" xfId="0" applyNumberFormat="1" applyFont="1" applyFill="1"/>
    <xf numFmtId="164" fontId="50" fillId="7" borderId="0" xfId="0" applyNumberFormat="1" applyFont="1" applyFill="1"/>
    <xf numFmtId="164" fontId="50" fillId="7" borderId="0" xfId="0" applyNumberFormat="1" applyFont="1" applyFill="1" applyAlignment="1">
      <alignment horizontal="center"/>
    </xf>
    <xf numFmtId="164" fontId="65" fillId="7" borderId="0" xfId="0" applyNumberFormat="1" applyFont="1" applyFill="1"/>
    <xf numFmtId="165" fontId="50" fillId="0" borderId="0" xfId="0" applyNumberFormat="1" applyFont="1"/>
    <xf numFmtId="165" fontId="50" fillId="9" borderId="0" xfId="0" applyNumberFormat="1" applyFont="1" applyFill="1"/>
    <xf numFmtId="168" fontId="50" fillId="21" borderId="0" xfId="0" applyNumberFormat="1" applyFont="1" applyFill="1"/>
    <xf numFmtId="168" fontId="50" fillId="0" borderId="0" xfId="0" applyNumberFormat="1" applyFont="1"/>
    <xf numFmtId="168" fontId="50" fillId="9" borderId="0" xfId="0" applyNumberFormat="1" applyFont="1" applyFill="1"/>
    <xf numFmtId="165" fontId="50" fillId="21" borderId="0" xfId="0" applyNumberFormat="1" applyFont="1" applyFill="1"/>
    <xf numFmtId="165" fontId="74" fillId="0" borderId="0" xfId="0" applyNumberFormat="1" applyFont="1"/>
    <xf numFmtId="165" fontId="65" fillId="0" borderId="0" xfId="0" applyNumberFormat="1" applyFont="1"/>
    <xf numFmtId="165" fontId="50" fillId="7" borderId="0" xfId="0" applyNumberFormat="1" applyFont="1" applyFill="1"/>
    <xf numFmtId="165" fontId="74" fillId="7" borderId="0" xfId="0" applyNumberFormat="1" applyFont="1" applyFill="1"/>
    <xf numFmtId="172" fontId="50" fillId="0" borderId="0" xfId="0" applyNumberFormat="1" applyFont="1"/>
    <xf numFmtId="164" fontId="54" fillId="7" borderId="0" xfId="0" applyNumberFormat="1" applyFont="1" applyFill="1"/>
    <xf numFmtId="164" fontId="54" fillId="7" borderId="0" xfId="0" applyNumberFormat="1" applyFont="1" applyFill="1" applyAlignment="1">
      <alignment horizontal="center"/>
    </xf>
    <xf numFmtId="9" fontId="65" fillId="0" borderId="0" xfId="0" applyNumberFormat="1" applyFont="1" applyAlignment="1">
      <alignment horizontal="center"/>
    </xf>
    <xf numFmtId="41" fontId="50" fillId="0" borderId="0" xfId="0" applyNumberFormat="1" applyFont="1"/>
    <xf numFmtId="164" fontId="36" fillId="7" borderId="0" xfId="0" applyNumberFormat="1" applyFont="1" applyFill="1" applyAlignment="1">
      <alignment horizontal="left"/>
    </xf>
    <xf numFmtId="9" fontId="65" fillId="7" borderId="0" xfId="0" applyNumberFormat="1" applyFont="1" applyFill="1" applyAlignment="1">
      <alignment horizontal="center"/>
    </xf>
    <xf numFmtId="41" fontId="50" fillId="7" borderId="0" xfId="0" applyNumberFormat="1" applyFont="1" applyFill="1"/>
    <xf numFmtId="10" fontId="50" fillId="0" borderId="0" xfId="0" applyNumberFormat="1" applyFont="1"/>
    <xf numFmtId="164" fontId="54" fillId="0" borderId="0" xfId="0" applyNumberFormat="1" applyFont="1"/>
    <xf numFmtId="164" fontId="54" fillId="0" borderId="0" xfId="0" applyNumberFormat="1" applyFont="1" applyAlignment="1">
      <alignment horizontal="center"/>
    </xf>
    <xf numFmtId="9" fontId="50" fillId="0" borderId="0" xfId="0" applyNumberFormat="1" applyFont="1"/>
    <xf numFmtId="164" fontId="50" fillId="0" borderId="2" xfId="0" applyNumberFormat="1" applyFont="1" applyBorder="1" applyAlignment="1">
      <alignment horizontal="left" indent="1"/>
    </xf>
    <xf numFmtId="165" fontId="54" fillId="0" borderId="2" xfId="0" applyNumberFormat="1" applyFont="1" applyBorder="1" applyAlignment="1">
      <alignment horizontal="right" indent="1"/>
    </xf>
    <xf numFmtId="10" fontId="13" fillId="0" borderId="30" xfId="0" applyNumberFormat="1" applyFont="1" applyBorder="1"/>
    <xf numFmtId="10" fontId="13" fillId="0" borderId="53" xfId="0" applyNumberFormat="1" applyFont="1" applyBorder="1"/>
    <xf numFmtId="168" fontId="54" fillId="0" borderId="2" xfId="0" applyNumberFormat="1" applyFont="1" applyBorder="1" applyAlignment="1">
      <alignment horizontal="right" indent="1"/>
    </xf>
    <xf numFmtId="4" fontId="3" fillId="0" borderId="29" xfId="0" quotePrefix="1" applyNumberFormat="1" applyFont="1" applyBorder="1"/>
    <xf numFmtId="4" fontId="13" fillId="0" borderId="57" xfId="0" applyNumberFormat="1" applyFont="1" applyBorder="1" applyAlignment="1">
      <alignment horizontal="left" indent="1"/>
    </xf>
    <xf numFmtId="165" fontId="13" fillId="0" borderId="57" xfId="0" applyNumberFormat="1" applyFont="1" applyBorder="1"/>
    <xf numFmtId="4" fontId="13" fillId="0" borderId="29" xfId="0" applyNumberFormat="1" applyFont="1" applyBorder="1" applyAlignment="1">
      <alignment horizontal="left" indent="1"/>
    </xf>
    <xf numFmtId="165" fontId="3" fillId="0" borderId="29" xfId="0" quotePrefix="1" applyNumberFormat="1" applyFont="1" applyBorder="1"/>
    <xf numFmtId="164" fontId="50" fillId="0" borderId="28" xfId="0" applyNumberFormat="1" applyFont="1" applyBorder="1"/>
    <xf numFmtId="164" fontId="50" fillId="0" borderId="28" xfId="0" applyNumberFormat="1" applyFont="1" applyBorder="1" applyAlignment="1">
      <alignment horizontal="center"/>
    </xf>
    <xf numFmtId="164" fontId="65" fillId="0" borderId="28" xfId="0" applyNumberFormat="1" applyFont="1" applyBorder="1"/>
    <xf numFmtId="0" fontId="13" fillId="0" borderId="28" xfId="0" applyFont="1" applyBorder="1"/>
    <xf numFmtId="164" fontId="50" fillId="0" borderId="28" xfId="0" applyNumberFormat="1" applyFont="1" applyBorder="1" applyAlignment="1">
      <alignment horizontal="left"/>
    </xf>
    <xf numFmtId="164" fontId="74" fillId="0" borderId="0" xfId="0" applyNumberFormat="1" applyFont="1"/>
    <xf numFmtId="164" fontId="36" fillId="0" borderId="6" xfId="0" applyNumberFormat="1" applyFont="1" applyBorder="1" applyAlignment="1">
      <alignment horizontal="left"/>
    </xf>
    <xf numFmtId="164" fontId="36" fillId="0" borderId="6" xfId="0" applyNumberFormat="1" applyFont="1" applyBorder="1"/>
    <xf numFmtId="164" fontId="36" fillId="0" borderId="6" xfId="0" applyNumberFormat="1" applyFont="1" applyBorder="1" applyAlignment="1">
      <alignment horizontal="center"/>
    </xf>
    <xf numFmtId="9" fontId="65" fillId="0" borderId="0" xfId="0" applyNumberFormat="1" applyFont="1"/>
    <xf numFmtId="164" fontId="36" fillId="0" borderId="7" xfId="0" applyNumberFormat="1" applyFont="1" applyBorder="1" applyAlignment="1">
      <alignment horizontal="left"/>
    </xf>
    <xf numFmtId="164" fontId="36" fillId="0" borderId="7" xfId="0" applyNumberFormat="1" applyFont="1" applyBorder="1"/>
    <xf numFmtId="164" fontId="36" fillId="0" borderId="8" xfId="0" applyNumberFormat="1" applyFont="1" applyBorder="1"/>
    <xf numFmtId="164" fontId="36" fillId="0" borderId="8" xfId="0" applyNumberFormat="1" applyFont="1" applyBorder="1" applyAlignment="1">
      <alignment horizontal="center"/>
    </xf>
    <xf numFmtId="164" fontId="36" fillId="0" borderId="4" xfId="0" applyNumberFormat="1" applyFont="1" applyBorder="1"/>
    <xf numFmtId="164" fontId="36" fillId="0" borderId="4" xfId="0" applyNumberFormat="1" applyFont="1" applyBorder="1" applyAlignment="1">
      <alignment horizontal="center"/>
    </xf>
    <xf numFmtId="167" fontId="54" fillId="0" borderId="0" xfId="0" applyNumberFormat="1" applyFont="1"/>
    <xf numFmtId="167" fontId="54" fillId="0" borderId="0" xfId="0" applyNumberFormat="1" applyFont="1" applyAlignment="1">
      <alignment horizontal="center"/>
    </xf>
    <xf numFmtId="197" fontId="17" fillId="4" borderId="2" xfId="0" applyNumberFormat="1" applyFont="1" applyFill="1" applyBorder="1"/>
    <xf numFmtId="10" fontId="36" fillId="0" borderId="2" xfId="6" applyNumberFormat="1" applyFont="1"/>
    <xf numFmtId="0" fontId="50" fillId="8" borderId="2" xfId="6" applyFont="1" applyFill="1"/>
    <xf numFmtId="0" fontId="36" fillId="7" borderId="21" xfId="6" applyFont="1" applyFill="1" applyBorder="1"/>
    <xf numFmtId="172" fontId="50" fillId="0" borderId="2" xfId="6" applyNumberFormat="1" applyFont="1" applyAlignment="1">
      <alignment horizontal="right"/>
    </xf>
    <xf numFmtId="168" fontId="59" fillId="0" borderId="29" xfId="0" applyNumberFormat="1" applyFont="1" applyBorder="1"/>
    <xf numFmtId="165" fontId="76" fillId="7" borderId="29" xfId="0" applyNumberFormat="1" applyFont="1" applyFill="1" applyBorder="1"/>
    <xf numFmtId="165" fontId="46" fillId="7" borderId="29" xfId="0" applyNumberFormat="1" applyFont="1" applyFill="1" applyBorder="1"/>
    <xf numFmtId="168" fontId="2" fillId="0" borderId="29" xfId="0" applyNumberFormat="1" applyFont="1" applyBorder="1"/>
    <xf numFmtId="165" fontId="2" fillId="0" borderId="29" xfId="0" applyNumberFormat="1" applyFont="1" applyBorder="1"/>
    <xf numFmtId="165" fontId="2" fillId="0" borderId="29" xfId="0" quotePrefix="1" applyNumberFormat="1" applyFont="1" applyBorder="1"/>
    <xf numFmtId="165" fontId="77" fillId="0" borderId="29" xfId="0" applyNumberFormat="1" applyFont="1" applyBorder="1"/>
    <xf numFmtId="1" fontId="77" fillId="0" borderId="29" xfId="0" applyNumberFormat="1" applyFont="1" applyBorder="1"/>
    <xf numFmtId="0" fontId="77" fillId="0" borderId="29" xfId="0" applyFont="1" applyBorder="1"/>
    <xf numFmtId="168" fontId="77" fillId="0" borderId="29" xfId="0" applyNumberFormat="1" applyFont="1" applyBorder="1"/>
    <xf numFmtId="0" fontId="80" fillId="0" borderId="0" xfId="0" applyFont="1"/>
    <xf numFmtId="0" fontId="59" fillId="0" borderId="30" xfId="0" applyFont="1" applyBorder="1" applyAlignment="1">
      <alignment horizontal="left" indent="2"/>
    </xf>
    <xf numFmtId="198" fontId="59" fillId="0" borderId="30" xfId="0" applyNumberFormat="1" applyFont="1" applyBorder="1" applyAlignment="1">
      <alignment horizontal="left" indent="2"/>
    </xf>
    <xf numFmtId="199" fontId="59" fillId="0" borderId="30" xfId="0" applyNumberFormat="1" applyFont="1" applyBorder="1" applyAlignment="1">
      <alignment horizontal="left" indent="2"/>
    </xf>
    <xf numFmtId="200" fontId="59" fillId="0" borderId="29" xfId="0" applyNumberFormat="1" applyFont="1" applyBorder="1" applyAlignment="1">
      <alignment horizontal="left" indent="2"/>
    </xf>
    <xf numFmtId="0" fontId="19" fillId="7" borderId="56" xfId="0" applyFont="1" applyFill="1" applyBorder="1"/>
    <xf numFmtId="0" fontId="19" fillId="7" borderId="18" xfId="0" applyFont="1" applyFill="1" applyBorder="1"/>
    <xf numFmtId="0" fontId="19" fillId="7" borderId="58" xfId="0" applyFont="1" applyFill="1" applyBorder="1"/>
    <xf numFmtId="1" fontId="59" fillId="0" borderId="29" xfId="0" applyNumberFormat="1" applyFont="1" applyBorder="1"/>
    <xf numFmtId="0" fontId="59" fillId="0" borderId="30" xfId="0" quotePrefix="1" applyFont="1" applyBorder="1" applyAlignment="1">
      <alignment horizontal="left" indent="2"/>
    </xf>
    <xf numFmtId="201" fontId="59" fillId="0" borderId="29" xfId="0" applyNumberFormat="1" applyFont="1" applyBorder="1" applyAlignment="1">
      <alignment horizontal="left" indent="2"/>
    </xf>
    <xf numFmtId="202" fontId="59" fillId="0" borderId="29" xfId="0" applyNumberFormat="1" applyFont="1" applyBorder="1" applyAlignment="1">
      <alignment horizontal="left" indent="2"/>
    </xf>
    <xf numFmtId="0" fontId="81" fillId="8" borderId="0" xfId="0" applyFont="1" applyFill="1" applyAlignment="1">
      <alignment horizontal="center"/>
    </xf>
    <xf numFmtId="4" fontId="13" fillId="0" borderId="10" xfId="0" applyNumberFormat="1" applyFont="1" applyBorder="1" applyAlignment="1">
      <alignment horizontal="left" indent="1"/>
    </xf>
    <xf numFmtId="165" fontId="82" fillId="7" borderId="29" xfId="0" applyNumberFormat="1" applyFont="1" applyFill="1" applyBorder="1" applyAlignment="1">
      <alignment horizontal="right"/>
    </xf>
    <xf numFmtId="1" fontId="82" fillId="7" borderId="29" xfId="0" applyNumberFormat="1" applyFont="1" applyFill="1" applyBorder="1" applyAlignment="1">
      <alignment horizontal="right"/>
    </xf>
    <xf numFmtId="0" fontId="19" fillId="7" borderId="36" xfId="0" applyFont="1" applyFill="1" applyBorder="1" applyAlignment="1">
      <alignment horizontal="left"/>
    </xf>
    <xf numFmtId="165" fontId="19" fillId="7" borderId="36" xfId="0" applyNumberFormat="1" applyFont="1" applyFill="1" applyBorder="1" applyAlignment="1">
      <alignment horizontal="right"/>
    </xf>
    <xf numFmtId="0" fontId="13" fillId="0" borderId="9" xfId="0" applyFont="1" applyBorder="1" applyAlignment="1">
      <alignment horizontal="left" indent="1"/>
    </xf>
    <xf numFmtId="1" fontId="13" fillId="0" borderId="9" xfId="0" applyNumberFormat="1" applyFont="1" applyBorder="1" applyAlignment="1">
      <alignment horizontal="right"/>
    </xf>
    <xf numFmtId="165" fontId="13" fillId="0" borderId="9" xfId="0" applyNumberFormat="1" applyFont="1" applyBorder="1" applyAlignment="1">
      <alignment horizontal="right"/>
    </xf>
    <xf numFmtId="0" fontId="13" fillId="0" borderId="9" xfId="0" quotePrefix="1" applyFont="1" applyBorder="1" applyAlignment="1">
      <alignment horizontal="left" indent="1"/>
    </xf>
    <xf numFmtId="171" fontId="13" fillId="0" borderId="0" xfId="0" applyNumberFormat="1" applyFont="1"/>
    <xf numFmtId="164" fontId="44" fillId="7" borderId="2" xfId="0" applyNumberFormat="1" applyFont="1" applyFill="1" applyBorder="1" applyAlignment="1">
      <alignment horizontal="right"/>
    </xf>
    <xf numFmtId="37" fontId="44" fillId="7" borderId="2" xfId="0" applyNumberFormat="1" applyFont="1" applyFill="1" applyBorder="1" applyAlignment="1">
      <alignment horizontal="right"/>
    </xf>
    <xf numFmtId="0" fontId="13" fillId="0" borderId="60" xfId="0" applyFont="1" applyBorder="1"/>
    <xf numFmtId="165" fontId="13" fillId="0" borderId="59" xfId="0" applyNumberFormat="1" applyFont="1" applyBorder="1"/>
    <xf numFmtId="0" fontId="19" fillId="7" borderId="62" xfId="0" applyFont="1" applyFill="1" applyBorder="1"/>
    <xf numFmtId="0" fontId="13" fillId="0" borderId="14" xfId="0" applyFont="1" applyBorder="1"/>
    <xf numFmtId="0" fontId="13" fillId="0" borderId="66" xfId="0" applyFont="1" applyBorder="1"/>
    <xf numFmtId="165" fontId="44" fillId="0" borderId="59" xfId="0" applyNumberFormat="1" applyFont="1" applyBorder="1"/>
    <xf numFmtId="0" fontId="44" fillId="0" borderId="59" xfId="0" applyFont="1" applyBorder="1" applyAlignment="1">
      <alignment horizontal="right"/>
    </xf>
    <xf numFmtId="165" fontId="19" fillId="7" borderId="63" xfId="0" applyNumberFormat="1" applyFont="1" applyFill="1" applyBorder="1"/>
    <xf numFmtId="168" fontId="13" fillId="0" borderId="64" xfId="0" applyNumberFormat="1" applyFont="1" applyBorder="1"/>
    <xf numFmtId="0" fontId="63" fillId="17" borderId="0" xfId="0" applyFont="1" applyFill="1"/>
    <xf numFmtId="0" fontId="36" fillId="17" borderId="2" xfId="6" applyFont="1" applyFill="1"/>
    <xf numFmtId="171" fontId="49" fillId="23" borderId="2" xfId="6" applyNumberFormat="1" applyFont="1" applyFill="1"/>
    <xf numFmtId="171" fontId="49" fillId="23" borderId="2" xfId="6" applyNumberFormat="1" applyFont="1" applyFill="1" applyAlignment="1">
      <alignment horizontal="right"/>
    </xf>
    <xf numFmtId="5" fontId="50" fillId="7" borderId="2" xfId="6" applyNumberFormat="1" applyFont="1" applyFill="1"/>
    <xf numFmtId="0" fontId="36" fillId="7" borderId="22" xfId="6" applyFont="1" applyFill="1" applyBorder="1"/>
    <xf numFmtId="175" fontId="36" fillId="7" borderId="23" xfId="6" applyNumberFormat="1" applyFont="1" applyFill="1" applyBorder="1"/>
    <xf numFmtId="0" fontId="36" fillId="7" borderId="68" xfId="6" applyFont="1" applyFill="1" applyBorder="1"/>
    <xf numFmtId="0" fontId="50" fillId="7" borderId="60" xfId="6" applyFont="1" applyFill="1" applyBorder="1"/>
    <xf numFmtId="169" fontId="36" fillId="7" borderId="69" xfId="6" applyNumberFormat="1" applyFont="1" applyFill="1" applyBorder="1" applyAlignment="1">
      <alignment horizontal="right"/>
    </xf>
    <xf numFmtId="0" fontId="36" fillId="7" borderId="70" xfId="6" applyFont="1" applyFill="1" applyBorder="1"/>
    <xf numFmtId="0" fontId="50" fillId="7" borderId="61" xfId="6" applyFont="1" applyFill="1" applyBorder="1"/>
    <xf numFmtId="169" fontId="36" fillId="7" borderId="71" xfId="6" applyNumberFormat="1" applyFont="1" applyFill="1" applyBorder="1" applyAlignment="1">
      <alignment horizontal="right"/>
    </xf>
    <xf numFmtId="0" fontId="84" fillId="17" borderId="61" xfId="6" applyFont="1" applyFill="1" applyBorder="1"/>
    <xf numFmtId="0" fontId="26" fillId="0" borderId="0" xfId="0" applyFont="1" applyAlignment="1">
      <alignment horizontal="center"/>
    </xf>
    <xf numFmtId="182" fontId="31" fillId="8" borderId="0" xfId="0" applyNumberFormat="1" applyFont="1" applyFill="1"/>
    <xf numFmtId="182" fontId="25" fillId="0" borderId="0" xfId="0" applyNumberFormat="1" applyFont="1"/>
    <xf numFmtId="179" fontId="31" fillId="0" borderId="0" xfId="0" applyNumberFormat="1" applyFont="1"/>
    <xf numFmtId="179" fontId="31" fillId="8" borderId="0" xfId="0" applyNumberFormat="1" applyFont="1" applyFill="1"/>
    <xf numFmtId="180" fontId="26" fillId="0" borderId="5" xfId="0" applyNumberFormat="1" applyFont="1" applyBorder="1"/>
    <xf numFmtId="180" fontId="31" fillId="8" borderId="14" xfId="0" applyNumberFormat="1" applyFont="1" applyFill="1" applyBorder="1"/>
    <xf numFmtId="169" fontId="59" fillId="0" borderId="72" xfId="0" applyNumberFormat="1" applyFont="1" applyBorder="1"/>
    <xf numFmtId="0" fontId="45" fillId="17" borderId="73" xfId="6" applyFont="1" applyFill="1" applyBorder="1"/>
    <xf numFmtId="0" fontId="59" fillId="0" borderId="74" xfId="0" applyFont="1" applyBorder="1"/>
    <xf numFmtId="0" fontId="59" fillId="0" borderId="75" xfId="0" applyFont="1" applyBorder="1"/>
    <xf numFmtId="0" fontId="85" fillId="0" borderId="2" xfId="6" applyFont="1"/>
    <xf numFmtId="0" fontId="39" fillId="12" borderId="0" xfId="0" applyFont="1" applyFill="1"/>
    <xf numFmtId="0" fontId="86" fillId="12" borderId="0" xfId="0" applyFont="1" applyFill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6" xfId="0" applyBorder="1"/>
    <xf numFmtId="0" fontId="0" fillId="7" borderId="2" xfId="0" applyFill="1" applyBorder="1"/>
    <xf numFmtId="0" fontId="25" fillId="0" borderId="0" xfId="0" applyFont="1" applyAlignment="1">
      <alignment horizontal="center"/>
    </xf>
    <xf numFmtId="174" fontId="4" fillId="0" borderId="0" xfId="0" applyNumberFormat="1" applyFont="1" applyAlignment="1">
      <alignment horizontal="center"/>
    </xf>
    <xf numFmtId="0" fontId="23" fillId="7" borderId="28" xfId="0" applyFont="1" applyFill="1" applyBorder="1" applyAlignment="1">
      <alignment horizontal="center"/>
    </xf>
    <xf numFmtId="0" fontId="23" fillId="7" borderId="28" xfId="0" applyFont="1" applyFill="1" applyBorder="1" applyAlignment="1">
      <alignment horizontal="center" wrapText="1"/>
    </xf>
    <xf numFmtId="0" fontId="23" fillId="7" borderId="0" xfId="0" applyFont="1" applyFill="1"/>
    <xf numFmtId="0" fontId="23" fillId="7" borderId="76" xfId="0" applyFont="1" applyFill="1" applyBorder="1" applyAlignment="1">
      <alignment horizontal="center"/>
    </xf>
    <xf numFmtId="0" fontId="23" fillId="7" borderId="2" xfId="0" applyFont="1" applyFill="1" applyBorder="1"/>
    <xf numFmtId="0" fontId="23" fillId="0" borderId="45" xfId="0" applyFont="1" applyBorder="1"/>
    <xf numFmtId="0" fontId="23" fillId="0" borderId="52" xfId="0" applyFont="1" applyBorder="1" applyAlignment="1">
      <alignment horizontal="center"/>
    </xf>
    <xf numFmtId="0" fontId="0" fillId="0" borderId="78" xfId="0" applyBorder="1"/>
    <xf numFmtId="0" fontId="0" fillId="0" borderId="81" xfId="0" applyBorder="1"/>
    <xf numFmtId="0" fontId="0" fillId="0" borderId="83" xfId="0" applyBorder="1"/>
    <xf numFmtId="0" fontId="0" fillId="0" borderId="85" xfId="0" applyBorder="1"/>
    <xf numFmtId="0" fontId="23" fillId="0" borderId="77" xfId="0" applyFont="1" applyBorder="1"/>
    <xf numFmtId="0" fontId="23" fillId="0" borderId="80" xfId="0" applyFont="1" applyBorder="1"/>
    <xf numFmtId="0" fontId="23" fillId="0" borderId="82" xfId="0" applyFont="1" applyBorder="1"/>
    <xf numFmtId="174" fontId="0" fillId="0" borderId="2" xfId="0" applyNumberFormat="1" applyBorder="1"/>
    <xf numFmtId="0" fontId="23" fillId="7" borderId="77" xfId="0" applyFont="1" applyFill="1" applyBorder="1"/>
    <xf numFmtId="0" fontId="0" fillId="7" borderId="78" xfId="0" applyFill="1" applyBorder="1"/>
    <xf numFmtId="0" fontId="23" fillId="7" borderId="82" xfId="0" applyFont="1" applyFill="1" applyBorder="1"/>
    <xf numFmtId="0" fontId="0" fillId="7" borderId="83" xfId="0" applyFill="1" applyBorder="1"/>
    <xf numFmtId="0" fontId="23" fillId="7" borderId="86" xfId="0" applyFont="1" applyFill="1" applyBorder="1"/>
    <xf numFmtId="0" fontId="0" fillId="7" borderId="76" xfId="0" applyFill="1" applyBorder="1"/>
    <xf numFmtId="0" fontId="23" fillId="7" borderId="2" xfId="0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86" xfId="0" applyFont="1" applyBorder="1"/>
    <xf numFmtId="204" fontId="49" fillId="23" borderId="2" xfId="6" applyNumberFormat="1" applyFont="1" applyFill="1"/>
    <xf numFmtId="0" fontId="13" fillId="0" borderId="88" xfId="0" applyFont="1" applyBorder="1"/>
    <xf numFmtId="0" fontId="13" fillId="0" borderId="19" xfId="0" applyFont="1" applyBorder="1" applyAlignment="1">
      <alignment horizontal="left"/>
    </xf>
    <xf numFmtId="165" fontId="13" fillId="0" borderId="89" xfId="0" applyNumberFormat="1" applyFont="1" applyBorder="1"/>
    <xf numFmtId="0" fontId="92" fillId="0" borderId="14" xfId="0" applyFont="1" applyBorder="1"/>
    <xf numFmtId="168" fontId="92" fillId="0" borderId="89" xfId="0" applyNumberFormat="1" applyFont="1" applyBorder="1" applyAlignment="1">
      <alignment horizontal="right"/>
    </xf>
    <xf numFmtId="165" fontId="25" fillId="0" borderId="0" xfId="0" applyNumberFormat="1" applyFont="1" applyAlignment="1">
      <alignment horizontal="center"/>
    </xf>
    <xf numFmtId="168" fontId="25" fillId="0" borderId="2" xfId="0" applyNumberFormat="1" applyFont="1" applyBorder="1" applyAlignment="1">
      <alignment horizontal="center"/>
    </xf>
    <xf numFmtId="1" fontId="25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169" fontId="23" fillId="7" borderId="78" xfId="0" applyNumberFormat="1" applyFont="1" applyFill="1" applyBorder="1"/>
    <xf numFmtId="169" fontId="23" fillId="7" borderId="79" xfId="0" applyNumberFormat="1" applyFont="1" applyFill="1" applyBorder="1"/>
    <xf numFmtId="169" fontId="23" fillId="7" borderId="83" xfId="0" applyNumberFormat="1" applyFont="1" applyFill="1" applyBorder="1"/>
    <xf numFmtId="0" fontId="23" fillId="8" borderId="28" xfId="0" applyFont="1" applyFill="1" applyBorder="1" applyAlignment="1">
      <alignment horizontal="center"/>
    </xf>
    <xf numFmtId="3" fontId="4" fillId="0" borderId="0" xfId="0" applyNumberFormat="1" applyFont="1" applyAlignment="1">
      <alignment horizontal="center"/>
    </xf>
    <xf numFmtId="3" fontId="25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23" fillId="0" borderId="52" xfId="0" applyNumberFormat="1" applyFont="1" applyBorder="1" applyAlignment="1">
      <alignment horizontal="center"/>
    </xf>
    <xf numFmtId="37" fontId="23" fillId="0" borderId="52" xfId="0" applyNumberFormat="1" applyFont="1" applyBorder="1" applyAlignment="1">
      <alignment horizontal="center"/>
    </xf>
    <xf numFmtId="37" fontId="25" fillId="0" borderId="0" xfId="0" applyNumberFormat="1" applyFont="1" applyAlignment="1">
      <alignment horizontal="center"/>
    </xf>
    <xf numFmtId="205" fontId="23" fillId="0" borderId="52" xfId="0" applyNumberFormat="1" applyFont="1" applyBorder="1" applyAlignment="1">
      <alignment horizontal="center"/>
    </xf>
    <xf numFmtId="205" fontId="23" fillId="0" borderId="46" xfId="0" applyNumberFormat="1" applyFont="1" applyBorder="1" applyAlignment="1">
      <alignment horizontal="center"/>
    </xf>
    <xf numFmtId="0" fontId="93" fillId="0" borderId="0" xfId="0" applyFont="1" applyAlignment="1">
      <alignment horizontal="left" indent="1"/>
    </xf>
    <xf numFmtId="0" fontId="24" fillId="0" borderId="0" xfId="0" applyFont="1"/>
    <xf numFmtId="170" fontId="39" fillId="12" borderId="0" xfId="0" applyNumberFormat="1" applyFont="1" applyFill="1"/>
    <xf numFmtId="171" fontId="39" fillId="12" borderId="0" xfId="0" applyNumberFormat="1" applyFont="1" applyFill="1"/>
    <xf numFmtId="175" fontId="23" fillId="7" borderId="0" xfId="0" applyNumberFormat="1" applyFont="1" applyFill="1"/>
    <xf numFmtId="165" fontId="93" fillId="0" borderId="0" xfId="0" applyNumberFormat="1" applyFont="1"/>
    <xf numFmtId="169" fontId="23" fillId="7" borderId="0" xfId="0" applyNumberFormat="1" applyFont="1" applyFill="1"/>
    <xf numFmtId="0" fontId="59" fillId="0" borderId="90" xfId="0" applyFont="1" applyBorder="1"/>
    <xf numFmtId="0" fontId="4" fillId="7" borderId="29" xfId="0" applyFont="1" applyFill="1" applyBorder="1" applyAlignment="1">
      <alignment horizontal="center"/>
    </xf>
    <xf numFmtId="168" fontId="25" fillId="0" borderId="29" xfId="0" applyNumberFormat="1" applyFont="1" applyBorder="1" applyAlignment="1">
      <alignment horizontal="center"/>
    </xf>
    <xf numFmtId="165" fontId="25" fillId="0" borderId="29" xfId="0" applyNumberFormat="1" applyFont="1" applyBorder="1" applyAlignment="1">
      <alignment horizontal="center"/>
    </xf>
    <xf numFmtId="168" fontId="0" fillId="0" borderId="29" xfId="0" applyNumberFormat="1" applyBorder="1"/>
    <xf numFmtId="0" fontId="4" fillId="7" borderId="29" xfId="0" applyFont="1" applyFill="1" applyBorder="1" applyAlignment="1">
      <alignment horizontal="left"/>
    </xf>
    <xf numFmtId="0" fontId="4" fillId="7" borderId="35" xfId="0" applyFont="1" applyFill="1" applyBorder="1" applyAlignment="1">
      <alignment horizontal="center"/>
    </xf>
    <xf numFmtId="168" fontId="25" fillId="0" borderId="35" xfId="0" applyNumberFormat="1" applyFont="1" applyBorder="1" applyAlignment="1">
      <alignment horizontal="center"/>
    </xf>
    <xf numFmtId="165" fontId="25" fillId="0" borderId="35" xfId="0" applyNumberFormat="1" applyFont="1" applyBorder="1" applyAlignment="1">
      <alignment horizontal="center"/>
    </xf>
    <xf numFmtId="168" fontId="0" fillId="0" borderId="35" xfId="0" applyNumberFormat="1" applyBorder="1"/>
    <xf numFmtId="165" fontId="23" fillId="7" borderId="76" xfId="0" applyNumberFormat="1" applyFont="1" applyFill="1" applyBorder="1" applyAlignment="1">
      <alignment horizontal="center"/>
    </xf>
    <xf numFmtId="0" fontId="0" fillId="7" borderId="35" xfId="0" applyFill="1" applyBorder="1" applyAlignment="1">
      <alignment horizontal="left"/>
    </xf>
    <xf numFmtId="0" fontId="0" fillId="7" borderId="29" xfId="0" applyFill="1" applyBorder="1" applyAlignment="1">
      <alignment horizontal="left"/>
    </xf>
    <xf numFmtId="39" fontId="50" fillId="0" borderId="0" xfId="0" applyNumberFormat="1" applyFont="1"/>
    <xf numFmtId="3" fontId="25" fillId="0" borderId="35" xfId="0" applyNumberFormat="1" applyFont="1" applyBorder="1" applyAlignment="1">
      <alignment horizontal="center"/>
    </xf>
    <xf numFmtId="3" fontId="25" fillId="0" borderId="29" xfId="0" applyNumberFormat="1" applyFont="1" applyBorder="1" applyAlignment="1">
      <alignment horizontal="center"/>
    </xf>
    <xf numFmtId="168" fontId="50" fillId="8" borderId="0" xfId="0" applyNumberFormat="1" applyFont="1" applyFill="1"/>
    <xf numFmtId="165" fontId="54" fillId="8" borderId="0" xfId="0" applyNumberFormat="1" applyFont="1" applyFill="1"/>
    <xf numFmtId="169" fontId="75" fillId="0" borderId="2" xfId="0" applyNumberFormat="1" applyFont="1" applyBorder="1"/>
    <xf numFmtId="0" fontId="23" fillId="7" borderId="91" xfId="0" applyFont="1" applyFill="1" applyBorder="1" applyAlignment="1">
      <alignment horizontal="center"/>
    </xf>
    <xf numFmtId="0" fontId="49" fillId="17" borderId="2" xfId="6" applyFont="1" applyFill="1"/>
    <xf numFmtId="177" fontId="49" fillId="17" borderId="2" xfId="6" applyNumberFormat="1" applyFont="1" applyFill="1"/>
    <xf numFmtId="9" fontId="11" fillId="0" borderId="0" xfId="0" applyNumberFormat="1" applyFont="1"/>
    <xf numFmtId="1" fontId="11" fillId="0" borderId="0" xfId="0" applyNumberFormat="1" applyFont="1"/>
    <xf numFmtId="39" fontId="10" fillId="0" borderId="0" xfId="0" applyNumberFormat="1" applyFont="1"/>
    <xf numFmtId="10" fontId="0" fillId="0" borderId="0" xfId="0" applyNumberFormat="1"/>
    <xf numFmtId="170" fontId="67" fillId="0" borderId="2" xfId="0" applyNumberFormat="1" applyFont="1" applyBorder="1"/>
    <xf numFmtId="206" fontId="36" fillId="0" borderId="0" xfId="0" applyNumberFormat="1" applyFont="1" applyAlignment="1">
      <alignment horizontal="right"/>
    </xf>
    <xf numFmtId="0" fontId="94" fillId="0" borderId="0" xfId="0" applyFont="1"/>
    <xf numFmtId="206" fontId="36" fillId="0" borderId="0" xfId="0" applyNumberFormat="1" applyFont="1"/>
    <xf numFmtId="207" fontId="50" fillId="0" borderId="0" xfId="0" applyNumberFormat="1" applyFont="1" applyAlignment="1">
      <alignment horizontal="right"/>
    </xf>
    <xf numFmtId="207" fontId="50" fillId="0" borderId="0" xfId="0" applyNumberFormat="1" applyFont="1"/>
    <xf numFmtId="0" fontId="95" fillId="0" borderId="0" xfId="0" applyFont="1"/>
    <xf numFmtId="164" fontId="36" fillId="0" borderId="92" xfId="0" applyNumberFormat="1" applyFont="1" applyBorder="1"/>
    <xf numFmtId="172" fontId="59" fillId="0" borderId="35" xfId="0" applyNumberFormat="1" applyFont="1" applyBorder="1"/>
    <xf numFmtId="9" fontId="50" fillId="0" borderId="0" xfId="0" applyNumberFormat="1" applyFont="1" applyAlignment="1">
      <alignment horizontal="left" indent="1"/>
    </xf>
    <xf numFmtId="9" fontId="50" fillId="0" borderId="0" xfId="0" applyNumberFormat="1" applyFont="1" applyAlignment="1">
      <alignment horizontal="center"/>
    </xf>
    <xf numFmtId="9" fontId="50" fillId="0" borderId="0" xfId="0" applyNumberFormat="1" applyFont="1" applyAlignment="1">
      <alignment horizontal="right"/>
    </xf>
    <xf numFmtId="165" fontId="54" fillId="8" borderId="0" xfId="0" applyNumberFormat="1" applyFont="1" applyFill="1" applyAlignment="1">
      <alignment horizontal="right"/>
    </xf>
    <xf numFmtId="49" fontId="90" fillId="7" borderId="0" xfId="0" applyNumberFormat="1" applyFont="1" applyFill="1"/>
    <xf numFmtId="0" fontId="0" fillId="7" borderId="0" xfId="0" applyFill="1"/>
    <xf numFmtId="0" fontId="87" fillId="7" borderId="0" xfId="0" applyFont="1" applyFill="1" applyAlignment="1">
      <alignment horizontal="left"/>
    </xf>
    <xf numFmtId="0" fontId="88" fillId="7" borderId="0" xfId="0" applyFont="1" applyFill="1" applyAlignment="1">
      <alignment horizontal="left" indent="1"/>
    </xf>
    <xf numFmtId="0" fontId="89" fillId="7" borderId="0" xfId="0" applyFont="1" applyFill="1" applyAlignment="1">
      <alignment horizontal="left" indent="1"/>
    </xf>
    <xf numFmtId="10" fontId="50" fillId="7" borderId="0" xfId="0" applyNumberFormat="1" applyFont="1" applyFill="1"/>
    <xf numFmtId="164" fontId="54" fillId="0" borderId="0" xfId="0" applyNumberFormat="1" applyFont="1" applyAlignment="1">
      <alignment horizontal="left" indent="1"/>
    </xf>
    <xf numFmtId="165" fontId="54" fillId="0" borderId="0" xfId="0" applyNumberFormat="1" applyFont="1"/>
    <xf numFmtId="164" fontId="46" fillId="7" borderId="0" xfId="0" applyNumberFormat="1" applyFont="1" applyFill="1" applyAlignment="1">
      <alignment horizontal="right"/>
    </xf>
    <xf numFmtId="0" fontId="4" fillId="7" borderId="0" xfId="0" applyFont="1" applyFill="1"/>
    <xf numFmtId="164" fontId="36" fillId="7" borderId="0" xfId="0" applyNumberFormat="1" applyFont="1" applyFill="1" applyAlignment="1">
      <alignment horizontal="right"/>
    </xf>
    <xf numFmtId="206" fontId="36" fillId="7" borderId="0" xfId="0" applyNumberFormat="1" applyFont="1" applyFill="1"/>
    <xf numFmtId="206" fontId="36" fillId="7" borderId="0" xfId="0" applyNumberFormat="1" applyFont="1" applyFill="1" applyAlignment="1">
      <alignment horizontal="right"/>
    </xf>
    <xf numFmtId="0" fontId="60" fillId="3" borderId="32" xfId="0" applyFont="1" applyFill="1" applyBorder="1" applyAlignment="1">
      <alignment horizontal="center"/>
    </xf>
    <xf numFmtId="0" fontId="60" fillId="3" borderId="28" xfId="0" applyFont="1" applyFill="1" applyBorder="1" applyAlignment="1">
      <alignment horizontal="center"/>
    </xf>
    <xf numFmtId="0" fontId="62" fillId="5" borderId="33" xfId="0" applyFont="1" applyFill="1" applyBorder="1" applyAlignment="1">
      <alignment horizontal="center"/>
    </xf>
    <xf numFmtId="0" fontId="62" fillId="5" borderId="34" xfId="0" applyFont="1" applyFill="1" applyBorder="1" applyAlignment="1">
      <alignment horizontal="center"/>
    </xf>
    <xf numFmtId="164" fontId="36" fillId="4" borderId="2" xfId="6" applyNumberFormat="1" applyFont="1" applyFill="1" applyAlignment="1">
      <alignment horizontal="center"/>
    </xf>
    <xf numFmtId="165" fontId="19" fillId="7" borderId="9" xfId="0" applyNumberFormat="1" applyFont="1" applyFill="1" applyBorder="1"/>
    <xf numFmtId="197" fontId="19" fillId="7" borderId="0" xfId="0" applyNumberFormat="1" applyFont="1" applyFill="1"/>
    <xf numFmtId="195" fontId="19" fillId="7" borderId="0" xfId="0" applyNumberFormat="1" applyFont="1" applyFill="1"/>
    <xf numFmtId="10" fontId="53" fillId="21" borderId="0" xfId="0" applyNumberFormat="1" applyFont="1" applyFill="1"/>
    <xf numFmtId="164" fontId="54" fillId="0" borderId="0" xfId="0" applyNumberFormat="1" applyFont="1" applyAlignment="1">
      <alignment horizontal="left"/>
    </xf>
    <xf numFmtId="168" fontId="54" fillId="21" borderId="0" xfId="0" applyNumberFormat="1" applyFont="1" applyFill="1"/>
    <xf numFmtId="164" fontId="97" fillId="0" borderId="0" xfId="0" applyNumberFormat="1" applyFont="1"/>
    <xf numFmtId="206" fontId="36" fillId="0" borderId="5" xfId="0" applyNumberFormat="1" applyFont="1" applyBorder="1"/>
    <xf numFmtId="207" fontId="50" fillId="0" borderId="5" xfId="0" applyNumberFormat="1" applyFont="1" applyBorder="1" applyAlignment="1">
      <alignment horizontal="right"/>
    </xf>
    <xf numFmtId="0" fontId="13" fillId="0" borderId="5" xfId="0" applyFont="1" applyBorder="1"/>
    <xf numFmtId="164" fontId="50" fillId="0" borderId="0" xfId="0" applyNumberFormat="1" applyFont="1" applyAlignment="1">
      <alignment horizontal="right"/>
    </xf>
    <xf numFmtId="164" fontId="49" fillId="17" borderId="0" xfId="0" applyNumberFormat="1" applyFont="1" applyFill="1" applyAlignment="1">
      <alignment horizontal="right"/>
    </xf>
    <xf numFmtId="0" fontId="52" fillId="17" borderId="0" xfId="0" applyFont="1" applyFill="1"/>
    <xf numFmtId="206" fontId="49" fillId="17" borderId="0" xfId="0" applyNumberFormat="1" applyFont="1" applyFill="1" applyAlignment="1">
      <alignment horizontal="right"/>
    </xf>
    <xf numFmtId="9" fontId="0" fillId="0" borderId="0" xfId="0" applyNumberFormat="1"/>
    <xf numFmtId="0" fontId="93" fillId="0" borderId="0" xfId="0" applyFont="1"/>
    <xf numFmtId="164" fontId="8" fillId="0" borderId="2" xfId="0" applyNumberFormat="1" applyFont="1" applyBorder="1"/>
    <xf numFmtId="164" fontId="11" fillId="0" borderId="2" xfId="0" applyNumberFormat="1" applyFont="1" applyBorder="1"/>
    <xf numFmtId="168" fontId="8" fillId="0" borderId="0" xfId="0" applyNumberFormat="1" applyFont="1"/>
    <xf numFmtId="0" fontId="6" fillId="0" borderId="0" xfId="0" applyFont="1"/>
    <xf numFmtId="164" fontId="37" fillId="0" borderId="0" xfId="0" applyNumberFormat="1" applyFont="1"/>
    <xf numFmtId="5" fontId="37" fillId="0" borderId="0" xfId="0" applyNumberFormat="1" applyFont="1"/>
    <xf numFmtId="0" fontId="7" fillId="0" borderId="0" xfId="0" applyFont="1"/>
    <xf numFmtId="0" fontId="52" fillId="0" borderId="0" xfId="0" applyFont="1"/>
    <xf numFmtId="164" fontId="70" fillId="0" borderId="0" xfId="0" applyNumberFormat="1" applyFont="1"/>
    <xf numFmtId="0" fontId="96" fillId="0" borderId="0" xfId="0" applyFont="1"/>
    <xf numFmtId="5" fontId="13" fillId="0" borderId="0" xfId="0" applyNumberFormat="1" applyFont="1" applyAlignment="1">
      <alignment horizontal="right"/>
    </xf>
    <xf numFmtId="0" fontId="42" fillId="17" borderId="9" xfId="0" applyFont="1" applyFill="1" applyBorder="1"/>
    <xf numFmtId="0" fontId="52" fillId="17" borderId="9" xfId="0" applyFont="1" applyFill="1" applyBorder="1"/>
    <xf numFmtId="0" fontId="60" fillId="17" borderId="94" xfId="0" applyFont="1" applyFill="1" applyBorder="1" applyAlignment="1">
      <alignment horizontal="left" indent="1"/>
    </xf>
    <xf numFmtId="9" fontId="36" fillId="0" borderId="2" xfId="6" applyNumberFormat="1" applyFont="1"/>
    <xf numFmtId="165" fontId="1" fillId="0" borderId="29" xfId="0" applyNumberFormat="1" applyFont="1" applyBorder="1"/>
    <xf numFmtId="0" fontId="59" fillId="0" borderId="29" xfId="0" applyFont="1" applyBorder="1" applyAlignment="1">
      <alignment horizontal="left" indent="4"/>
    </xf>
    <xf numFmtId="164" fontId="59" fillId="0" borderId="29" xfId="0" applyNumberFormat="1" applyFont="1" applyBorder="1" applyAlignment="1">
      <alignment horizontal="left" indent="1"/>
    </xf>
    <xf numFmtId="0" fontId="60" fillId="17" borderId="95" xfId="0" applyFont="1" applyFill="1" applyBorder="1" applyAlignment="1">
      <alignment horizontal="left" indent="1"/>
    </xf>
    <xf numFmtId="165" fontId="59" fillId="0" borderId="9" xfId="0" applyNumberFormat="1" applyFont="1" applyBorder="1"/>
    <xf numFmtId="168" fontId="1" fillId="0" borderId="29" xfId="0" applyNumberFormat="1" applyFont="1" applyBorder="1"/>
    <xf numFmtId="0" fontId="59" fillId="0" borderId="9" xfId="0" applyFont="1" applyBorder="1" applyAlignment="1">
      <alignment horizontal="left" indent="2"/>
    </xf>
    <xf numFmtId="3" fontId="1" fillId="0" borderId="29" xfId="0" applyNumberFormat="1" applyFont="1" applyBorder="1"/>
    <xf numFmtId="2" fontId="1" fillId="0" borderId="29" xfId="0" applyNumberFormat="1" applyFont="1" applyBorder="1"/>
    <xf numFmtId="1" fontId="1" fillId="0" borderId="29" xfId="0" applyNumberFormat="1" applyFont="1" applyBorder="1"/>
    <xf numFmtId="0" fontId="59" fillId="0" borderId="95" xfId="0" applyFont="1" applyBorder="1" applyAlignment="1">
      <alignment horizontal="left" indent="2"/>
    </xf>
    <xf numFmtId="2" fontId="1" fillId="0" borderId="36" xfId="0" applyNumberFormat="1" applyFont="1" applyBorder="1"/>
    <xf numFmtId="0" fontId="60" fillId="17" borderId="96" xfId="0" applyFont="1" applyFill="1" applyBorder="1" applyAlignment="1">
      <alignment horizontal="left" indent="1"/>
    </xf>
    <xf numFmtId="165" fontId="1" fillId="0" borderId="9" xfId="0" applyNumberFormat="1" applyFont="1" applyBorder="1"/>
    <xf numFmtId="0" fontId="59" fillId="0" borderId="36" xfId="0" applyFont="1" applyBorder="1" applyAlignment="1">
      <alignment horizontal="left" indent="2"/>
    </xf>
    <xf numFmtId="165" fontId="59" fillId="0" borderId="36" xfId="0" applyNumberFormat="1" applyFont="1" applyBorder="1"/>
    <xf numFmtId="165" fontId="1" fillId="0" borderId="31" xfId="0" applyNumberFormat="1" applyFont="1" applyBorder="1"/>
    <xf numFmtId="165" fontId="1" fillId="0" borderId="29" xfId="0" quotePrefix="1" applyNumberFormat="1" applyFont="1" applyBorder="1"/>
    <xf numFmtId="0" fontId="1" fillId="0" borderId="29" xfId="0" applyFont="1" applyBorder="1"/>
    <xf numFmtId="1" fontId="1" fillId="0" borderId="36" xfId="0" applyNumberFormat="1" applyFont="1" applyBorder="1"/>
    <xf numFmtId="0" fontId="4" fillId="0" borderId="2" xfId="0" applyFont="1" applyBorder="1" applyAlignment="1">
      <alignment horizontal="center"/>
    </xf>
    <xf numFmtId="0" fontId="13" fillId="0" borderId="97" xfId="0" applyFont="1" applyBorder="1"/>
    <xf numFmtId="0" fontId="13" fillId="0" borderId="98" xfId="0" applyFont="1" applyBorder="1"/>
    <xf numFmtId="165" fontId="44" fillId="0" borderId="99" xfId="0" applyNumberFormat="1" applyFont="1" applyBorder="1"/>
    <xf numFmtId="0" fontId="13" fillId="0" borderId="100" xfId="0" applyFont="1" applyBorder="1"/>
    <xf numFmtId="0" fontId="49" fillId="17" borderId="70" xfId="6" applyFont="1" applyFill="1" applyBorder="1"/>
    <xf numFmtId="176" fontId="49" fillId="17" borderId="71" xfId="6" applyNumberFormat="1" applyFont="1" applyFill="1" applyBorder="1" applyAlignment="1">
      <alignment horizontal="right"/>
    </xf>
    <xf numFmtId="0" fontId="77" fillId="0" borderId="29" xfId="0" applyFont="1" applyBorder="1" applyAlignment="1">
      <alignment horizontal="right"/>
    </xf>
    <xf numFmtId="208" fontId="13" fillId="0" borderId="9" xfId="0" applyNumberFormat="1" applyFont="1" applyBorder="1" applyAlignment="1">
      <alignment horizontal="left" indent="2"/>
    </xf>
    <xf numFmtId="0" fontId="99" fillId="0" borderId="5" xfId="0" applyFont="1" applyBorder="1"/>
    <xf numFmtId="0" fontId="99" fillId="0" borderId="0" xfId="0" applyFont="1"/>
    <xf numFmtId="169" fontId="99" fillId="0" borderId="0" xfId="0" applyNumberFormat="1" applyFont="1"/>
    <xf numFmtId="0" fontId="0" fillId="0" borderId="102" xfId="0" applyBorder="1"/>
    <xf numFmtId="0" fontId="0" fillId="0" borderId="101" xfId="0" applyBorder="1"/>
    <xf numFmtId="0" fontId="98" fillId="24" borderId="21" xfId="0" applyFont="1" applyFill="1" applyBorder="1"/>
    <xf numFmtId="0" fontId="98" fillId="24" borderId="22" xfId="0" applyFont="1" applyFill="1" applyBorder="1"/>
    <xf numFmtId="175" fontId="98" fillId="24" borderId="23" xfId="0" applyNumberFormat="1" applyFont="1" applyFill="1" applyBorder="1"/>
    <xf numFmtId="5" fontId="99" fillId="0" borderId="0" xfId="0" applyNumberFormat="1" applyFont="1"/>
    <xf numFmtId="9" fontId="10" fillId="0" borderId="0" xfId="0" applyNumberFormat="1" applyFont="1"/>
    <xf numFmtId="165" fontId="11" fillId="0" borderId="0" xfId="0" applyNumberFormat="1" applyFont="1"/>
    <xf numFmtId="165" fontId="23" fillId="7" borderId="78" xfId="0" applyNumberFormat="1" applyFont="1" applyFill="1" applyBorder="1"/>
    <xf numFmtId="165" fontId="23" fillId="7" borderId="83" xfId="0" applyNumberFormat="1" applyFont="1" applyFill="1" applyBorder="1"/>
    <xf numFmtId="165" fontId="23" fillId="7" borderId="79" xfId="0" applyNumberFormat="1" applyFont="1" applyFill="1" applyBorder="1"/>
    <xf numFmtId="165" fontId="23" fillId="7" borderId="84" xfId="0" applyNumberFormat="1" applyFont="1" applyFill="1" applyBorder="1"/>
    <xf numFmtId="0" fontId="0" fillId="0" borderId="80" xfId="0" applyBorder="1"/>
    <xf numFmtId="175" fontId="13" fillId="0" borderId="29" xfId="0" applyNumberFormat="1" applyFont="1" applyBorder="1"/>
    <xf numFmtId="10" fontId="54" fillId="21" borderId="2" xfId="6" applyNumberFormat="1" applyFont="1" applyFill="1"/>
    <xf numFmtId="165" fontId="54" fillId="21" borderId="2" xfId="6" applyNumberFormat="1" applyFont="1" applyFill="1"/>
    <xf numFmtId="171" fontId="68" fillId="13" borderId="2" xfId="6" applyNumberFormat="1" applyFont="1" applyFill="1" applyAlignment="1">
      <alignment horizontal="right"/>
    </xf>
    <xf numFmtId="168" fontId="50" fillId="0" borderId="2" xfId="6" applyNumberFormat="1" applyFont="1"/>
    <xf numFmtId="165" fontId="77" fillId="0" borderId="36" xfId="0" applyNumberFormat="1" applyFont="1" applyBorder="1"/>
    <xf numFmtId="165" fontId="3" fillId="0" borderId="35" xfId="0" applyNumberFormat="1" applyFont="1" applyBorder="1"/>
    <xf numFmtId="10" fontId="59" fillId="0" borderId="29" xfId="0" applyNumberFormat="1" applyFont="1" applyBorder="1"/>
    <xf numFmtId="182" fontId="26" fillId="8" borderId="0" xfId="0" applyNumberFormat="1" applyFont="1" applyFill="1"/>
    <xf numFmtId="171" fontId="38" fillId="17" borderId="13" xfId="0" applyNumberFormat="1" applyFont="1" applyFill="1" applyBorder="1" applyAlignment="1">
      <alignment horizontal="right"/>
    </xf>
    <xf numFmtId="179" fontId="26" fillId="8" borderId="0" xfId="0" applyNumberFormat="1" applyFont="1" applyFill="1"/>
    <xf numFmtId="0" fontId="24" fillId="17" borderId="103" xfId="0" applyFont="1" applyFill="1" applyBorder="1"/>
    <xf numFmtId="0" fontId="39" fillId="17" borderId="106" xfId="0" applyFont="1" applyFill="1" applyBorder="1"/>
    <xf numFmtId="10" fontId="0" fillId="0" borderId="107" xfId="0" applyNumberFormat="1" applyBorder="1"/>
    <xf numFmtId="7" fontId="0" fillId="0" borderId="109" xfId="0" applyNumberFormat="1" applyBorder="1"/>
    <xf numFmtId="180" fontId="31" fillId="8" borderId="110" xfId="0" applyNumberFormat="1" applyFont="1" applyFill="1" applyBorder="1"/>
    <xf numFmtId="7" fontId="0" fillId="0" borderId="111" xfId="0" applyNumberFormat="1" applyBorder="1"/>
    <xf numFmtId="184" fontId="39" fillId="17" borderId="112" xfId="0" applyNumberFormat="1" applyFont="1" applyFill="1" applyBorder="1"/>
    <xf numFmtId="10" fontId="0" fillId="0" borderId="113" xfId="0" applyNumberFormat="1" applyBorder="1"/>
    <xf numFmtId="10" fontId="0" fillId="0" borderId="114" xfId="0" applyNumberFormat="1" applyBorder="1"/>
    <xf numFmtId="180" fontId="26" fillId="8" borderId="108" xfId="0" applyNumberFormat="1" applyFont="1" applyFill="1" applyBorder="1"/>
    <xf numFmtId="0" fontId="36" fillId="0" borderId="2" xfId="6" applyFont="1" applyAlignment="1">
      <alignment horizontal="left"/>
    </xf>
    <xf numFmtId="174" fontId="50" fillId="0" borderId="2" xfId="6" applyNumberFormat="1" applyFont="1"/>
    <xf numFmtId="165" fontId="50" fillId="0" borderId="2" xfId="6" applyNumberFormat="1" applyFont="1"/>
    <xf numFmtId="1" fontId="50" fillId="0" borderId="2" xfId="6" applyNumberFormat="1" applyFont="1"/>
    <xf numFmtId="0" fontId="17" fillId="0" borderId="2" xfId="6" applyFont="1" applyAlignment="1">
      <alignment horizontal="centerContinuous"/>
    </xf>
    <xf numFmtId="0" fontId="23" fillId="0" borderId="2" xfId="6" applyFont="1" applyAlignment="1">
      <alignment horizontal="center"/>
    </xf>
    <xf numFmtId="209" fontId="0" fillId="25" borderId="0" xfId="0" applyNumberFormat="1" applyFill="1"/>
    <xf numFmtId="4" fontId="0" fillId="25" borderId="0" xfId="0" applyNumberFormat="1" applyFill="1" applyAlignment="1">
      <alignment horizontal="right"/>
    </xf>
    <xf numFmtId="209" fontId="0" fillId="0" borderId="0" xfId="0" applyNumberFormat="1"/>
    <xf numFmtId="4" fontId="0" fillId="0" borderId="0" xfId="0" applyNumberFormat="1" applyAlignment="1">
      <alignment horizontal="right"/>
    </xf>
    <xf numFmtId="14" fontId="4" fillId="0" borderId="0" xfId="0" applyNumberFormat="1" applyFont="1"/>
    <xf numFmtId="165" fontId="23" fillId="0" borderId="52" xfId="0" applyNumberFormat="1" applyFont="1" applyBorder="1" applyAlignment="1">
      <alignment horizontal="center"/>
    </xf>
    <xf numFmtId="165" fontId="0" fillId="0" borderId="78" xfId="0" applyNumberFormat="1" applyBorder="1" applyAlignment="1">
      <alignment horizontal="center"/>
    </xf>
    <xf numFmtId="165" fontId="0" fillId="0" borderId="76" xfId="0" applyNumberFormat="1" applyBorder="1" applyAlignment="1">
      <alignment horizontal="center"/>
    </xf>
    <xf numFmtId="165" fontId="23" fillId="7" borderId="2" xfId="0" applyNumberFormat="1" applyFon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83" xfId="0" applyNumberFormat="1" applyBorder="1" applyAlignment="1">
      <alignment horizontal="center"/>
    </xf>
    <xf numFmtId="174" fontId="0" fillId="0" borderId="78" xfId="0" applyNumberFormat="1" applyBorder="1" applyAlignment="1">
      <alignment horizontal="center"/>
    </xf>
    <xf numFmtId="174" fontId="0" fillId="0" borderId="79" xfId="0" applyNumberFormat="1" applyBorder="1" applyAlignment="1">
      <alignment horizontal="center"/>
    </xf>
    <xf numFmtId="174" fontId="0" fillId="0" borderId="76" xfId="0" applyNumberFormat="1" applyBorder="1" applyAlignment="1">
      <alignment horizontal="center"/>
    </xf>
    <xf numFmtId="174" fontId="0" fillId="0" borderId="93" xfId="0" applyNumberFormat="1" applyBorder="1" applyAlignment="1">
      <alignment horizontal="center"/>
    </xf>
    <xf numFmtId="174" fontId="23" fillId="7" borderId="2" xfId="0" applyNumberFormat="1" applyFont="1" applyFill="1" applyBorder="1" applyAlignment="1">
      <alignment horizontal="center"/>
    </xf>
    <xf numFmtId="174" fontId="23" fillId="7" borderId="81" xfId="0" applyNumberFormat="1" applyFont="1" applyFill="1" applyBorder="1" applyAlignment="1">
      <alignment horizontal="center"/>
    </xf>
    <xf numFmtId="174" fontId="23" fillId="7" borderId="76" xfId="0" applyNumberFormat="1" applyFont="1" applyFill="1" applyBorder="1" applyAlignment="1">
      <alignment horizontal="center"/>
    </xf>
    <xf numFmtId="174" fontId="23" fillId="7" borderId="87" xfId="0" applyNumberFormat="1" applyFont="1" applyFill="1" applyBorder="1" applyAlignment="1">
      <alignment horizontal="center"/>
    </xf>
    <xf numFmtId="174" fontId="0" fillId="0" borderId="2" xfId="0" applyNumberFormat="1" applyBorder="1" applyAlignment="1">
      <alignment horizontal="center"/>
    </xf>
    <xf numFmtId="174" fontId="0" fillId="0" borderId="81" xfId="0" applyNumberFormat="1" applyBorder="1" applyAlignment="1">
      <alignment horizontal="center"/>
    </xf>
    <xf numFmtId="174" fontId="0" fillId="0" borderId="83" xfId="0" applyNumberFormat="1" applyBorder="1" applyAlignment="1">
      <alignment horizontal="center"/>
    </xf>
    <xf numFmtId="174" fontId="0" fillId="0" borderId="84" xfId="0" applyNumberForma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39" fillId="12" borderId="9" xfId="0" applyFont="1" applyFill="1" applyBorder="1"/>
    <xf numFmtId="0" fontId="24" fillId="12" borderId="9" xfId="0" applyFont="1" applyFill="1" applyBorder="1"/>
    <xf numFmtId="0" fontId="23" fillId="7" borderId="9" xfId="0" applyFont="1" applyFill="1" applyBorder="1"/>
    <xf numFmtId="0" fontId="4" fillId="8" borderId="9" xfId="0" applyFont="1" applyFill="1" applyBorder="1"/>
    <xf numFmtId="175" fontId="4" fillId="8" borderId="9" xfId="0" applyNumberFormat="1" applyFont="1" applyFill="1" applyBorder="1"/>
    <xf numFmtId="174" fontId="23" fillId="7" borderId="9" xfId="0" applyNumberFormat="1" applyFont="1" applyFill="1" applyBorder="1"/>
    <xf numFmtId="169" fontId="0" fillId="7" borderId="9" xfId="0" applyNumberFormat="1" applyFill="1" applyBorder="1"/>
    <xf numFmtId="165" fontId="0" fillId="7" borderId="9" xfId="0" applyNumberFormat="1" applyFill="1" applyBorder="1"/>
    <xf numFmtId="0" fontId="23" fillId="7" borderId="5" xfId="0" applyFont="1" applyFill="1" applyBorder="1" applyAlignment="1">
      <alignment horizontal="center" wrapText="1"/>
    </xf>
    <xf numFmtId="10" fontId="0" fillId="0" borderId="0" xfId="0" applyNumberFormat="1" applyAlignment="1">
      <alignment horizontal="center"/>
    </xf>
    <xf numFmtId="0" fontId="60" fillId="3" borderId="47" xfId="0" applyFont="1" applyFill="1" applyBorder="1" applyAlignment="1">
      <alignment horizontal="center"/>
    </xf>
    <xf numFmtId="0" fontId="60" fillId="3" borderId="50" xfId="0" applyFont="1" applyFill="1" applyBorder="1" applyAlignment="1">
      <alignment horizontal="center"/>
    </xf>
    <xf numFmtId="0" fontId="45" fillId="3" borderId="11" xfId="0" applyFont="1" applyFill="1" applyBorder="1" applyAlignment="1">
      <alignment horizontal="center" vertical="center"/>
    </xf>
    <xf numFmtId="0" fontId="45" fillId="3" borderId="45" xfId="0" applyFont="1" applyFill="1" applyBorder="1" applyAlignment="1">
      <alignment horizontal="center" vertical="center"/>
    </xf>
    <xf numFmtId="0" fontId="45" fillId="3" borderId="46" xfId="0" applyFont="1" applyFill="1" applyBorder="1" applyAlignment="1">
      <alignment horizontal="center" vertical="center"/>
    </xf>
    <xf numFmtId="0" fontId="45" fillId="3" borderId="32" xfId="0" applyFont="1" applyFill="1" applyBorder="1" applyAlignment="1">
      <alignment horizontal="center"/>
    </xf>
    <xf numFmtId="0" fontId="45" fillId="3" borderId="28" xfId="0" applyFont="1" applyFill="1" applyBorder="1" applyAlignment="1">
      <alignment horizontal="center"/>
    </xf>
    <xf numFmtId="0" fontId="42" fillId="17" borderId="0" xfId="0" applyFont="1" applyFill="1" applyAlignment="1">
      <alignment horizontal="center"/>
    </xf>
    <xf numFmtId="170" fontId="55" fillId="20" borderId="45" xfId="6" applyNumberFormat="1" applyFont="1" applyFill="1" applyBorder="1" applyAlignment="1">
      <alignment horizontal="center"/>
    </xf>
    <xf numFmtId="170" fontId="55" fillId="20" borderId="52" xfId="6" applyNumberFormat="1" applyFont="1" applyFill="1" applyBorder="1" applyAlignment="1">
      <alignment horizontal="center"/>
    </xf>
    <xf numFmtId="0" fontId="42" fillId="17" borderId="54" xfId="0" applyFont="1" applyFill="1" applyBorder="1" applyAlignment="1">
      <alignment horizontal="center"/>
    </xf>
    <xf numFmtId="0" fontId="18" fillId="12" borderId="0" xfId="0" applyFont="1" applyFill="1" applyAlignment="1">
      <alignment horizontal="left" vertical="top"/>
    </xf>
    <xf numFmtId="203" fontId="19" fillId="7" borderId="21" xfId="0" applyNumberFormat="1" applyFont="1" applyFill="1" applyBorder="1" applyAlignment="1">
      <alignment horizontal="center"/>
    </xf>
    <xf numFmtId="203" fontId="19" fillId="7" borderId="22" xfId="0" applyNumberFormat="1" applyFont="1" applyFill="1" applyBorder="1" applyAlignment="1">
      <alignment horizontal="center"/>
    </xf>
    <xf numFmtId="203" fontId="19" fillId="7" borderId="23" xfId="0" applyNumberFormat="1" applyFont="1" applyFill="1" applyBorder="1" applyAlignment="1">
      <alignment horizontal="center"/>
    </xf>
    <xf numFmtId="0" fontId="42" fillId="12" borderId="65" xfId="0" applyFont="1" applyFill="1" applyBorder="1" applyAlignment="1">
      <alignment horizontal="left" indent="28"/>
    </xf>
    <xf numFmtId="0" fontId="42" fillId="12" borderId="66" xfId="0" applyFont="1" applyFill="1" applyBorder="1" applyAlignment="1">
      <alignment horizontal="left" indent="28"/>
    </xf>
    <xf numFmtId="0" fontId="42" fillId="12" borderId="67" xfId="0" applyFont="1" applyFill="1" applyBorder="1" applyAlignment="1">
      <alignment horizontal="left" indent="28"/>
    </xf>
    <xf numFmtId="0" fontId="67" fillId="0" borderId="2" xfId="6" applyFont="1" applyAlignment="1">
      <alignment horizontal="center"/>
    </xf>
    <xf numFmtId="0" fontId="48" fillId="12" borderId="2" xfId="6" applyFont="1" applyFill="1" applyAlignment="1">
      <alignment horizontal="left" vertical="top"/>
    </xf>
    <xf numFmtId="0" fontId="36" fillId="0" borderId="17" xfId="6" applyFont="1" applyBorder="1" applyAlignment="1">
      <alignment horizontal="right" vertical="center" textRotation="90"/>
    </xf>
    <xf numFmtId="164" fontId="36" fillId="4" borderId="2" xfId="6" applyNumberFormat="1" applyFont="1" applyFill="1" applyAlignment="1">
      <alignment horizontal="center"/>
    </xf>
    <xf numFmtId="0" fontId="49" fillId="12" borderId="2" xfId="6" applyFont="1" applyFill="1" applyAlignment="1">
      <alignment horizontal="center"/>
    </xf>
    <xf numFmtId="0" fontId="23" fillId="0" borderId="45" xfId="0" applyFont="1" applyBorder="1" applyAlignment="1">
      <alignment horizontal="center"/>
    </xf>
    <xf numFmtId="0" fontId="23" fillId="0" borderId="52" xfId="0" applyFont="1" applyBorder="1" applyAlignment="1">
      <alignment horizontal="center"/>
    </xf>
    <xf numFmtId="0" fontId="23" fillId="0" borderId="46" xfId="0" applyFont="1" applyBorder="1" applyAlignment="1">
      <alignment horizontal="center"/>
    </xf>
    <xf numFmtId="0" fontId="23" fillId="7" borderId="76" xfId="0" applyFont="1" applyFill="1" applyBorder="1" applyAlignment="1">
      <alignment horizontal="center"/>
    </xf>
    <xf numFmtId="0" fontId="23" fillId="7" borderId="12" xfId="0" applyFont="1" applyFill="1" applyBorder="1" applyAlignment="1">
      <alignment horizontal="center"/>
    </xf>
    <xf numFmtId="182" fontId="38" fillId="17" borderId="24" xfId="0" applyNumberFormat="1" applyFont="1" applyFill="1" applyBorder="1" applyAlignment="1">
      <alignment horizontal="center"/>
    </xf>
    <xf numFmtId="182" fontId="38" fillId="17" borderId="26" xfId="0" applyNumberFormat="1" applyFont="1" applyFill="1" applyBorder="1" applyAlignment="1">
      <alignment horizontal="center"/>
    </xf>
    <xf numFmtId="182" fontId="38" fillId="17" borderId="25" xfId="0" applyNumberFormat="1" applyFont="1" applyFill="1" applyBorder="1" applyAlignment="1">
      <alignment horizontal="center"/>
    </xf>
    <xf numFmtId="0" fontId="38" fillId="17" borderId="24" xfId="0" applyFont="1" applyFill="1" applyBorder="1" applyAlignment="1">
      <alignment horizontal="center"/>
    </xf>
    <xf numFmtId="0" fontId="38" fillId="17" borderId="26" xfId="0" applyFont="1" applyFill="1" applyBorder="1" applyAlignment="1">
      <alignment horizontal="center"/>
    </xf>
    <xf numFmtId="0" fontId="38" fillId="17" borderId="25" xfId="0" applyFont="1" applyFill="1" applyBorder="1" applyAlignment="1">
      <alignment horizontal="center"/>
    </xf>
    <xf numFmtId="0" fontId="98" fillId="17" borderId="0" xfId="0" applyFont="1" applyFill="1" applyAlignment="1">
      <alignment horizontal="center"/>
    </xf>
    <xf numFmtId="184" fontId="39" fillId="17" borderId="115" xfId="0" applyNumberFormat="1" applyFont="1" applyFill="1" applyBorder="1"/>
    <xf numFmtId="0" fontId="39" fillId="17" borderId="104" xfId="0" applyFont="1" applyFill="1" applyBorder="1" applyAlignment="1">
      <alignment horizontal="center"/>
    </xf>
    <xf numFmtId="0" fontId="39" fillId="17" borderId="105" xfId="0" applyFont="1" applyFill="1" applyBorder="1" applyAlignment="1">
      <alignment horizontal="center"/>
    </xf>
  </cellXfs>
  <cellStyles count="9">
    <cellStyle name="Hyperlink" xfId="5" builtinId="8"/>
    <cellStyle name="Hyperlink 2" xfId="2" xr:uid="{30FD4205-4283-4A6A-A64B-284F31D794C7}"/>
    <cellStyle name="Hyperlink 2 2" xfId="4" xr:uid="{5A0AA4A2-96E2-4DCB-8D0F-2E73B6D49FE2}"/>
    <cellStyle name="Normal" xfId="0" builtinId="0"/>
    <cellStyle name="Normal 2" xfId="3" xr:uid="{34DC7261-9ACC-4036-8A8C-A03CE005F23F}"/>
    <cellStyle name="Normal 2 2 2" xfId="1" xr:uid="{E616C273-7B25-47FB-AA32-803AF9F46522}"/>
    <cellStyle name="Normal 3" xfId="6" xr:uid="{DE609636-5999-49D2-9765-EC7A14C17895}"/>
    <cellStyle name="Percent" xfId="8" builtinId="5"/>
    <cellStyle name="Percent 2" xfId="7" xr:uid="{FE206376-55FF-49AA-9720-4D111F4FABB7}"/>
  </cellStyles>
  <dxfs count="19">
    <dxf>
      <font>
        <color rgb="FF008000"/>
      </font>
    </dxf>
    <dxf>
      <font>
        <color rgb="FF9C0006"/>
      </font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0044BF"/>
      <color rgb="FFBEDFFF"/>
      <color rgb="FFE7F2FF"/>
      <color rgb="FF5C99FF"/>
      <color rgb="FF0000FF"/>
      <color rgb="FF0064FF"/>
      <color rgb="FF000C3F"/>
      <color rgb="FF0090FF"/>
      <color rgb="FF0C813D"/>
      <color rgb="FF798D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r>
              <a:rPr lang="en-US"/>
              <a:t>Free Cash Flow Projection (2026E - 2030E)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44BF"/>
            </a:solidFill>
            <a:ln>
              <a:noFill/>
            </a:ln>
            <a:effectLst/>
          </c:spPr>
          <c:invertIfNegative val="0"/>
          <c:cat>
            <c:strRef>
              <c:f>'DCF Valuation &amp; Sensitivity'!$N$3:$R$3</c:f>
              <c:strCache>
                <c:ptCount val="5"/>
                <c:pt idx="0">
                  <c:v>FQ4 '26E</c:v>
                </c:pt>
                <c:pt idx="1">
                  <c:v>2027E</c:v>
                </c:pt>
                <c:pt idx="2">
                  <c:v>2028E</c:v>
                </c:pt>
                <c:pt idx="3">
                  <c:v>2029E</c:v>
                </c:pt>
                <c:pt idx="4">
                  <c:v>2030E</c:v>
                </c:pt>
              </c:strCache>
            </c:strRef>
          </c:cat>
          <c:val>
            <c:numRef>
              <c:f>'DCF Valuation &amp; Sensitivity'!$N$25:$R$25</c:f>
              <c:numCache>
                <c:formatCode>"$"#,##0_);\("$"#,##0\)</c:formatCode>
                <c:ptCount val="5"/>
                <c:pt idx="0">
                  <c:v>587.01952849448537</c:v>
                </c:pt>
                <c:pt idx="1">
                  <c:v>2322.822797750875</c:v>
                </c:pt>
                <c:pt idx="2">
                  <c:v>1630.4968197684912</c:v>
                </c:pt>
                <c:pt idx="3">
                  <c:v>1264.2881246820364</c:v>
                </c:pt>
                <c:pt idx="4">
                  <c:v>1261.7783616455331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E-4440-AB38-E917B2E81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9097871"/>
        <c:axId val="1549098351"/>
      </c:barChart>
      <c:catAx>
        <c:axId val="1549097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549098351"/>
        <c:crosses val="autoZero"/>
        <c:auto val="1"/>
        <c:lblAlgn val="ctr"/>
        <c:lblOffset val="100"/>
        <c:noMultiLvlLbl val="0"/>
      </c:catAx>
      <c:valAx>
        <c:axId val="1549098351"/>
        <c:scaling>
          <c:orientation val="minMax"/>
        </c:scaling>
        <c:delete val="0"/>
        <c:axPos val="l"/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549097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r>
              <a:rPr lang="en-US"/>
              <a:t>Revenue Projection (2026E - 2030E)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44BF"/>
            </a:solidFill>
            <a:ln>
              <a:noFill/>
            </a:ln>
            <a:effectLst/>
          </c:spPr>
          <c:invertIfNegative val="0"/>
          <c:cat>
            <c:strRef>
              <c:f>'DCF Valuation &amp; Sensitivity'!$N$3:$R$3</c:f>
              <c:strCache>
                <c:ptCount val="5"/>
                <c:pt idx="0">
                  <c:v>FQ4 '26E</c:v>
                </c:pt>
                <c:pt idx="1">
                  <c:v>2027E</c:v>
                </c:pt>
                <c:pt idx="2">
                  <c:v>2028E</c:v>
                </c:pt>
                <c:pt idx="3">
                  <c:v>2029E</c:v>
                </c:pt>
                <c:pt idx="4">
                  <c:v>2030E</c:v>
                </c:pt>
              </c:strCache>
            </c:strRef>
          </c:cat>
          <c:val>
            <c:numRef>
              <c:f>'DCF Valuation &amp; Sensitivity'!$N$7:$R$7</c:f>
              <c:numCache>
                <c:formatCode>"$"#,##0_);\("$"#,##0\)</c:formatCode>
                <c:ptCount val="5"/>
                <c:pt idx="0">
                  <c:v>13682.258231803309</c:v>
                </c:pt>
                <c:pt idx="1">
                  <c:v>43944.600694254084</c:v>
                </c:pt>
                <c:pt idx="2">
                  <c:v>42194.983657719909</c:v>
                </c:pt>
                <c:pt idx="3">
                  <c:v>38180.890354063871</c:v>
                </c:pt>
                <c:pt idx="4">
                  <c:v>37484.896634894547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4-4198-8744-02F306153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7163999"/>
        <c:axId val="1967158239"/>
      </c:barChart>
      <c:catAx>
        <c:axId val="1967163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967158239"/>
        <c:crosses val="autoZero"/>
        <c:auto val="1"/>
        <c:lblAlgn val="ctr"/>
        <c:lblOffset val="100"/>
        <c:noMultiLvlLbl val="0"/>
      </c:catAx>
      <c:valAx>
        <c:axId val="1967158239"/>
        <c:scaling>
          <c:orientation val="minMax"/>
        </c:scaling>
        <c:delete val="0"/>
        <c:axPos val="l"/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967163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'DCF Valuation &amp; Sensitivity'!$A$75</c:f>
              <c:strCache>
                <c:ptCount val="1"/>
                <c:pt idx="0">
                  <c:v>FCF Dividend Coverage Ratio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Sensitivity'!$B$75:$E$75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FD22-854D-A2B0-F6F067B2D14C}"/>
            </c:ext>
          </c:extLst>
        </c:ser>
        <c:ser>
          <c:idx val="1"/>
          <c:order val="1"/>
          <c:tx>
            <c:strRef>
              <c:f>'DCF Valuation &amp; Sensitivity'!$A$76</c:f>
              <c:strCache>
                <c:ptCount val="1"/>
                <c:pt idx="0">
                  <c:v>Bull</c:v>
                </c:pt>
              </c:strCache>
            </c:strRef>
          </c:tx>
          <c:spPr>
            <a:solidFill>
              <a:srgbClr val="000C3F"/>
            </a:solidFill>
            <a:ln>
              <a:solidFill>
                <a:srgbClr val="000C3F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Sensitivity'!$B$76:$E$76</c:f>
              <c:numCache>
                <c:formatCode>0.0"x"</c:formatCode>
                <c:ptCount val="4"/>
                <c:pt idx="0">
                  <c:v>2.4305249720734774</c:v>
                </c:pt>
                <c:pt idx="1">
                  <c:v>2.7006168015623415</c:v>
                </c:pt>
                <c:pt idx="2">
                  <c:v>2.550156361165874</c:v>
                </c:pt>
                <c:pt idx="3">
                  <c:v>2.3343590983768037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22-854D-A2B0-F6F067B2D14C}"/>
            </c:ext>
          </c:extLst>
        </c:ser>
        <c:ser>
          <c:idx val="2"/>
          <c:order val="2"/>
          <c:tx>
            <c:strRef>
              <c:f>'DCF Valuation &amp; Sensitivity'!$A$77</c:f>
              <c:strCache>
                <c:ptCount val="1"/>
                <c:pt idx="0">
                  <c:v>Base</c:v>
                </c:pt>
              </c:strCache>
            </c:strRef>
          </c:tx>
          <c:spPr>
            <a:solidFill>
              <a:srgbClr val="5C99FF"/>
            </a:solidFill>
            <a:ln>
              <a:solidFill>
                <a:srgbClr val="0064FF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1.111111111111108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22-854D-A2B0-F6F067B2D14C}"/>
                </c:ext>
              </c:extLst>
            </c:dLbl>
            <c:dLbl>
              <c:idx val="1"/>
              <c:layout>
                <c:manualLayout>
                  <c:x val="1.11111111111110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22-854D-A2B0-F6F067B2D14C}"/>
                </c:ext>
              </c:extLst>
            </c:dLbl>
            <c:dLbl>
              <c:idx val="2"/>
              <c:layout>
                <c:manualLayout>
                  <c:x val="1.66666666666666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22-854D-A2B0-F6F067B2D14C}"/>
                </c:ext>
              </c:extLst>
            </c:dLbl>
            <c:dLbl>
              <c:idx val="3"/>
              <c:layout>
                <c:manualLayout>
                  <c:x val="1.9444444444444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D22-854D-A2B0-F6F067B2D1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Sensitivity'!$B$77:$E$77</c:f>
              <c:numCache>
                <c:formatCode>0.0"x"</c:formatCode>
                <c:ptCount val="4"/>
                <c:pt idx="0">
                  <c:v>2.1240204184972118</c:v>
                </c:pt>
                <c:pt idx="1">
                  <c:v>2.0740981599387953</c:v>
                </c:pt>
                <c:pt idx="2">
                  <c:v>1.6587098174703023</c:v>
                </c:pt>
                <c:pt idx="3">
                  <c:v>1.5925466719476953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22-854D-A2B0-F6F067B2D14C}"/>
            </c:ext>
          </c:extLst>
        </c:ser>
        <c:ser>
          <c:idx val="3"/>
          <c:order val="3"/>
          <c:tx>
            <c:strRef>
              <c:f>'DCF Valuation &amp; Sensitivity'!$A$78</c:f>
              <c:strCache>
                <c:ptCount val="1"/>
                <c:pt idx="0">
                  <c:v>Bear</c:v>
                </c:pt>
              </c:strCache>
            </c:strRef>
          </c:tx>
          <c:spPr>
            <a:solidFill>
              <a:srgbClr val="0064FF"/>
            </a:solidFill>
            <a:ln>
              <a:solidFill>
                <a:srgbClr val="5C99FF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1.111111111111108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D22-854D-A2B0-F6F067B2D14C}"/>
                </c:ext>
              </c:extLst>
            </c:dLbl>
            <c:dLbl>
              <c:idx val="1"/>
              <c:layout>
                <c:manualLayout>
                  <c:x val="1.9444444444444445E-2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22-854D-A2B0-F6F067B2D14C}"/>
                </c:ext>
              </c:extLst>
            </c:dLbl>
            <c:dLbl>
              <c:idx val="2"/>
              <c:layout>
                <c:manualLayout>
                  <c:x val="1.1111111111111112E-2"/>
                  <c:y val="4.6296296296295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22-854D-A2B0-F6F067B2D14C}"/>
                </c:ext>
              </c:extLst>
            </c:dLbl>
            <c:dLbl>
              <c:idx val="3"/>
              <c:layout>
                <c:manualLayout>
                  <c:x val="1.38888888888887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22-854D-A2B0-F6F067B2D1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Sensitivity'!$B$78:$E$78</c:f>
              <c:numCache>
                <c:formatCode>0.0"x"</c:formatCode>
                <c:ptCount val="4"/>
                <c:pt idx="0">
                  <c:v>1.2140563352928679</c:v>
                </c:pt>
                <c:pt idx="1">
                  <c:v>1.0022550677130415</c:v>
                </c:pt>
                <c:pt idx="2">
                  <c:v>0.82712239378670449</c:v>
                </c:pt>
                <c:pt idx="3">
                  <c:v>0.81990849442257785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22-854D-A2B0-F6F067B2D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5702751"/>
        <c:axId val="665575151"/>
      </c:barChart>
      <c:catAx>
        <c:axId val="665702751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575151"/>
        <c:crosses val="autoZero"/>
        <c:auto val="1"/>
        <c:lblAlgn val="ctr"/>
        <c:lblOffset val="100"/>
        <c:noMultiLvlLbl val="0"/>
      </c:catAx>
      <c:valAx>
        <c:axId val="665575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702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'DCF Valuation &amp; Sensitivity'!$A$85</c:f>
              <c:strCache>
                <c:ptCount val="1"/>
                <c:pt idx="0">
                  <c:v>Total Yield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Sensitivity'!$B$85:$E$85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C521-5B41-8F53-16BD7780DD5F}"/>
            </c:ext>
          </c:extLst>
        </c:ser>
        <c:ser>
          <c:idx val="1"/>
          <c:order val="1"/>
          <c:tx>
            <c:strRef>
              <c:f>'DCF Valuation &amp; Sensitivity'!$A$86</c:f>
              <c:strCache>
                <c:ptCount val="1"/>
                <c:pt idx="0">
                  <c:v>Bull</c:v>
                </c:pt>
              </c:strCache>
            </c:strRef>
          </c:tx>
          <c:spPr>
            <a:solidFill>
              <a:srgbClr val="000C3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Sensitivity'!$B$86:$E$86</c:f>
              <c:numCache>
                <c:formatCode>0.0%</c:formatCode>
                <c:ptCount val="4"/>
                <c:pt idx="0">
                  <c:v>9.9493103758727039E-2</c:v>
                </c:pt>
                <c:pt idx="1">
                  <c:v>0.10435412693492074</c:v>
                </c:pt>
                <c:pt idx="2">
                  <c:v>0.10065432370604228</c:v>
                </c:pt>
                <c:pt idx="3">
                  <c:v>9.6382476545334092E-2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21-5B41-8F53-16BD7780DD5F}"/>
            </c:ext>
          </c:extLst>
        </c:ser>
        <c:ser>
          <c:idx val="2"/>
          <c:order val="2"/>
          <c:tx>
            <c:strRef>
              <c:f>'DCF Valuation &amp; Sensitivity'!$A$87</c:f>
              <c:strCache>
                <c:ptCount val="1"/>
                <c:pt idx="0">
                  <c:v>Base</c:v>
                </c:pt>
              </c:strCache>
            </c:strRef>
          </c:tx>
          <c:spPr>
            <a:solidFill>
              <a:srgbClr val="5C99FF"/>
            </a:solidFill>
            <a:ln>
              <a:solidFill>
                <a:srgbClr val="5C99FF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1.666666666666664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521-5B41-8F53-16BD7780DD5F}"/>
                </c:ext>
              </c:extLst>
            </c:dLbl>
            <c:dLbl>
              <c:idx val="1"/>
              <c:layout>
                <c:manualLayout>
                  <c:x val="1.3888888888888788E-2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21-5B41-8F53-16BD7780DD5F}"/>
                </c:ext>
              </c:extLst>
            </c:dLbl>
            <c:dLbl>
              <c:idx val="2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21-5B41-8F53-16BD7780DD5F}"/>
                </c:ext>
              </c:extLst>
            </c:dLbl>
            <c:dLbl>
              <c:idx val="3"/>
              <c:layout>
                <c:manualLayout>
                  <c:x val="8.3333333333331303E-3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21-5B41-8F53-16BD7780DD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Sensitivity'!$B$87:$E$87</c:f>
              <c:numCache>
                <c:formatCode>0.0%</c:formatCode>
                <c:ptCount val="4"/>
                <c:pt idx="0">
                  <c:v>9.3443130135611382E-2</c:v>
                </c:pt>
                <c:pt idx="1">
                  <c:v>9.1987370396050941E-2</c:v>
                </c:pt>
                <c:pt idx="2">
                  <c:v>8.3564500540070544E-2</c:v>
                </c:pt>
                <c:pt idx="3">
                  <c:v>8.4054929955001009E-2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521-5B41-8F53-16BD7780DD5F}"/>
            </c:ext>
          </c:extLst>
        </c:ser>
        <c:ser>
          <c:idx val="3"/>
          <c:order val="3"/>
          <c:tx>
            <c:strRef>
              <c:f>'DCF Valuation &amp; Sensitivity'!$A$88</c:f>
              <c:strCache>
                <c:ptCount val="1"/>
                <c:pt idx="0">
                  <c:v>Bear</c:v>
                </c:pt>
              </c:strCache>
            </c:strRef>
          </c:tx>
          <c:spPr>
            <a:solidFill>
              <a:srgbClr val="0064F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22222222222222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21-5B41-8F53-16BD7780DD5F}"/>
                </c:ext>
              </c:extLst>
            </c:dLbl>
            <c:dLbl>
              <c:idx val="1"/>
              <c:layout>
                <c:manualLayout>
                  <c:x val="1.66666666666666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21-5B41-8F53-16BD7780DD5F}"/>
                </c:ext>
              </c:extLst>
            </c:dLbl>
            <c:dLbl>
              <c:idx val="2"/>
              <c:layout>
                <c:manualLayout>
                  <c:x val="1.9444444444444445E-2"/>
                  <c:y val="-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21-5B41-8F53-16BD7780DD5F}"/>
                </c:ext>
              </c:extLst>
            </c:dLbl>
            <c:dLbl>
              <c:idx val="3"/>
              <c:layout>
                <c:manualLayout>
                  <c:x val="1.66666666666666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521-5B41-8F53-16BD7780DD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'DCF Valuation &amp; Sensitivity'!$B$69:$E$69</c:f>
              <c:numCache>
                <c:formatCode>0"E"</c:formatCode>
                <c:ptCount val="4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</c:numCache>
            </c:numRef>
          </c:cat>
          <c:val>
            <c:numRef>
              <c:f>'DCF Valuation &amp; Sensitivity'!$B$88:$E$88</c:f>
              <c:numCache>
                <c:formatCode>0.0%</c:formatCode>
                <c:ptCount val="4"/>
                <c:pt idx="0">
                  <c:v>7.5626050331425096E-2</c:v>
                </c:pt>
                <c:pt idx="1">
                  <c:v>7.1856691347345861E-2</c:v>
                </c:pt>
                <c:pt idx="2">
                  <c:v>6.978614419774605E-2</c:v>
                </c:pt>
                <c:pt idx="3">
                  <c:v>6.9697801960262637E-2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21-5B41-8F53-16BD7780D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5702751"/>
        <c:axId val="665575151"/>
      </c:barChart>
      <c:catAx>
        <c:axId val="665702751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575151"/>
        <c:crosses val="autoZero"/>
        <c:auto val="1"/>
        <c:lblAlgn val="ctr"/>
        <c:lblOffset val="100"/>
        <c:noMultiLvlLbl val="0"/>
      </c:catAx>
      <c:valAx>
        <c:axId val="66557515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702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51397042323171E-2"/>
          <c:y val="3.1179138321995464E-2"/>
          <c:w val="0.89966334801340753"/>
          <c:h val="0.90306613459031904"/>
        </c:manualLayout>
      </c:layout>
      <c:lineChart>
        <c:grouping val="standard"/>
        <c:varyColors val="0"/>
        <c:ser>
          <c:idx val="0"/>
          <c:order val="0"/>
          <c:tx>
            <c:strRef>
              <c:f>'Share Price Projection'!$B$1</c:f>
              <c:strCache>
                <c:ptCount val="1"/>
                <c:pt idx="0">
                  <c:v>Price</c:v>
                </c:pt>
              </c:strCache>
            </c:strRef>
          </c:tx>
          <c:spPr>
            <a:ln w="28575" cap="rnd">
              <a:solidFill>
                <a:srgbClr val="0044BF"/>
              </a:solidFill>
              <a:round/>
            </a:ln>
            <a:effectLst/>
          </c:spPr>
          <c:marker>
            <c:symbol val="none"/>
          </c:marker>
          <c:cat>
            <c:numRef>
              <c:f>'Share Price Projection'!$A$2:$A$56</c:f>
              <c:numCache>
                <c:formatCode>mm/dd/yy</c:formatCode>
                <c:ptCount val="55"/>
                <c:pt idx="0" formatCode="m/d/yy">
                  <c:v>46385</c:v>
                </c:pt>
                <c:pt idx="1">
                  <c:v>46020</c:v>
                </c:pt>
                <c:pt idx="2">
                  <c:v>46017</c:v>
                </c:pt>
                <c:pt idx="3">
                  <c:v>46010</c:v>
                </c:pt>
                <c:pt idx="4">
                  <c:v>46003</c:v>
                </c:pt>
                <c:pt idx="5">
                  <c:v>45996</c:v>
                </c:pt>
                <c:pt idx="6">
                  <c:v>45989</c:v>
                </c:pt>
                <c:pt idx="7">
                  <c:v>45982</c:v>
                </c:pt>
                <c:pt idx="8">
                  <c:v>45975</c:v>
                </c:pt>
                <c:pt idx="9">
                  <c:v>45968</c:v>
                </c:pt>
                <c:pt idx="10">
                  <c:v>45961</c:v>
                </c:pt>
                <c:pt idx="11">
                  <c:v>45954</c:v>
                </c:pt>
                <c:pt idx="12">
                  <c:v>45947</c:v>
                </c:pt>
                <c:pt idx="13">
                  <c:v>45940</c:v>
                </c:pt>
                <c:pt idx="14">
                  <c:v>45933</c:v>
                </c:pt>
                <c:pt idx="15">
                  <c:v>45926</c:v>
                </c:pt>
                <c:pt idx="16">
                  <c:v>45919</c:v>
                </c:pt>
                <c:pt idx="17">
                  <c:v>45912</c:v>
                </c:pt>
                <c:pt idx="18">
                  <c:v>45905</c:v>
                </c:pt>
                <c:pt idx="19">
                  <c:v>45898</c:v>
                </c:pt>
                <c:pt idx="20">
                  <c:v>45891</c:v>
                </c:pt>
                <c:pt idx="21">
                  <c:v>45884</c:v>
                </c:pt>
                <c:pt idx="22">
                  <c:v>45877</c:v>
                </c:pt>
                <c:pt idx="23">
                  <c:v>45870</c:v>
                </c:pt>
                <c:pt idx="24">
                  <c:v>45863</c:v>
                </c:pt>
                <c:pt idx="25">
                  <c:v>45856</c:v>
                </c:pt>
                <c:pt idx="26">
                  <c:v>45849</c:v>
                </c:pt>
                <c:pt idx="27">
                  <c:v>45841</c:v>
                </c:pt>
                <c:pt idx="28">
                  <c:v>45835</c:v>
                </c:pt>
                <c:pt idx="29">
                  <c:v>45828</c:v>
                </c:pt>
                <c:pt idx="30">
                  <c:v>45821</c:v>
                </c:pt>
                <c:pt idx="31">
                  <c:v>45814</c:v>
                </c:pt>
                <c:pt idx="32">
                  <c:v>45807</c:v>
                </c:pt>
                <c:pt idx="33">
                  <c:v>45800</c:v>
                </c:pt>
                <c:pt idx="34">
                  <c:v>45793</c:v>
                </c:pt>
                <c:pt idx="35">
                  <c:v>45786</c:v>
                </c:pt>
                <c:pt idx="36">
                  <c:v>45779</c:v>
                </c:pt>
                <c:pt idx="37">
                  <c:v>45772</c:v>
                </c:pt>
                <c:pt idx="38">
                  <c:v>45764</c:v>
                </c:pt>
                <c:pt idx="39">
                  <c:v>45758</c:v>
                </c:pt>
                <c:pt idx="40">
                  <c:v>45751</c:v>
                </c:pt>
                <c:pt idx="41">
                  <c:v>45744</c:v>
                </c:pt>
                <c:pt idx="42">
                  <c:v>45737</c:v>
                </c:pt>
                <c:pt idx="43">
                  <c:v>45730</c:v>
                </c:pt>
                <c:pt idx="44">
                  <c:v>45723</c:v>
                </c:pt>
                <c:pt idx="45">
                  <c:v>45716</c:v>
                </c:pt>
                <c:pt idx="46">
                  <c:v>45709</c:v>
                </c:pt>
                <c:pt idx="47">
                  <c:v>45702</c:v>
                </c:pt>
                <c:pt idx="48">
                  <c:v>45695</c:v>
                </c:pt>
                <c:pt idx="49">
                  <c:v>45688</c:v>
                </c:pt>
                <c:pt idx="50">
                  <c:v>45681</c:v>
                </c:pt>
                <c:pt idx="51">
                  <c:v>45674</c:v>
                </c:pt>
                <c:pt idx="52">
                  <c:v>45667</c:v>
                </c:pt>
                <c:pt idx="53">
                  <c:v>45660</c:v>
                </c:pt>
                <c:pt idx="54">
                  <c:v>45653</c:v>
                </c:pt>
              </c:numCache>
            </c:numRef>
          </c:cat>
          <c:val>
            <c:numRef>
              <c:f>'Share Price Projection'!$B$2:$B$56</c:f>
              <c:numCache>
                <c:formatCode>#,##0.00</c:formatCode>
                <c:ptCount val="55"/>
                <c:pt idx="1">
                  <c:v>67.84</c:v>
                </c:pt>
                <c:pt idx="2">
                  <c:v>69.61</c:v>
                </c:pt>
                <c:pt idx="3">
                  <c:v>71.83</c:v>
                </c:pt>
                <c:pt idx="4">
                  <c:v>73.459999999999994</c:v>
                </c:pt>
                <c:pt idx="5">
                  <c:v>74.17</c:v>
                </c:pt>
                <c:pt idx="6">
                  <c:v>79.28</c:v>
                </c:pt>
                <c:pt idx="7">
                  <c:v>76.45</c:v>
                </c:pt>
                <c:pt idx="8">
                  <c:v>75.72</c:v>
                </c:pt>
                <c:pt idx="9">
                  <c:v>79.03</c:v>
                </c:pt>
                <c:pt idx="10">
                  <c:v>82.14</c:v>
                </c:pt>
                <c:pt idx="11">
                  <c:v>83.26</c:v>
                </c:pt>
                <c:pt idx="12">
                  <c:v>79.709999999999994</c:v>
                </c:pt>
                <c:pt idx="13">
                  <c:v>70.430000000000007</c:v>
                </c:pt>
                <c:pt idx="14">
                  <c:v>76.86</c:v>
                </c:pt>
                <c:pt idx="15">
                  <c:v>76.150000000000006</c:v>
                </c:pt>
                <c:pt idx="16">
                  <c:v>72.23</c:v>
                </c:pt>
                <c:pt idx="17">
                  <c:v>75.87</c:v>
                </c:pt>
                <c:pt idx="18">
                  <c:v>76.17</c:v>
                </c:pt>
                <c:pt idx="19">
                  <c:v>73.64</c:v>
                </c:pt>
                <c:pt idx="20">
                  <c:v>75.39</c:v>
                </c:pt>
                <c:pt idx="21">
                  <c:v>71.63</c:v>
                </c:pt>
                <c:pt idx="22">
                  <c:v>68.97</c:v>
                </c:pt>
                <c:pt idx="23">
                  <c:v>64.12</c:v>
                </c:pt>
                <c:pt idx="24">
                  <c:v>67.44</c:v>
                </c:pt>
                <c:pt idx="25">
                  <c:v>67.55</c:v>
                </c:pt>
                <c:pt idx="26">
                  <c:v>71.790000000000006</c:v>
                </c:pt>
                <c:pt idx="27">
                  <c:v>72.099999999999994</c:v>
                </c:pt>
                <c:pt idx="28">
                  <c:v>68.22</c:v>
                </c:pt>
                <c:pt idx="29">
                  <c:v>67.52</c:v>
                </c:pt>
                <c:pt idx="30">
                  <c:v>69.599999999999994</c:v>
                </c:pt>
                <c:pt idx="31">
                  <c:v>73.02</c:v>
                </c:pt>
                <c:pt idx="32">
                  <c:v>66.28</c:v>
                </c:pt>
                <c:pt idx="33">
                  <c:v>69.92</c:v>
                </c:pt>
                <c:pt idx="34">
                  <c:v>73.8</c:v>
                </c:pt>
                <c:pt idx="35">
                  <c:v>68.849999999999994</c:v>
                </c:pt>
                <c:pt idx="36">
                  <c:v>68.069999999999993</c:v>
                </c:pt>
                <c:pt idx="37">
                  <c:v>67.709999999999994</c:v>
                </c:pt>
                <c:pt idx="38">
                  <c:v>61.97</c:v>
                </c:pt>
                <c:pt idx="39">
                  <c:v>60.43</c:v>
                </c:pt>
                <c:pt idx="40">
                  <c:v>60.44</c:v>
                </c:pt>
                <c:pt idx="41">
                  <c:v>72.45</c:v>
                </c:pt>
                <c:pt idx="42">
                  <c:v>73.56</c:v>
                </c:pt>
                <c:pt idx="43">
                  <c:v>71.489999999999995</c:v>
                </c:pt>
                <c:pt idx="44">
                  <c:v>79.41</c:v>
                </c:pt>
                <c:pt idx="45">
                  <c:v>89.91</c:v>
                </c:pt>
                <c:pt idx="46">
                  <c:v>89.78</c:v>
                </c:pt>
                <c:pt idx="47">
                  <c:v>91.1</c:v>
                </c:pt>
                <c:pt idx="48">
                  <c:v>84.89</c:v>
                </c:pt>
                <c:pt idx="49">
                  <c:v>85.86</c:v>
                </c:pt>
                <c:pt idx="50">
                  <c:v>84.73</c:v>
                </c:pt>
                <c:pt idx="51">
                  <c:v>81.900000000000006</c:v>
                </c:pt>
                <c:pt idx="52">
                  <c:v>83.27</c:v>
                </c:pt>
                <c:pt idx="53">
                  <c:v>83.62</c:v>
                </c:pt>
                <c:pt idx="54">
                  <c:v>88.03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C3-6049-8EDD-D0E9ADC332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5185136"/>
        <c:axId val="725186848"/>
      </c:lineChart>
      <c:dateAx>
        <c:axId val="725185136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186848"/>
        <c:crosses val="autoZero"/>
        <c:auto val="1"/>
        <c:lblOffset val="100"/>
        <c:baseTimeUnit val="days"/>
        <c:majorUnit val="1"/>
        <c:majorTimeUnit val="years"/>
      </c:dateAx>
      <c:valAx>
        <c:axId val="725186848"/>
        <c:scaling>
          <c:orientation val="minMax"/>
          <c:max val="110"/>
        </c:scaling>
        <c:delete val="0"/>
        <c:axPos val="l"/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18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614825438276245E-2"/>
          <c:y val="4.0351301842179908E-2"/>
          <c:w val="0.87067744808220038"/>
          <c:h val="0.86883978309081156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 &amp; Price Projection'!$F$4:$F$10</c:f>
              <c:numCache>
                <c:formatCode>"$"#,##0</c:formatCode>
                <c:ptCount val="7"/>
                <c:pt idx="1">
                  <c:v>51.54</c:v>
                </c:pt>
                <c:pt idx="2">
                  <c:v>59.795013850415515</c:v>
                </c:pt>
                <c:pt idx="3">
                  <c:v>50.742098567028265</c:v>
                </c:pt>
                <c:pt idx="4">
                  <c:v>57.347920141571095</c:v>
                </c:pt>
                <c:pt idx="5">
                  <c:v>51.083563255737964</c:v>
                </c:pt>
                <c:pt idx="6">
                  <c:v>54.99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53-49B9-B540-2DA7A88BDDC8}"/>
            </c:ext>
          </c:extLst>
        </c:ser>
        <c:ser>
          <c:idx val="1"/>
          <c:order val="1"/>
          <c:spPr>
            <a:solidFill>
              <a:srgbClr val="FFF200"/>
            </a:solidFill>
            <a:ln w="0">
              <a:solidFill>
                <a:schemeClr val="bg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B53-49B9-B540-2DA7A88BDDC8}"/>
              </c:ext>
            </c:extLst>
          </c:dPt>
          <c:dPt>
            <c:idx val="1"/>
            <c:invertIfNegative val="0"/>
            <c:bubble3D val="0"/>
            <c:spPr>
              <a:solidFill>
                <a:srgbClr val="0064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53-49B9-B540-2DA7A88BDDC8}"/>
              </c:ext>
            </c:extLst>
          </c:dPt>
          <c:dPt>
            <c:idx val="2"/>
            <c:invertIfNegative val="0"/>
            <c:bubble3D val="0"/>
            <c:spPr>
              <a:solidFill>
                <a:srgbClr val="0064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C1C-6647-BB86-92142FA9FC4B}"/>
              </c:ext>
            </c:extLst>
          </c:dPt>
          <c:dPt>
            <c:idx val="3"/>
            <c:invertIfNegative val="0"/>
            <c:bubble3D val="0"/>
            <c:spPr>
              <a:solidFill>
                <a:srgbClr val="5C99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AB53-49B9-B540-2DA7A88BDDC8}"/>
              </c:ext>
            </c:extLst>
          </c:dPt>
          <c:dPt>
            <c:idx val="4"/>
            <c:invertIfNegative val="0"/>
            <c:bubble3D val="0"/>
            <c:spPr>
              <a:solidFill>
                <a:srgbClr val="5C99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AB53-49B9-B540-2DA7A88BDDC8}"/>
              </c:ext>
            </c:extLst>
          </c:dPt>
          <c:dPt>
            <c:idx val="5"/>
            <c:invertIfNegative val="0"/>
            <c:bubble3D val="0"/>
            <c:spPr>
              <a:solidFill>
                <a:srgbClr val="5C99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AB53-49B9-B540-2DA7A88BDDC8}"/>
              </c:ext>
            </c:extLst>
          </c:dPt>
          <c:dPt>
            <c:idx val="6"/>
            <c:invertIfNegative val="0"/>
            <c:bubble3D val="0"/>
            <c:spPr>
              <a:solidFill>
                <a:srgbClr val="5C99F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675-494C-83CF-A7000F17C5A2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8.387846448294857E-2"/>
                      <c:h val="5.51163544375167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B53-49B9-B540-2DA7A88BDDC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1C-6647-BB86-92142FA9FC4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B53-49B9-B540-2DA7A88BDDC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B53-49B9-B540-2DA7A88BDDC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B53-49B9-B540-2DA7A88BDDC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75-494C-83CF-A7000F17C5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'FB Field &amp; Price Projection'!$G$4:$G$10</c:f>
              <c:numCache>
                <c:formatCode>"$"#,##0</c:formatCode>
                <c:ptCount val="7"/>
                <c:pt idx="1">
                  <c:v>54.9</c:v>
                </c:pt>
                <c:pt idx="2">
                  <c:v>6.8771929824561369</c:v>
                </c:pt>
                <c:pt idx="3">
                  <c:v>26.075465079700876</c:v>
                </c:pt>
                <c:pt idx="4">
                  <c:v>19.257517218057217</c:v>
                </c:pt>
                <c:pt idx="5">
                  <c:v>23.251865257992883</c:v>
                </c:pt>
                <c:pt idx="6">
                  <c:v>36.729999999999997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53-49B9-B540-2DA7A88BDDC8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 &amp; Price Projection'!$D$4:$D$10</c:f>
              <c:numCache>
                <c:formatCode>"$"#,##0</c:formatCode>
                <c:ptCount val="7"/>
                <c:pt idx="1">
                  <c:v>106.44</c:v>
                </c:pt>
                <c:pt idx="2">
                  <c:v>66.672206832871652</c:v>
                </c:pt>
                <c:pt idx="3">
                  <c:v>76.817563646729141</c:v>
                </c:pt>
                <c:pt idx="4">
                  <c:v>76.605437359628311</c:v>
                </c:pt>
                <c:pt idx="5">
                  <c:v>74.335428513730847</c:v>
                </c:pt>
                <c:pt idx="6">
                  <c:v>91.72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53-49B9-B540-2DA7A88BDDC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overlap val="100"/>
        <c:axId val="1749888912"/>
        <c:axId val="1749893232"/>
      </c:barChart>
      <c:scatterChart>
        <c:scatterStyle val="lineMarker"/>
        <c:varyColors val="0"/>
        <c:ser>
          <c:idx val="3"/>
          <c:order val="3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'FB Field &amp; Price Projection'!$C$13:$C$17</c:f>
              <c:numCache>
                <c:formatCode>_(* #,##0.00_);_(* \(#,##0.00\);_(* "-"??_);_(@_)</c:formatCode>
                <c:ptCount val="5"/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v>Intrinsic Average</c:v>
                </c15:tx>
              </c15:filteredSeriesTitle>
            </c:ext>
            <c:ext xmlns:c16="http://schemas.microsoft.com/office/drawing/2014/chart" uri="{C3380CC4-5D6E-409C-BE32-E72D297353CC}">
              <c16:uniqueId val="{0000000D-AB53-49B9-B540-2DA7A88B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3562704"/>
        <c:axId val="1693562224"/>
      </c:scatterChart>
      <c:catAx>
        <c:axId val="1749888912"/>
        <c:scaling>
          <c:orientation val="minMax"/>
        </c:scaling>
        <c:delete val="1"/>
        <c:axPos val="l"/>
        <c:majorTickMark val="none"/>
        <c:minorTickMark val="none"/>
        <c:tickLblPos val="nextTo"/>
        <c:crossAx val="1749893232"/>
        <c:crosses val="autoZero"/>
        <c:auto val="1"/>
        <c:lblAlgn val="ctr"/>
        <c:lblOffset val="100"/>
        <c:noMultiLvlLbl val="0"/>
      </c:catAx>
      <c:valAx>
        <c:axId val="1749893232"/>
        <c:scaling>
          <c:orientation val="minMax"/>
          <c:max val="160"/>
          <c:min val="50"/>
        </c:scaling>
        <c:delete val="0"/>
        <c:axPos val="b"/>
        <c:numFmt formatCode="&quot;$&quot;#,##0" sourceLinked="1"/>
        <c:majorTickMark val="out"/>
        <c:minorTickMark val="none"/>
        <c:tickLblPos val="nextTo"/>
        <c:spPr>
          <a:solidFill>
            <a:schemeClr val="bg1"/>
          </a:solidFill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1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749888912"/>
        <c:crosses val="autoZero"/>
        <c:crossBetween val="between"/>
      </c:valAx>
      <c:valAx>
        <c:axId val="1693562224"/>
        <c:scaling>
          <c:orientation val="minMax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693562704"/>
        <c:crosses val="max"/>
        <c:crossBetween val="midCat"/>
      </c:valAx>
      <c:valAx>
        <c:axId val="1693562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3562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1">
          <a:solidFill>
            <a:schemeClr val="tx1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226279</xdr:colOff>
      <xdr:row>6</xdr:row>
      <xdr:rowOff>32178</xdr:rowOff>
    </xdr:from>
    <xdr:to>
      <xdr:col>30</xdr:col>
      <xdr:colOff>823939</xdr:colOff>
      <xdr:row>20</xdr:row>
      <xdr:rowOff>144183</xdr:rowOff>
    </xdr:to>
    <xdr:graphicFrame macro="">
      <xdr:nvGraphicFramePr>
        <xdr:cNvPr id="124" name="Chart 1">
          <a:extLst>
            <a:ext uri="{FF2B5EF4-FFF2-40B4-BE49-F238E27FC236}">
              <a16:creationId xmlns:a16="http://schemas.microsoft.com/office/drawing/2014/main" id="{4A538293-7D03-D2D5-F4F4-D92577446C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648480</xdr:colOff>
      <xdr:row>6</xdr:row>
      <xdr:rowOff>83214</xdr:rowOff>
    </xdr:from>
    <xdr:to>
      <xdr:col>25</xdr:col>
      <xdr:colOff>86620</xdr:colOff>
      <xdr:row>20</xdr:row>
      <xdr:rowOff>82896</xdr:rowOff>
    </xdr:to>
    <xdr:graphicFrame macro="">
      <xdr:nvGraphicFramePr>
        <xdr:cNvPr id="125" name="Chart 2">
          <a:extLst>
            <a:ext uri="{FF2B5EF4-FFF2-40B4-BE49-F238E27FC236}">
              <a16:creationId xmlns:a16="http://schemas.microsoft.com/office/drawing/2014/main" id="{6DBA62F3-DCA9-DA67-9BF4-55C5BF4BCB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207434</xdr:colOff>
      <xdr:row>71</xdr:row>
      <xdr:rowOff>245534</xdr:rowOff>
    </xdr:from>
    <xdr:to>
      <xdr:col>19</xdr:col>
      <xdr:colOff>376767</xdr:colOff>
      <xdr:row>81</xdr:row>
      <xdr:rowOff>245534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FE52D22-E0A0-E72A-69D0-70AD931542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347134</xdr:colOff>
      <xdr:row>83</xdr:row>
      <xdr:rowOff>93134</xdr:rowOff>
    </xdr:from>
    <xdr:to>
      <xdr:col>19</xdr:col>
      <xdr:colOff>516467</xdr:colOff>
      <xdr:row>96</xdr:row>
      <xdr:rowOff>194734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6DADBD2-1D12-6743-B33A-F15469CD0D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294639</xdr:colOff>
      <xdr:row>4</xdr:row>
      <xdr:rowOff>111760</xdr:rowOff>
    </xdr:from>
    <xdr:to>
      <xdr:col>15</xdr:col>
      <xdr:colOff>284480</xdr:colOff>
      <xdr:row>27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5FA1F1-C8BB-08D4-1983-756568569A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245619</xdr:colOff>
      <xdr:row>10</xdr:row>
      <xdr:rowOff>18540</xdr:rowOff>
    </xdr:from>
    <xdr:to>
      <xdr:col>14</xdr:col>
      <xdr:colOff>556205</xdr:colOff>
      <xdr:row>12</xdr:row>
      <xdr:rowOff>150620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62B98980-74BE-AC21-1FA8-50F856D3745A}"/>
            </a:ext>
          </a:extLst>
        </xdr:cNvPr>
        <xdr:cNvCxnSpPr/>
      </xdr:nvCxnSpPr>
      <xdr:spPr>
        <a:xfrm flipV="1">
          <a:off x="7170364" y="1965255"/>
          <a:ext cx="3601461" cy="521423"/>
        </a:xfrm>
        <a:prstGeom prst="line">
          <a:avLst/>
        </a:prstGeom>
        <a:ln w="38100">
          <a:solidFill>
            <a:srgbClr val="0044BF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274695</xdr:colOff>
      <xdr:row>6</xdr:row>
      <xdr:rowOff>179643</xdr:rowOff>
    </xdr:from>
    <xdr:to>
      <xdr:col>14</xdr:col>
      <xdr:colOff>585612</xdr:colOff>
      <xdr:row>17</xdr:row>
      <xdr:rowOff>8454</xdr:rowOff>
    </xdr:to>
    <xdr:sp macro="" textlink="">
      <xdr:nvSpPr>
        <xdr:cNvPr id="27" name="Triangle 26">
          <a:extLst>
            <a:ext uri="{FF2B5EF4-FFF2-40B4-BE49-F238E27FC236}">
              <a16:creationId xmlns:a16="http://schemas.microsoft.com/office/drawing/2014/main" id="{A527C6A4-9F6E-31CF-64A0-908643CE1718}"/>
            </a:ext>
          </a:extLst>
        </xdr:cNvPr>
        <xdr:cNvSpPr/>
      </xdr:nvSpPr>
      <xdr:spPr>
        <a:xfrm rot="15886533">
          <a:off x="8015237" y="531875"/>
          <a:ext cx="1970198" cy="3601792"/>
        </a:xfrm>
        <a:prstGeom prst="triangle">
          <a:avLst>
            <a:gd name="adj" fmla="val 49845"/>
          </a:avLst>
        </a:prstGeom>
        <a:solidFill>
          <a:srgbClr val="5C99FF">
            <a:alpha val="50000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271639</xdr:colOff>
      <xdr:row>6</xdr:row>
      <xdr:rowOff>15146</xdr:rowOff>
    </xdr:from>
    <xdr:to>
      <xdr:col>14</xdr:col>
      <xdr:colOff>490314</xdr:colOff>
      <xdr:row>12</xdr:row>
      <xdr:rowOff>161867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151F8C9B-ABD6-36FC-5E98-FBDD5EAF8DDA}"/>
            </a:ext>
          </a:extLst>
        </xdr:cNvPr>
        <xdr:cNvCxnSpPr/>
      </xdr:nvCxnSpPr>
      <xdr:spPr>
        <a:xfrm flipV="1">
          <a:off x="7196384" y="1183175"/>
          <a:ext cx="3509550" cy="1314750"/>
        </a:xfrm>
        <a:prstGeom prst="line">
          <a:avLst/>
        </a:prstGeom>
        <a:ln w="44450">
          <a:solidFill>
            <a:srgbClr val="0044B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272953</xdr:colOff>
      <xdr:row>12</xdr:row>
      <xdr:rowOff>159653</xdr:rowOff>
    </xdr:from>
    <xdr:to>
      <xdr:col>14</xdr:col>
      <xdr:colOff>650425</xdr:colOff>
      <xdr:row>16</xdr:row>
      <xdr:rowOff>28702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F7ED2422-FF61-F443-9CA4-7F926EE04135}"/>
            </a:ext>
          </a:extLst>
        </xdr:cNvPr>
        <xdr:cNvCxnSpPr/>
      </xdr:nvCxnSpPr>
      <xdr:spPr>
        <a:xfrm>
          <a:off x="7197698" y="2495711"/>
          <a:ext cx="3668347" cy="647736"/>
        </a:xfrm>
        <a:prstGeom prst="line">
          <a:avLst/>
        </a:prstGeom>
        <a:ln w="44450">
          <a:solidFill>
            <a:srgbClr val="0044B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458163</xdr:colOff>
      <xdr:row>4</xdr:row>
      <xdr:rowOff>112532</xdr:rowOff>
    </xdr:from>
    <xdr:to>
      <xdr:col>17</xdr:col>
      <xdr:colOff>144683</xdr:colOff>
      <xdr:row>7</xdr:row>
      <xdr:rowOff>64304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7876EECD-D60A-1A45-0A3E-50952C6AF2B1}"/>
            </a:ext>
          </a:extLst>
        </xdr:cNvPr>
        <xdr:cNvSpPr txBox="1"/>
      </xdr:nvSpPr>
      <xdr:spPr>
        <a:xfrm>
          <a:off x="10658353" y="884178"/>
          <a:ext cx="1663862" cy="5305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Bull: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$106.44</a:t>
          </a:r>
        </a:p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52.9%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Upside</a:t>
          </a:r>
          <a:endParaRPr lang="en-US" sz="15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14</xdr:col>
      <xdr:colOff>522145</xdr:colOff>
      <xdr:row>9</xdr:row>
      <xdr:rowOff>55945</xdr:rowOff>
    </xdr:from>
    <xdr:to>
      <xdr:col>17</xdr:col>
      <xdr:colOff>208665</xdr:colOff>
      <xdr:row>12</xdr:row>
      <xdr:rowOff>7717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314316CF-5E08-3C45-824D-D0EFFF096D00}"/>
            </a:ext>
          </a:extLst>
        </xdr:cNvPr>
        <xdr:cNvSpPr txBox="1"/>
      </xdr:nvSpPr>
      <xdr:spPr>
        <a:xfrm>
          <a:off x="10722335" y="1792148"/>
          <a:ext cx="1663862" cy="5305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Base: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$82.15</a:t>
          </a:r>
        </a:p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18.0%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Upside</a:t>
          </a:r>
          <a:endParaRPr lang="en-US" sz="15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14</xdr:col>
      <xdr:colOff>618279</xdr:colOff>
      <xdr:row>14</xdr:row>
      <xdr:rowOff>119928</xdr:rowOff>
    </xdr:from>
    <xdr:to>
      <xdr:col>17</xdr:col>
      <xdr:colOff>304799</xdr:colOff>
      <xdr:row>17</xdr:row>
      <xdr:rowOff>71699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36766683-F548-664B-B8DF-4A3B253D1965}"/>
            </a:ext>
          </a:extLst>
        </xdr:cNvPr>
        <xdr:cNvSpPr txBox="1"/>
      </xdr:nvSpPr>
      <xdr:spPr>
        <a:xfrm>
          <a:off x="10818469" y="2820687"/>
          <a:ext cx="1663862" cy="5305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Bear: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$51.54</a:t>
          </a:r>
        </a:p>
        <a:p>
          <a:r>
            <a:rPr lang="en-US" sz="1500" b="1">
              <a:latin typeface="Times New Roman" panose="02020603050405020304" pitchFamily="18" charset="0"/>
              <a:cs typeface="Times New Roman" panose="02020603050405020304" pitchFamily="18" charset="0"/>
            </a:rPr>
            <a:t>-26.0%</a:t>
          </a:r>
          <a:r>
            <a:rPr lang="en-US" sz="15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Downside</a:t>
          </a:r>
          <a:endParaRPr lang="en-US" sz="15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656473</xdr:colOff>
      <xdr:row>2</xdr:row>
      <xdr:rowOff>29682</xdr:rowOff>
    </xdr:from>
    <xdr:to>
      <xdr:col>16</xdr:col>
      <xdr:colOff>151621</xdr:colOff>
      <xdr:row>20</xdr:row>
      <xdr:rowOff>68298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8C96F5-4090-0B6F-D558-FB2C13B031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300629</xdr:colOff>
      <xdr:row>3</xdr:row>
      <xdr:rowOff>67490</xdr:rowOff>
    </xdr:from>
    <xdr:to>
      <xdr:col>10</xdr:col>
      <xdr:colOff>208600</xdr:colOff>
      <xdr:row>4</xdr:row>
      <xdr:rowOff>98165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938A450-155F-48A9-32E9-5EEA2A4653A4}"/>
            </a:ext>
          </a:extLst>
        </xdr:cNvPr>
        <xdr:cNvSpPr txBox="1"/>
      </xdr:nvSpPr>
      <xdr:spPr>
        <a:xfrm>
          <a:off x="6938986" y="674881"/>
          <a:ext cx="1233189" cy="220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52-Week Range</a:t>
          </a:r>
        </a:p>
      </xdr:txBody>
    </xdr:sp>
    <xdr:clientData/>
  </xdr:twoCellAnchor>
  <xdr:twoCellAnchor>
    <xdr:from>
      <xdr:col>8</xdr:col>
      <xdr:colOff>477569</xdr:colOff>
      <xdr:row>5</xdr:row>
      <xdr:rowOff>140132</xdr:rowOff>
    </xdr:from>
    <xdr:to>
      <xdr:col>10</xdr:col>
      <xdr:colOff>60370</xdr:colOff>
      <xdr:row>7</xdr:row>
      <xdr:rowOff>6137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86C6C05-5E5E-2647-A94E-A4D4EDDDFE85}"/>
            </a:ext>
          </a:extLst>
        </xdr:cNvPr>
        <xdr:cNvSpPr txBox="1"/>
      </xdr:nvSpPr>
      <xdr:spPr>
        <a:xfrm>
          <a:off x="7115926" y="1127910"/>
          <a:ext cx="908019" cy="246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P/E</a:t>
          </a:r>
        </a:p>
      </xdr:txBody>
    </xdr:sp>
    <xdr:clientData/>
  </xdr:twoCellAnchor>
  <xdr:twoCellAnchor>
    <xdr:from>
      <xdr:col>8</xdr:col>
      <xdr:colOff>476587</xdr:colOff>
      <xdr:row>8</xdr:row>
      <xdr:rowOff>4174</xdr:rowOff>
    </xdr:from>
    <xdr:to>
      <xdr:col>10</xdr:col>
      <xdr:colOff>59388</xdr:colOff>
      <xdr:row>9</xdr:row>
      <xdr:rowOff>60371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687F584-C976-9647-9530-DDC883DA1264}"/>
            </a:ext>
          </a:extLst>
        </xdr:cNvPr>
        <xdr:cNvSpPr txBox="1"/>
      </xdr:nvSpPr>
      <xdr:spPr>
        <a:xfrm>
          <a:off x="7114944" y="1562531"/>
          <a:ext cx="908019" cy="246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EV/EBIT</a:t>
          </a:r>
        </a:p>
      </xdr:txBody>
    </xdr:sp>
    <xdr:clientData/>
  </xdr:twoCellAnchor>
  <xdr:twoCellAnchor>
    <xdr:from>
      <xdr:col>8</xdr:col>
      <xdr:colOff>463336</xdr:colOff>
      <xdr:row>10</xdr:row>
      <xdr:rowOff>33868</xdr:rowOff>
    </xdr:from>
    <xdr:to>
      <xdr:col>10</xdr:col>
      <xdr:colOff>128842</xdr:colOff>
      <xdr:row>11</xdr:row>
      <xdr:rowOff>90066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376DEE0-4DB9-754B-8F2B-B29ABC13A7E1}"/>
            </a:ext>
          </a:extLst>
        </xdr:cNvPr>
        <xdr:cNvSpPr txBox="1"/>
      </xdr:nvSpPr>
      <xdr:spPr>
        <a:xfrm>
          <a:off x="7101693" y="1972612"/>
          <a:ext cx="990724" cy="246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EV/EBITDA</a:t>
          </a:r>
        </a:p>
      </xdr:txBody>
    </xdr:sp>
    <xdr:clientData/>
  </xdr:twoCellAnchor>
  <xdr:twoCellAnchor>
    <xdr:from>
      <xdr:col>8</xdr:col>
      <xdr:colOff>443948</xdr:colOff>
      <xdr:row>12</xdr:row>
      <xdr:rowOff>75834</xdr:rowOff>
    </xdr:from>
    <xdr:to>
      <xdr:col>10</xdr:col>
      <xdr:colOff>109454</xdr:colOff>
      <xdr:row>13</xdr:row>
      <xdr:rowOff>132031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53BC32B-A00B-FA48-87F8-8DC69078288F}"/>
            </a:ext>
          </a:extLst>
        </xdr:cNvPr>
        <xdr:cNvSpPr txBox="1"/>
      </xdr:nvSpPr>
      <xdr:spPr>
        <a:xfrm>
          <a:off x="7082305" y="2394964"/>
          <a:ext cx="990724" cy="246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LBO</a:t>
          </a:r>
        </a:p>
      </xdr:txBody>
    </xdr:sp>
    <xdr:clientData/>
  </xdr:twoCellAnchor>
  <xdr:twoCellAnchor>
    <xdr:from>
      <xdr:col>8</xdr:col>
      <xdr:colOff>442967</xdr:colOff>
      <xdr:row>14</xdr:row>
      <xdr:rowOff>130069</xdr:rowOff>
    </xdr:from>
    <xdr:to>
      <xdr:col>10</xdr:col>
      <xdr:colOff>108473</xdr:colOff>
      <xdr:row>15</xdr:row>
      <xdr:rowOff>186267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859FE12-BA6D-3142-8E4F-DC2056D0790C}"/>
            </a:ext>
          </a:extLst>
        </xdr:cNvPr>
        <xdr:cNvSpPr txBox="1"/>
      </xdr:nvSpPr>
      <xdr:spPr>
        <a:xfrm>
          <a:off x="7768474" y="2829586"/>
          <a:ext cx="990724" cy="246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DCF</a:t>
          </a:r>
        </a:p>
      </xdr:txBody>
    </xdr:sp>
    <xdr:clientData/>
  </xdr:twoCellAnchor>
  <xdr:twoCellAnchor>
    <xdr:from>
      <xdr:col>7</xdr:col>
      <xdr:colOff>478551</xdr:colOff>
      <xdr:row>3</xdr:row>
      <xdr:rowOff>42947</xdr:rowOff>
    </xdr:from>
    <xdr:to>
      <xdr:col>8</xdr:col>
      <xdr:colOff>239276</xdr:colOff>
      <xdr:row>11</xdr:row>
      <xdr:rowOff>110435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AB7D375F-992A-8E80-554D-E905ADC8E3B2}"/>
            </a:ext>
          </a:extLst>
        </xdr:cNvPr>
        <xdr:cNvSpPr/>
      </xdr:nvSpPr>
      <xdr:spPr>
        <a:xfrm>
          <a:off x="7116908" y="650338"/>
          <a:ext cx="447875" cy="1589034"/>
        </a:xfrm>
        <a:prstGeom prst="rect">
          <a:avLst/>
        </a:prstGeom>
        <a:solidFill>
          <a:srgbClr val="5C99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477569</xdr:colOff>
      <xdr:row>12</xdr:row>
      <xdr:rowOff>24541</xdr:rowOff>
    </xdr:from>
    <xdr:to>
      <xdr:col>8</xdr:col>
      <xdr:colOff>238294</xdr:colOff>
      <xdr:row>16</xdr:row>
      <xdr:rowOff>12271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25FCDC5F-8B07-E749-A23A-FD4130573AAF}"/>
            </a:ext>
          </a:extLst>
        </xdr:cNvPr>
        <xdr:cNvSpPr/>
      </xdr:nvSpPr>
      <xdr:spPr>
        <a:xfrm>
          <a:off x="7115926" y="2343671"/>
          <a:ext cx="447875" cy="748503"/>
        </a:xfrm>
        <a:prstGeom prst="rect">
          <a:avLst/>
        </a:prstGeom>
        <a:solidFill>
          <a:srgbClr val="0064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521497</xdr:colOff>
      <xdr:row>3</xdr:row>
      <xdr:rowOff>165652</xdr:rowOff>
    </xdr:from>
    <xdr:to>
      <xdr:col>8</xdr:col>
      <xdr:colOff>171787</xdr:colOff>
      <xdr:row>12</xdr:row>
      <xdr:rowOff>30677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CB87206-B31A-5ACA-ABCA-1C269C441EF9}"/>
            </a:ext>
          </a:extLst>
        </xdr:cNvPr>
        <xdr:cNvSpPr txBox="1"/>
      </xdr:nvSpPr>
      <xdr:spPr>
        <a:xfrm rot="16200000">
          <a:off x="6540192" y="1392705"/>
          <a:ext cx="1576764" cy="3374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500" b="1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Trading</a:t>
          </a:r>
        </a:p>
      </xdr:txBody>
    </xdr:sp>
    <xdr:clientData/>
  </xdr:twoCellAnchor>
  <xdr:twoCellAnchor>
    <xdr:from>
      <xdr:col>7</xdr:col>
      <xdr:colOff>526651</xdr:colOff>
      <xdr:row>9</xdr:row>
      <xdr:rowOff>176941</xdr:rowOff>
    </xdr:from>
    <xdr:to>
      <xdr:col>8</xdr:col>
      <xdr:colOff>176941</xdr:colOff>
      <xdr:row>18</xdr:row>
      <xdr:rowOff>41966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A334520-1520-A04F-B14C-E80E4A7A15ED}"/>
            </a:ext>
          </a:extLst>
        </xdr:cNvPr>
        <xdr:cNvSpPr txBox="1"/>
      </xdr:nvSpPr>
      <xdr:spPr>
        <a:xfrm rot="16200000">
          <a:off x="6545346" y="2545154"/>
          <a:ext cx="1576764" cy="3374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500" b="1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Intrinsic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E6E7E8"/>
      </a:accent1>
      <a:accent2>
        <a:srgbClr val="F57A16"/>
      </a:accent2>
      <a:accent3>
        <a:srgbClr val="1E8496"/>
      </a:accent3>
      <a:accent4>
        <a:srgbClr val="E6E7E8"/>
      </a:accent4>
      <a:accent5>
        <a:srgbClr val="ED942D"/>
      </a:accent5>
      <a:accent6>
        <a:srgbClr val="1E2A39"/>
      </a:accent6>
      <a:hlink>
        <a:srgbClr val="E6E7E8"/>
      </a:hlink>
      <a:folHlink>
        <a:srgbClr val="E6E7E8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F8ECE-93FC-8949-B541-F5705E70F8BE}">
  <sheetPr>
    <tabColor rgb="FFE7F2FF"/>
  </sheetPr>
  <dimension ref="B2:B9"/>
  <sheetViews>
    <sheetView showGridLines="0" zoomScale="137" workbookViewId="0">
      <selection activeCell="L3" sqref="L3"/>
    </sheetView>
  </sheetViews>
  <sheetFormatPr baseColWidth="10" defaultColWidth="10.83203125" defaultRowHeight="15" x14ac:dyDescent="0.2"/>
  <cols>
    <col min="1" max="1" width="5.5" style="573" customWidth="1"/>
    <col min="2" max="16384" width="10.83203125" style="573"/>
  </cols>
  <sheetData>
    <row r="2" spans="2:2" ht="33" x14ac:dyDescent="0.4">
      <c r="B2" s="572" t="s">
        <v>444</v>
      </c>
    </row>
    <row r="3" spans="2:2" ht="97" x14ac:dyDescent="1.05">
      <c r="B3" s="574" t="s">
        <v>409</v>
      </c>
    </row>
    <row r="6" spans="2:2" ht="33" x14ac:dyDescent="0.4">
      <c r="B6" s="575" t="s">
        <v>441</v>
      </c>
    </row>
    <row r="8" spans="2:2" ht="26" x14ac:dyDescent="0.3">
      <c r="B8" s="576" t="s">
        <v>442</v>
      </c>
    </row>
    <row r="9" spans="2:2" ht="26" x14ac:dyDescent="0.3">
      <c r="B9" s="576" t="s">
        <v>443</v>
      </c>
    </row>
  </sheetData>
  <pageMargins left="0.7" right="0.7" top="0.75" bottom="0.75" header="0.3" footer="0.3"/>
  <pageSetup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C58EC-1615-6743-9B6C-4443DBE91125}">
  <sheetPr>
    <tabColor rgb="FFE7F2FF"/>
  </sheetPr>
  <dimension ref="A1"/>
  <sheetViews>
    <sheetView workbookViewId="0">
      <selection activeCell="E25" sqref="E25:E26"/>
    </sheetView>
  </sheetViews>
  <sheetFormatPr baseColWidth="10" defaultRowHeight="15" x14ac:dyDescent="0.2"/>
  <cols>
    <col min="1" max="16384" width="10.83203125" style="100"/>
  </cols>
  <sheetData/>
  <pageMargins left="0.7" right="0.7" top="0.75" bottom="0.75" header="0.3" footer="0.3"/>
  <pageSetup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37473-76EB-49F8-81AE-C7C2CE717B84}">
  <sheetPr>
    <tabColor rgb="FF0044BF"/>
  </sheetPr>
  <dimension ref="A2:AI88"/>
  <sheetViews>
    <sheetView showGridLines="0" zoomScale="150" zoomScaleNormal="170" workbookViewId="0">
      <selection activeCell="O17" sqref="O17"/>
    </sheetView>
  </sheetViews>
  <sheetFormatPr baseColWidth="10" defaultColWidth="11.5" defaultRowHeight="16" outlineLevelRow="1" outlineLevelCol="1" x14ac:dyDescent="0.2"/>
  <cols>
    <col min="1" max="1" width="13.6640625" style="256" bestFit="1" customWidth="1"/>
    <col min="2" max="2" width="38.5" style="256" customWidth="1"/>
    <col min="3" max="3" width="13" style="256" bestFit="1" customWidth="1"/>
    <col min="4" max="4" width="10.1640625" style="256" bestFit="1" customWidth="1"/>
    <col min="5" max="5" width="10.1640625" style="7" customWidth="1"/>
    <col min="6" max="9" width="10.1640625" style="7" hidden="1" customWidth="1" outlineLevel="1"/>
    <col min="10" max="13" width="11.5" style="256" hidden="1" customWidth="1" outlineLevel="1"/>
    <col min="14" max="14" width="11.5" style="256" collapsed="1"/>
    <col min="15" max="19" width="11.5" style="256"/>
    <col min="20" max="20" width="26.6640625" style="256" bestFit="1" customWidth="1"/>
    <col min="21" max="21" width="4.83203125" style="256" customWidth="1"/>
    <col min="22" max="22" width="7.1640625" style="256" customWidth="1"/>
    <col min="23" max="27" width="11.6640625" style="256" customWidth="1"/>
    <col min="28" max="16384" width="11.5" style="256"/>
  </cols>
  <sheetData>
    <row r="2" spans="1:25" s="106" customFormat="1" ht="15.75" customHeight="1" x14ac:dyDescent="0.2">
      <c r="B2" s="746" t="s">
        <v>0</v>
      </c>
      <c r="C2" s="746"/>
      <c r="D2" s="746"/>
      <c r="E2" s="252"/>
      <c r="F2" s="748" t="s">
        <v>341</v>
      </c>
      <c r="G2" s="748"/>
      <c r="H2" s="748"/>
      <c r="I2" s="748"/>
      <c r="J2" s="748"/>
      <c r="K2" s="589"/>
      <c r="L2" s="589"/>
      <c r="M2" s="589"/>
      <c r="N2" s="253" t="s">
        <v>58</v>
      </c>
      <c r="O2" s="253"/>
      <c r="P2" s="253"/>
      <c r="Q2" s="253"/>
      <c r="R2" s="253"/>
      <c r="S2" s="253"/>
      <c r="T2" s="254" t="s">
        <v>176</v>
      </c>
    </row>
    <row r="3" spans="1:25" s="106" customFormat="1" ht="18" customHeight="1" x14ac:dyDescent="0.25">
      <c r="B3" s="746"/>
      <c r="C3" s="746"/>
      <c r="D3" s="746"/>
      <c r="E3" s="252"/>
      <c r="F3" s="293">
        <f>G3-1</f>
        <v>2021</v>
      </c>
      <c r="G3" s="293">
        <f>H3-1</f>
        <v>2022</v>
      </c>
      <c r="H3" s="293">
        <f>I3-1</f>
        <v>2023</v>
      </c>
      <c r="I3" s="293">
        <f>J3-1</f>
        <v>2024</v>
      </c>
      <c r="J3" s="293">
        <v>2025</v>
      </c>
      <c r="K3" s="125">
        <f>'Three Statement Model'!M1</f>
        <v>1</v>
      </c>
      <c r="L3" s="125">
        <f>'Three Statement Model'!N1</f>
        <v>2</v>
      </c>
      <c r="M3" s="125">
        <f>'Three Statement Model'!O1</f>
        <v>3</v>
      </c>
      <c r="N3" s="669" t="s">
        <v>554</v>
      </c>
      <c r="O3" s="255">
        <v>2027</v>
      </c>
      <c r="P3" s="255">
        <f>+O3+1</f>
        <v>2028</v>
      </c>
      <c r="Q3" s="255">
        <f>+P3+1</f>
        <v>2029</v>
      </c>
      <c r="R3" s="255">
        <f>+Q3+1</f>
        <v>2030</v>
      </c>
      <c r="S3" s="255">
        <f>+R3+1</f>
        <v>2031</v>
      </c>
      <c r="T3" s="254" t="s">
        <v>177</v>
      </c>
    </row>
    <row r="4" spans="1:25" x14ac:dyDescent="0.2">
      <c r="B4" s="470"/>
      <c r="E4" s="256"/>
      <c r="F4" s="256"/>
      <c r="G4" s="256"/>
      <c r="H4" s="256"/>
      <c r="I4" s="256"/>
    </row>
    <row r="5" spans="1:25" x14ac:dyDescent="0.2">
      <c r="B5" s="472" t="s">
        <v>436</v>
      </c>
      <c r="C5" s="472" t="str">
        <f>SUMMARY!B2</f>
        <v>Base</v>
      </c>
      <c r="D5" s="471"/>
      <c r="E5" s="471"/>
      <c r="F5" s="253"/>
      <c r="G5" s="253"/>
      <c r="H5" s="253"/>
      <c r="I5" s="253"/>
      <c r="J5" s="253"/>
      <c r="K5" s="253"/>
      <c r="L5" s="253"/>
      <c r="M5" s="253"/>
      <c r="N5" s="257"/>
      <c r="O5" s="257"/>
      <c r="P5" s="257"/>
      <c r="Q5" s="257"/>
      <c r="R5" s="257"/>
      <c r="S5" s="257"/>
    </row>
    <row r="6" spans="1:25" ht="5" customHeight="1" x14ac:dyDescent="0.2">
      <c r="B6" s="258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9"/>
      <c r="O6" s="259"/>
      <c r="P6" s="259"/>
      <c r="Q6" s="259"/>
      <c r="R6" s="259"/>
      <c r="S6" s="259"/>
    </row>
    <row r="7" spans="1:25" x14ac:dyDescent="0.2">
      <c r="B7" s="303" t="s">
        <v>51</v>
      </c>
      <c r="C7" s="304"/>
      <c r="D7" s="304"/>
      <c r="E7" s="304"/>
      <c r="F7" s="305">
        <f>'Three Statement Model'!D40</f>
        <v>47262</v>
      </c>
      <c r="G7" s="305">
        <f>'Three Statement Model'!E40</f>
        <v>51761</v>
      </c>
      <c r="H7" s="305">
        <f>'Three Statement Model'!F40</f>
        <v>46298</v>
      </c>
      <c r="I7" s="305">
        <f>'Three Statement Model'!G40</f>
        <v>43452</v>
      </c>
      <c r="J7" s="305">
        <f>'Three Statement Model'!L40</f>
        <v>41528</v>
      </c>
      <c r="K7" s="305">
        <f>'Three Statement Model'!M40</f>
        <v>8767</v>
      </c>
      <c r="L7" s="305">
        <f>'Three Statement Model'!N40</f>
        <v>9438</v>
      </c>
      <c r="M7" s="305">
        <f>'Three Statement Model'!O40</f>
        <v>9672</v>
      </c>
      <c r="N7" s="305">
        <f>'Three Statement Model'!P40</f>
        <v>13682.258231803309</v>
      </c>
      <c r="O7" s="305">
        <f>'Three Statement Model'!R40</f>
        <v>43944.600694254084</v>
      </c>
      <c r="P7" s="305">
        <f>'Three Statement Model'!S40</f>
        <v>42194.983657719909</v>
      </c>
      <c r="Q7" s="305">
        <f>'Three Statement Model'!T40</f>
        <v>38180.890354063871</v>
      </c>
      <c r="R7" s="305">
        <f>'Three Statement Model'!U40</f>
        <v>37484.896634894547</v>
      </c>
      <c r="S7" s="305">
        <f>'Three Statement Model'!V40</f>
        <v>36989.612194905058</v>
      </c>
      <c r="U7" s="258"/>
    </row>
    <row r="8" spans="1:25" x14ac:dyDescent="0.2">
      <c r="B8" s="265" t="s">
        <v>178</v>
      </c>
      <c r="E8" s="256"/>
      <c r="F8" s="261" t="s">
        <v>179</v>
      </c>
      <c r="G8" s="262">
        <f>G7/'Three Statement Model'!D40-1</f>
        <v>9.5192755279082553E-2</v>
      </c>
      <c r="H8" s="262">
        <f>H7/'Three Statement Model'!E40-1</f>
        <v>-0.10554278317652288</v>
      </c>
      <c r="I8" s="262">
        <f>I7/'Three Statement Model'!F40-1</f>
        <v>-6.1471337854766994E-2</v>
      </c>
      <c r="J8" s="262">
        <f>J7/'Three Statement Model'!G40-1</f>
        <v>-4.4278744361594402E-2</v>
      </c>
      <c r="K8" s="667"/>
      <c r="L8" s="667"/>
      <c r="M8" s="667"/>
      <c r="N8" s="262">
        <f>N7/'Three Statement Model'!K40-1</f>
        <v>-1.9052320633545339E-2</v>
      </c>
      <c r="O8" s="262">
        <f>O7/'Three Statement Model'!Q40-1</f>
        <v>5.7396175098846758E-2</v>
      </c>
      <c r="P8" s="262">
        <f>P7/O7-1</f>
        <v>-3.9814152566937433E-2</v>
      </c>
      <c r="Q8" s="262">
        <f>Q7/P7-1</f>
        <v>-9.513200280435774E-2</v>
      </c>
      <c r="R8" s="262">
        <f>R7/Q7-1</f>
        <v>-1.8228849896247734E-2</v>
      </c>
      <c r="S8" s="262">
        <f>S7/R7-1</f>
        <v>-1.32129066491391E-2</v>
      </c>
    </row>
    <row r="9" spans="1:25" x14ac:dyDescent="0.2">
      <c r="E9" s="256"/>
      <c r="F9" s="256"/>
      <c r="G9" s="256"/>
      <c r="H9" s="256"/>
      <c r="I9" s="256"/>
      <c r="N9" s="262"/>
      <c r="O9" s="262"/>
      <c r="P9" s="262"/>
      <c r="Q9" s="262"/>
      <c r="R9" s="262"/>
      <c r="S9" s="262"/>
      <c r="T9" s="263"/>
      <c r="U9" s="263"/>
      <c r="V9" s="263"/>
      <c r="W9" s="263"/>
      <c r="X9" s="263"/>
    </row>
    <row r="10" spans="1:25" x14ac:dyDescent="0.2">
      <c r="B10" s="303" t="s">
        <v>78</v>
      </c>
      <c r="C10" s="304"/>
      <c r="D10" s="304"/>
      <c r="E10" s="304"/>
      <c r="F10" s="305">
        <f>'Three Statement Model'!D44</f>
        <v>10573</v>
      </c>
      <c r="G10" s="305">
        <f>'Three Statement Model'!E44</f>
        <v>11640</v>
      </c>
      <c r="H10" s="305">
        <f>'Three Statement Model'!F44</f>
        <v>9912</v>
      </c>
      <c r="I10" s="305">
        <f>'Three Statement Model'!G44</f>
        <v>9603</v>
      </c>
      <c r="J10" s="305">
        <f>'Three Statement Model'!L44</f>
        <v>9385</v>
      </c>
      <c r="K10" s="305">
        <f>'Three Statement Model'!M44</f>
        <v>2049</v>
      </c>
      <c r="L10" s="305">
        <f>'Three Statement Model'!N44</f>
        <v>2194</v>
      </c>
      <c r="M10" s="305">
        <f>'Three Statement Model'!O44</f>
        <v>2248</v>
      </c>
      <c r="N10" s="305">
        <f>'Three Statement Model'!P44</f>
        <v>2941.5631453720071</v>
      </c>
      <c r="O10" s="305">
        <f>'Three Statement Model'!R44</f>
        <v>10012.277733586991</v>
      </c>
      <c r="P10" s="305">
        <f>'Three Statement Model'!S44</f>
        <v>9828.7609147845105</v>
      </c>
      <c r="Q10" s="305">
        <f>'Three Statement Model'!T44</f>
        <v>9225.2621829460622</v>
      </c>
      <c r="R10" s="305">
        <f>'Three Statement Model'!U44</f>
        <v>9196.3166015786301</v>
      </c>
      <c r="S10" s="305">
        <f>'Three Statement Model'!V44</f>
        <v>9227.8703501115342</v>
      </c>
    </row>
    <row r="11" spans="1:25" x14ac:dyDescent="0.2">
      <c r="B11" s="260" t="s">
        <v>180</v>
      </c>
      <c r="E11" s="256"/>
      <c r="F11" s="264">
        <f>F10/F7</f>
        <v>0.22371038043248276</v>
      </c>
      <c r="G11" s="264">
        <f>G10/G7</f>
        <v>0.22487973570835185</v>
      </c>
      <c r="H11" s="264">
        <f>H10/H7</f>
        <v>0.21409132143937104</v>
      </c>
      <c r="I11" s="264">
        <f>I10/I7</f>
        <v>0.22100248550124274</v>
      </c>
      <c r="J11" s="264">
        <f>J10/J7</f>
        <v>0.22599210171450587</v>
      </c>
      <c r="K11" s="668"/>
      <c r="L11" s="668"/>
      <c r="M11" s="668"/>
      <c r="N11" s="264">
        <f t="shared" ref="N11:S11" si="0">N10/N7</f>
        <v>0.21499105597455981</v>
      </c>
      <c r="O11" s="264">
        <f t="shared" si="0"/>
        <v>0.22783863262856163</v>
      </c>
      <c r="P11" s="264">
        <f t="shared" si="0"/>
        <v>0.2329367157601982</v>
      </c>
      <c r="Q11" s="264">
        <f t="shared" si="0"/>
        <v>0.24161988097703307</v>
      </c>
      <c r="R11" s="264">
        <f t="shared" si="0"/>
        <v>0.24533391918220776</v>
      </c>
      <c r="S11" s="264">
        <f t="shared" si="0"/>
        <v>0.24947194097327086</v>
      </c>
    </row>
    <row r="12" spans="1:25" x14ac:dyDescent="0.2">
      <c r="E12" s="256"/>
      <c r="F12" s="261"/>
      <c r="G12" s="262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</row>
    <row r="13" spans="1:25" x14ac:dyDescent="0.2">
      <c r="B13" s="303" t="s">
        <v>181</v>
      </c>
      <c r="C13" s="304"/>
      <c r="D13" s="304"/>
      <c r="E13" s="304"/>
      <c r="F13" s="305">
        <f>F17+-F16</f>
        <v>3230</v>
      </c>
      <c r="G13" s="305">
        <f>G17+-G16</f>
        <v>3908</v>
      </c>
      <c r="H13" s="305">
        <f>H17+-H16</f>
        <v>2713</v>
      </c>
      <c r="I13" s="305">
        <f>I17+-I16</f>
        <v>2497</v>
      </c>
      <c r="J13" s="305">
        <f t="shared" ref="J13:R13" si="1">J17+-J16</f>
        <v>2128</v>
      </c>
      <c r="K13" s="305">
        <f>K17+-K16</f>
        <v>430</v>
      </c>
      <c r="L13" s="305">
        <f>L17+-L16</f>
        <v>462</v>
      </c>
      <c r="M13" s="305">
        <f>M17+-M16</f>
        <v>826</v>
      </c>
      <c r="N13" s="305">
        <f>N17+-N16</f>
        <v>1413.181540925536</v>
      </c>
      <c r="O13" s="305">
        <f t="shared" si="1"/>
        <v>3407.5864089422312</v>
      </c>
      <c r="P13" s="305">
        <f t="shared" si="1"/>
        <v>3145.4514772169741</v>
      </c>
      <c r="Q13" s="305">
        <f t="shared" si="1"/>
        <v>2525.8962764051412</v>
      </c>
      <c r="R13" s="305">
        <f t="shared" si="1"/>
        <v>2581.1489790668438</v>
      </c>
      <c r="S13" s="305">
        <f>S17+-S16</f>
        <v>2722.3533433440293</v>
      </c>
    </row>
    <row r="14" spans="1:25" x14ac:dyDescent="0.2">
      <c r="B14" s="265" t="s">
        <v>180</v>
      </c>
      <c r="E14" s="256"/>
      <c r="F14" s="262">
        <f>F13/F7</f>
        <v>6.8342431551775204E-2</v>
      </c>
      <c r="G14" s="262">
        <f>G13/G7</f>
        <v>7.5500859720639094E-2</v>
      </c>
      <c r="H14" s="262">
        <f>H13/H7</f>
        <v>5.8598643569916627E-2</v>
      </c>
      <c r="I14" s="262">
        <f>I13/I7</f>
        <v>5.7465709288410202E-2</v>
      </c>
      <c r="J14" s="262">
        <f>J13/J7</f>
        <v>5.1242535157002507E-2</v>
      </c>
      <c r="K14" s="667"/>
      <c r="L14" s="667"/>
      <c r="M14" s="667"/>
      <c r="N14" s="264">
        <f t="shared" ref="N14:S14" si="2">N13/N7</f>
        <v>0.10328569428990231</v>
      </c>
      <c r="O14" s="264">
        <f t="shared" si="2"/>
        <v>7.7542777840914262E-2</v>
      </c>
      <c r="P14" s="264">
        <f t="shared" si="2"/>
        <v>7.4545626151498429E-2</v>
      </c>
      <c r="Q14" s="264">
        <f t="shared" si="2"/>
        <v>6.6156033895010818E-2</v>
      </c>
      <c r="R14" s="264">
        <f t="shared" si="2"/>
        <v>6.8858372592231237E-2</v>
      </c>
      <c r="S14" s="264">
        <f t="shared" si="2"/>
        <v>7.3597780074023206E-2</v>
      </c>
    </row>
    <row r="15" spans="1:25" s="267" customFormat="1" x14ac:dyDescent="0.2">
      <c r="A15" s="256"/>
      <c r="B15" s="265"/>
      <c r="C15" s="256"/>
      <c r="D15" s="256"/>
      <c r="E15" s="256"/>
      <c r="F15" s="266"/>
      <c r="G15" s="266"/>
      <c r="H15" s="266"/>
      <c r="I15" s="266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56"/>
      <c r="U15" s="256"/>
      <c r="V15" s="256"/>
      <c r="W15" s="256"/>
      <c r="X15" s="256"/>
      <c r="Y15" s="256"/>
    </row>
    <row r="16" spans="1:25" x14ac:dyDescent="0.2">
      <c r="B16" s="256" t="s">
        <v>182</v>
      </c>
      <c r="E16" s="256"/>
      <c r="F16" s="268">
        <f t="shared" ref="F16:S16" si="3">-F22</f>
        <v>-839</v>
      </c>
      <c r="G16" s="268">
        <f t="shared" si="3"/>
        <v>-869</v>
      </c>
      <c r="H16" s="268">
        <f t="shared" si="3"/>
        <v>-918</v>
      </c>
      <c r="I16" s="268">
        <f t="shared" si="3"/>
        <v>-923</v>
      </c>
      <c r="J16" s="268">
        <f t="shared" si="3"/>
        <v>-866</v>
      </c>
      <c r="K16" s="268">
        <f t="shared" si="3"/>
        <v>-211</v>
      </c>
      <c r="L16" s="268">
        <f t="shared" si="3"/>
        <v>-211</v>
      </c>
      <c r="M16" s="268">
        <f t="shared" si="3"/>
        <v>-206</v>
      </c>
      <c r="N16" s="268">
        <f t="shared" si="3"/>
        <v>-742.57587301587296</v>
      </c>
      <c r="O16" s="268">
        <f t="shared" si="3"/>
        <v>-612.66260116589069</v>
      </c>
      <c r="P16" s="268">
        <f t="shared" si="3"/>
        <v>-483.26034685296156</v>
      </c>
      <c r="Q16" s="268">
        <f t="shared" si="3"/>
        <v>-397.6374407215817</v>
      </c>
      <c r="R16" s="268">
        <f t="shared" si="3"/>
        <v>-389.98150929758577</v>
      </c>
      <c r="S16" s="268">
        <f t="shared" si="3"/>
        <v>-450.70308856957342</v>
      </c>
      <c r="U16" s="269"/>
    </row>
    <row r="17" spans="2:19" x14ac:dyDescent="0.2">
      <c r="B17" s="303" t="s">
        <v>183</v>
      </c>
      <c r="C17" s="304"/>
      <c r="D17" s="304"/>
      <c r="E17" s="304"/>
      <c r="F17" s="306">
        <f>'Three Statement Model'!D52</f>
        <v>2391</v>
      </c>
      <c r="G17" s="306">
        <f>'Three Statement Model'!E52</f>
        <v>3039</v>
      </c>
      <c r="H17" s="306">
        <f>'Three Statement Model'!F52</f>
        <v>1795</v>
      </c>
      <c r="I17" s="306">
        <f>'Three Statement Model'!G52</f>
        <v>1574</v>
      </c>
      <c r="J17" s="306">
        <f>'Three Statement Model'!L52</f>
        <v>1262</v>
      </c>
      <c r="K17" s="306">
        <f>'Three Statement Model'!M52</f>
        <v>219</v>
      </c>
      <c r="L17" s="306">
        <f>'Three Statement Model'!N52</f>
        <v>251</v>
      </c>
      <c r="M17" s="306">
        <f>'Three Statement Model'!O52</f>
        <v>620</v>
      </c>
      <c r="N17" s="306">
        <f>'Three Statement Model'!P52</f>
        <v>670.605667909663</v>
      </c>
      <c r="O17" s="306">
        <f>'Three Statement Model'!R52</f>
        <v>2794.9238077763403</v>
      </c>
      <c r="P17" s="306">
        <f>'Three Statement Model'!S52</f>
        <v>2662.1911303640127</v>
      </c>
      <c r="Q17" s="306">
        <f>'Three Statement Model'!T52</f>
        <v>2128.2588356835595</v>
      </c>
      <c r="R17" s="306">
        <f>'Three Statement Model'!U52</f>
        <v>2191.1674697692579</v>
      </c>
      <c r="S17" s="306">
        <f>'Three Statement Model'!V52</f>
        <v>2271.6502547744558</v>
      </c>
    </row>
    <row r="18" spans="2:19" x14ac:dyDescent="0.2">
      <c r="B18" s="265"/>
      <c r="E18" s="256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</row>
    <row r="19" spans="2:19" x14ac:dyDescent="0.2">
      <c r="B19" s="256" t="s">
        <v>91</v>
      </c>
      <c r="E19" s="256"/>
      <c r="F19" s="268">
        <f>-'Three Statement Model'!E29*F17</f>
        <v>-453.84722222222223</v>
      </c>
      <c r="G19" s="268">
        <f>-'Three Statement Model'!F29*G17</f>
        <v>-628.87583892617442</v>
      </c>
      <c r="H19" s="268">
        <f>-'Three Statement Model'!G29*H17</f>
        <v>-421.89697717458358</v>
      </c>
      <c r="I19" s="268">
        <f>-'Three Statement Model'!L29*I17</f>
        <v>-452.14517374517374</v>
      </c>
      <c r="J19" s="268">
        <f>-'Three Statement Model'!Q29*J17</f>
        <v>-317.39574352718915</v>
      </c>
      <c r="K19" s="268">
        <f>-'Three Statement Model'!R29*K17</f>
        <v>-71.910447761194035</v>
      </c>
      <c r="L19" s="268">
        <f>-'Three Statement Model'!S29*L17</f>
        <v>-80.989333333333335</v>
      </c>
      <c r="M19" s="268">
        <f>-'Three Statement Model'!T29*M17</f>
        <v>-200.05333333333334</v>
      </c>
      <c r="N19" s="268">
        <f>-'Three Statement Model'!Q29*N17</f>
        <v>-168.65878334368841</v>
      </c>
      <c r="O19" s="268">
        <f>-'Three Statement Model'!R29*O17</f>
        <v>-917.73617568775353</v>
      </c>
      <c r="P19" s="268">
        <f>-'Three Statement Model'!S29*P17</f>
        <v>-859.00033806412137</v>
      </c>
      <c r="Q19" s="268">
        <f>-'Three Statement Model'!T29*Q17</f>
        <v>-686.71818431389522</v>
      </c>
      <c r="R19" s="268">
        <f>-'Three Statement Model'!U29*R17</f>
        <v>-707.01670357888054</v>
      </c>
      <c r="S19" s="268">
        <f>-'Three Statement Model'!V29*S17</f>
        <v>-732.98581554055772</v>
      </c>
    </row>
    <row r="20" spans="2:19" x14ac:dyDescent="0.2">
      <c r="B20" s="303" t="s">
        <v>184</v>
      </c>
      <c r="C20" s="304"/>
      <c r="D20" s="304"/>
      <c r="E20" s="304"/>
      <c r="F20" s="306">
        <f>SUM(F17:F19)</f>
        <v>1937.1527777777778</v>
      </c>
      <c r="G20" s="306">
        <f>SUM(G17:G19)</f>
        <v>2410.1241610738257</v>
      </c>
      <c r="H20" s="306">
        <f>SUM(H17:H19)</f>
        <v>1373.1030228254165</v>
      </c>
      <c r="I20" s="306">
        <f>SUM(I17:I19)</f>
        <v>1121.8548262548263</v>
      </c>
      <c r="J20" s="306">
        <f t="shared" ref="J20:R20" si="4">SUM(J17:J19)</f>
        <v>944.6042564728109</v>
      </c>
      <c r="K20" s="306">
        <f>SUM(K17:K19)</f>
        <v>147.08955223880596</v>
      </c>
      <c r="L20" s="306">
        <f>SUM(L17:L19)</f>
        <v>170.01066666666668</v>
      </c>
      <c r="M20" s="306">
        <f>SUM(M17:M19)</f>
        <v>419.94666666666666</v>
      </c>
      <c r="N20" s="306">
        <f>SUM(N17:N19)</f>
        <v>501.94688456597459</v>
      </c>
      <c r="O20" s="306">
        <f t="shared" si="4"/>
        <v>1877.1876320885867</v>
      </c>
      <c r="P20" s="306">
        <f t="shared" si="4"/>
        <v>1803.1907922998912</v>
      </c>
      <c r="Q20" s="306">
        <f t="shared" si="4"/>
        <v>1441.5406513696644</v>
      </c>
      <c r="R20" s="306">
        <f t="shared" si="4"/>
        <v>1484.1507661903775</v>
      </c>
      <c r="S20" s="306">
        <f>SUM(S17:S19)</f>
        <v>1538.6644392338981</v>
      </c>
    </row>
    <row r="21" spans="2:19" x14ac:dyDescent="0.2">
      <c r="B21" s="270"/>
      <c r="E21" s="256"/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</row>
    <row r="22" spans="2:19" x14ac:dyDescent="0.2">
      <c r="B22" s="256" t="s">
        <v>378</v>
      </c>
      <c r="E22" s="256"/>
      <c r="F22" s="268">
        <f>-'Three Statement Model'!D49</f>
        <v>839</v>
      </c>
      <c r="G22" s="268">
        <f>-'Three Statement Model'!E49</f>
        <v>869</v>
      </c>
      <c r="H22" s="268">
        <f>-'Three Statement Model'!F49</f>
        <v>918</v>
      </c>
      <c r="I22" s="268">
        <f>-'Three Statement Model'!G49</f>
        <v>923</v>
      </c>
      <c r="J22" s="268">
        <f>-'Three Statement Model'!L49</f>
        <v>866</v>
      </c>
      <c r="K22" s="268">
        <f>-'Three Statement Model'!M49</f>
        <v>211</v>
      </c>
      <c r="L22" s="268">
        <f>-'Three Statement Model'!N49</f>
        <v>211</v>
      </c>
      <c r="M22" s="268">
        <f>-'Three Statement Model'!O49</f>
        <v>206</v>
      </c>
      <c r="N22" s="268">
        <f>-'Three Statement Model'!Q49</f>
        <v>742.57587301587296</v>
      </c>
      <c r="O22" s="268">
        <f>-'Three Statement Model'!R49</f>
        <v>612.66260116589069</v>
      </c>
      <c r="P22" s="268">
        <f>-'Three Statement Model'!S49</f>
        <v>483.26034685296156</v>
      </c>
      <c r="Q22" s="268">
        <f>-'Three Statement Model'!T49</f>
        <v>397.6374407215817</v>
      </c>
      <c r="R22" s="268">
        <f>-'Three Statement Model'!U49</f>
        <v>389.98150929758577</v>
      </c>
      <c r="S22" s="268">
        <f>-'Three Statement Model'!V49</f>
        <v>450.70308856957342</v>
      </c>
    </row>
    <row r="23" spans="2:19" x14ac:dyDescent="0.2">
      <c r="B23" s="256" t="s">
        <v>379</v>
      </c>
      <c r="E23" s="256"/>
      <c r="F23" s="268">
        <f>'Three Statement Model'!D127</f>
        <v>-713</v>
      </c>
      <c r="G23" s="268">
        <f>'Three Statement Model'!E127</f>
        <v>-737</v>
      </c>
      <c r="H23" s="268">
        <f>'Three Statement Model'!F127</f>
        <v>-930</v>
      </c>
      <c r="I23" s="268">
        <f>'Three Statement Model'!G127</f>
        <v>-795</v>
      </c>
      <c r="J23" s="268">
        <f>'Three Statement Model'!L127</f>
        <v>-706</v>
      </c>
      <c r="K23" s="268">
        <f>'Three Statement Model'!M127</f>
        <v>-166</v>
      </c>
      <c r="L23" s="268">
        <f>'Three Statement Model'!N127</f>
        <v>-175</v>
      </c>
      <c r="M23" s="268">
        <f>'Three Statement Model'!O127</f>
        <v>-188</v>
      </c>
      <c r="N23" s="268">
        <f>'Three Statement Model'!Q127</f>
        <v>-679.8885563632283</v>
      </c>
      <c r="O23" s="268">
        <f>'Three Statement Model'!R127</f>
        <v>-705.69737836731724</v>
      </c>
      <c r="P23" s="268">
        <f>'Three Statement Model'!S127</f>
        <v>-683.09010877655544</v>
      </c>
      <c r="Q23" s="268">
        <f>'Three Statement Model'!T127</f>
        <v>-633.98527622479264</v>
      </c>
      <c r="R23" s="268">
        <f>'Three Statement Model'!U127</f>
        <v>-623.91184453990695</v>
      </c>
      <c r="S23" s="268">
        <f>'Three Statement Model'!V127</f>
        <v>-616.18100792324708</v>
      </c>
    </row>
    <row r="24" spans="2:19" x14ac:dyDescent="0.2">
      <c r="B24" s="256" t="s">
        <v>380</v>
      </c>
      <c r="E24" s="256"/>
      <c r="F24" s="268">
        <f>'Three Statement Model'!C151-'Three Statement Model'!D151</f>
        <v>306</v>
      </c>
      <c r="G24" s="268">
        <f>'Three Statement Model'!D151-'Three Statement Model'!E151</f>
        <v>-510</v>
      </c>
      <c r="H24" s="268">
        <f>'Three Statement Model'!E151-'Three Statement Model'!F151</f>
        <v>-390</v>
      </c>
      <c r="I24" s="268">
        <f>'Three Statement Model'!F151-'Three Statement Model'!G151</f>
        <v>-666</v>
      </c>
      <c r="J24" s="268">
        <f>'Three Statement Model'!G151-'Three Statement Model'!L151</f>
        <v>111</v>
      </c>
      <c r="K24" s="268">
        <f>'Three Statement Model'!H151-'Three Statement Model'!M151</f>
        <v>63</v>
      </c>
      <c r="L24" s="268">
        <f>'Three Statement Model'!I151-'Three Statement Model'!N151</f>
        <v>-16</v>
      </c>
      <c r="M24" s="268">
        <f>'Three Statement Model'!J151-'Three Statement Model'!O151</f>
        <v>-98</v>
      </c>
      <c r="N24" s="268">
        <f>'Three Statement Model'!L151-'Three Statement Model'!Q151</f>
        <v>22.385327275866075</v>
      </c>
      <c r="O24" s="268">
        <f>'Three Statement Model'!Q151-'Three Statement Model'!R151</f>
        <v>538.66994286371482</v>
      </c>
      <c r="P24" s="268">
        <f>'Three Statement Model'!R151-'Three Statement Model'!S151</f>
        <v>27.135789392194056</v>
      </c>
      <c r="Q24" s="268">
        <f>'Three Statement Model'!S151-'Three Statement Model'!T151</f>
        <v>59.095308815582939</v>
      </c>
      <c r="R24" s="268">
        <f>'Three Statement Model'!T151-'Three Statement Model'!U151</f>
        <v>11.557930697476877</v>
      </c>
      <c r="S24" s="268">
        <f>'Three Statement Model'!U151-'Three Statement Model'!V151</f>
        <v>9.1285155098303221</v>
      </c>
    </row>
    <row r="25" spans="2:19" x14ac:dyDescent="0.2">
      <c r="B25" s="303" t="s">
        <v>186</v>
      </c>
      <c r="C25" s="304"/>
      <c r="D25" s="304"/>
      <c r="E25" s="304"/>
      <c r="F25" s="306">
        <f t="shared" ref="F25:S25" si="5">SUM(F20:F24)</f>
        <v>2369.1527777777778</v>
      </c>
      <c r="G25" s="306">
        <f t="shared" si="5"/>
        <v>2032.1241610738257</v>
      </c>
      <c r="H25" s="306">
        <f t="shared" si="5"/>
        <v>971.1030228254167</v>
      </c>
      <c r="I25" s="306">
        <f t="shared" si="5"/>
        <v>583.85482625482632</v>
      </c>
      <c r="J25" s="306">
        <f t="shared" si="5"/>
        <v>1215.6042564728109</v>
      </c>
      <c r="K25" s="306">
        <f t="shared" si="5"/>
        <v>255.08955223880594</v>
      </c>
      <c r="L25" s="306">
        <f t="shared" si="5"/>
        <v>190.01066666666668</v>
      </c>
      <c r="M25" s="306">
        <f t="shared" si="5"/>
        <v>339.94666666666672</v>
      </c>
      <c r="N25" s="306">
        <f t="shared" si="5"/>
        <v>587.01952849448537</v>
      </c>
      <c r="O25" s="306">
        <f t="shared" si="5"/>
        <v>2322.822797750875</v>
      </c>
      <c r="P25" s="306">
        <f t="shared" si="5"/>
        <v>1630.4968197684912</v>
      </c>
      <c r="Q25" s="306">
        <f t="shared" si="5"/>
        <v>1264.2881246820364</v>
      </c>
      <c r="R25" s="306">
        <f t="shared" si="5"/>
        <v>1261.7783616455331</v>
      </c>
      <c r="S25" s="306">
        <f t="shared" si="5"/>
        <v>1382.3150353900548</v>
      </c>
    </row>
    <row r="26" spans="2:19" x14ac:dyDescent="0.2">
      <c r="B26" s="270"/>
      <c r="E26" s="256"/>
      <c r="F26" s="256"/>
      <c r="G26" s="256"/>
      <c r="H26" s="256"/>
      <c r="I26" s="256"/>
      <c r="J26" s="620"/>
      <c r="K26" s="620"/>
      <c r="L26" s="620"/>
      <c r="M26" s="620"/>
      <c r="N26" s="272"/>
      <c r="O26" s="272"/>
      <c r="P26" s="272"/>
      <c r="Q26" s="272"/>
      <c r="R26" s="272"/>
      <c r="S26" s="272"/>
    </row>
    <row r="27" spans="2:19" hidden="1" outlineLevel="1" x14ac:dyDescent="0.2">
      <c r="B27" s="256" t="s">
        <v>187</v>
      </c>
      <c r="E27" s="256"/>
      <c r="F27" s="256"/>
      <c r="G27" s="256"/>
      <c r="H27" s="256"/>
      <c r="I27" s="256"/>
      <c r="N27" s="273">
        <f>IF(T3="Yes",0.5,1)</f>
        <v>0.5</v>
      </c>
      <c r="O27" s="273">
        <f>N27+1</f>
        <v>1.5</v>
      </c>
      <c r="P27" s="273">
        <f>O27+1</f>
        <v>2.5</v>
      </c>
      <c r="Q27" s="273">
        <f>P27+1</f>
        <v>3.5</v>
      </c>
      <c r="R27" s="273">
        <f>Q27+1</f>
        <v>4.5</v>
      </c>
      <c r="S27" s="273">
        <f>R27+1</f>
        <v>5.5</v>
      </c>
    </row>
    <row r="28" spans="2:19" hidden="1" outlineLevel="1" x14ac:dyDescent="0.2">
      <c r="B28" s="256" t="s">
        <v>188</v>
      </c>
      <c r="E28" s="256"/>
      <c r="F28" s="256"/>
      <c r="G28" s="256"/>
      <c r="H28" s="256"/>
      <c r="I28" s="256"/>
      <c r="N28" s="273">
        <f>1/(1+$D$48)^(N27/4)</f>
        <v>0.98837756288532097</v>
      </c>
      <c r="O28" s="273">
        <f>1/(1+$D$48)^O27</f>
        <v>0.869109576454699</v>
      </c>
      <c r="P28" s="273">
        <f>1/(1+$D$48)^P27</f>
        <v>0.79151210082836432</v>
      </c>
      <c r="Q28" s="273">
        <f>1/(1+$D$48)^Q27</f>
        <v>0.72084282894837692</v>
      </c>
      <c r="R28" s="273">
        <f>1/(1+$D$48)^R27</f>
        <v>0.65648318389888372</v>
      </c>
      <c r="S28" s="273">
        <f>1/(1+$D$48)^S27</f>
        <v>0.59786981771151049</v>
      </c>
    </row>
    <row r="29" spans="2:19" collapsed="1" x14ac:dyDescent="0.2">
      <c r="B29" s="270" t="s">
        <v>189</v>
      </c>
      <c r="E29" s="256"/>
      <c r="F29" s="256"/>
      <c r="G29" s="256"/>
      <c r="H29" s="256"/>
      <c r="I29" s="256"/>
      <c r="N29" s="271">
        <f t="shared" ref="N29:S29" si="6">N25*N28</f>
        <v>580.19693093946967</v>
      </c>
      <c r="O29" s="271">
        <f t="shared" si="6"/>
        <v>2018.7875379325819</v>
      </c>
      <c r="P29" s="271">
        <f t="shared" si="6"/>
        <v>1290.5579632089252</v>
      </c>
      <c r="Q29" s="271">
        <f t="shared" si="6"/>
        <v>911.3530284016374</v>
      </c>
      <c r="R29" s="271">
        <f t="shared" si="6"/>
        <v>828.33627622777669</v>
      </c>
      <c r="S29" s="271">
        <f t="shared" si="6"/>
        <v>826.44443822853225</v>
      </c>
    </row>
    <row r="30" spans="2:19" x14ac:dyDescent="0.2">
      <c r="B30" s="270"/>
      <c r="E30" s="256"/>
      <c r="F30" s="256"/>
      <c r="G30" s="256"/>
      <c r="H30" s="256"/>
      <c r="I30" s="256"/>
      <c r="N30" s="274"/>
      <c r="O30" s="274"/>
      <c r="P30" s="274"/>
      <c r="Q30" s="274"/>
      <c r="R30" s="274"/>
      <c r="S30" s="274"/>
    </row>
    <row r="31" spans="2:19" x14ac:dyDescent="0.2">
      <c r="B31" s="270"/>
      <c r="E31" s="256"/>
      <c r="F31" s="256"/>
      <c r="G31" s="256"/>
      <c r="H31" s="256"/>
      <c r="I31" s="256"/>
      <c r="N31" s="274"/>
      <c r="O31" s="274"/>
      <c r="P31" s="274"/>
      <c r="Q31" s="274"/>
      <c r="R31" s="274"/>
      <c r="S31" s="274"/>
    </row>
    <row r="32" spans="2:19" x14ac:dyDescent="0.2">
      <c r="B32" s="270"/>
      <c r="E32" s="256"/>
      <c r="F32" s="256"/>
      <c r="G32" s="256"/>
      <c r="H32" s="256"/>
      <c r="I32" s="256"/>
      <c r="N32" s="274"/>
      <c r="O32" s="274"/>
      <c r="P32" s="274"/>
      <c r="Q32" s="274"/>
      <c r="R32" s="274"/>
      <c r="S32" s="274"/>
    </row>
    <row r="33" spans="2:19" x14ac:dyDescent="0.2">
      <c r="B33" s="749" t="s">
        <v>433</v>
      </c>
      <c r="C33" s="749"/>
      <c r="D33" s="749"/>
      <c r="E33" s="749"/>
      <c r="F33" s="749"/>
      <c r="G33" s="256"/>
      <c r="H33" s="256"/>
      <c r="I33" s="256"/>
      <c r="N33" s="274"/>
      <c r="O33" s="274"/>
      <c r="P33" s="274"/>
      <c r="Q33" s="274"/>
      <c r="R33" s="274"/>
      <c r="S33" s="274"/>
    </row>
    <row r="34" spans="2:19" x14ac:dyDescent="0.2">
      <c r="B34" s="446"/>
      <c r="C34" s="504">
        <v>2026</v>
      </c>
      <c r="D34" s="447">
        <f>C34+1</f>
        <v>2027</v>
      </c>
      <c r="E34" s="447">
        <f>+D34+1</f>
        <v>2028</v>
      </c>
      <c r="F34" s="448" t="s">
        <v>204</v>
      </c>
      <c r="G34" s="256"/>
      <c r="H34" s="256"/>
      <c r="I34" s="256"/>
      <c r="R34" s="274"/>
      <c r="S34" s="274"/>
    </row>
    <row r="35" spans="2:19" x14ac:dyDescent="0.2">
      <c r="B35" s="256" t="s">
        <v>190</v>
      </c>
      <c r="C35" s="275">
        <v>2619</v>
      </c>
      <c r="D35" s="275">
        <v>2699</v>
      </c>
      <c r="E35" s="275">
        <v>2823</v>
      </c>
      <c r="F35" s="397">
        <f>_xlfn.RRI(2,C35,E35)</f>
        <v>3.8215933857213447E-2</v>
      </c>
      <c r="G35" s="256"/>
      <c r="H35" s="256"/>
      <c r="I35" s="256"/>
      <c r="R35" s="274"/>
      <c r="S35" s="274"/>
    </row>
    <row r="36" spans="2:19" x14ac:dyDescent="0.2">
      <c r="B36" s="256" t="s">
        <v>191</v>
      </c>
      <c r="C36" s="275">
        <v>1114</v>
      </c>
      <c r="D36" s="275">
        <v>1602</v>
      </c>
      <c r="E36" s="275">
        <v>1404</v>
      </c>
      <c r="F36" s="397">
        <f>_xlfn.RRI(2,C36,E36)</f>
        <v>0.12264115361256911</v>
      </c>
      <c r="G36" s="256"/>
      <c r="H36" s="256"/>
      <c r="I36" s="256"/>
      <c r="R36" s="274"/>
      <c r="S36" s="274"/>
    </row>
    <row r="37" spans="2:19" hidden="1" outlineLevel="1" x14ac:dyDescent="0.2">
      <c r="B37" s="256" t="s">
        <v>188</v>
      </c>
      <c r="C37" s="546">
        <f>N28</f>
        <v>0.98837756288532097</v>
      </c>
      <c r="D37" s="546">
        <f>O28</f>
        <v>0.869109576454699</v>
      </c>
      <c r="E37" s="546">
        <f>P28</f>
        <v>0.79151210082836432</v>
      </c>
      <c r="F37" s="397"/>
      <c r="G37" s="256"/>
      <c r="H37" s="256"/>
      <c r="I37" s="256"/>
      <c r="R37" s="274"/>
      <c r="S37" s="274"/>
    </row>
    <row r="38" spans="2:19" collapsed="1" x14ac:dyDescent="0.2">
      <c r="B38" s="270" t="s">
        <v>192</v>
      </c>
      <c r="C38" s="274">
        <f>SUMPRODUCT(C36:E36,C37:E37)</f>
        <v>3604.6491360976988</v>
      </c>
      <c r="D38" s="276"/>
      <c r="E38" s="276"/>
      <c r="F38" s="274"/>
      <c r="G38" s="256"/>
      <c r="H38" s="256"/>
      <c r="I38" s="256"/>
      <c r="R38" s="274"/>
      <c r="S38" s="274"/>
    </row>
    <row r="39" spans="2:19" x14ac:dyDescent="0.2">
      <c r="B39" s="256" t="s">
        <v>550</v>
      </c>
      <c r="C39" s="277">
        <v>82.85</v>
      </c>
      <c r="D39" s="276"/>
      <c r="E39" s="276"/>
      <c r="F39" s="274"/>
      <c r="G39" s="256"/>
      <c r="H39" s="256"/>
      <c r="I39" s="256"/>
      <c r="R39" s="274"/>
      <c r="S39" s="274"/>
    </row>
    <row r="40" spans="2:19" x14ac:dyDescent="0.2">
      <c r="B40" s="398" t="s">
        <v>486</v>
      </c>
      <c r="C40" s="276">
        <f>C39*D59-D56</f>
        <v>18379.309999999998</v>
      </c>
      <c r="D40" s="276"/>
      <c r="E40" s="276"/>
      <c r="F40" s="274"/>
      <c r="G40" s="256"/>
      <c r="H40" s="256"/>
      <c r="I40" s="256"/>
      <c r="R40" s="274"/>
      <c r="S40" s="274"/>
    </row>
    <row r="41" spans="2:19" x14ac:dyDescent="0.2">
      <c r="B41" s="303" t="s">
        <v>233</v>
      </c>
      <c r="C41" s="449">
        <f>C40-C38</f>
        <v>14774.6608639023</v>
      </c>
      <c r="D41" s="276"/>
      <c r="E41" s="276"/>
      <c r="F41" s="274"/>
      <c r="G41" s="256"/>
      <c r="H41" s="256"/>
      <c r="I41" s="256"/>
      <c r="R41" s="274"/>
      <c r="S41" s="274"/>
    </row>
    <row r="42" spans="2:19" x14ac:dyDescent="0.2">
      <c r="B42" s="303" t="s">
        <v>232</v>
      </c>
      <c r="C42" s="449">
        <f>C41*(1+D48)^3</f>
        <v>19559.981977643125</v>
      </c>
      <c r="D42" s="276"/>
      <c r="E42" s="276"/>
      <c r="F42" s="274"/>
      <c r="G42" s="256"/>
      <c r="H42" s="256"/>
      <c r="I42" s="256"/>
      <c r="R42" s="274"/>
      <c r="S42" s="274"/>
    </row>
    <row r="43" spans="2:19" x14ac:dyDescent="0.2">
      <c r="B43" s="553" t="s">
        <v>437</v>
      </c>
      <c r="C43" s="554">
        <f>C42/E35</f>
        <v>6.9287927657255137</v>
      </c>
      <c r="D43" s="274"/>
      <c r="E43" s="274"/>
      <c r="F43" s="274"/>
      <c r="G43" s="256"/>
      <c r="H43" s="256"/>
      <c r="I43" s="256"/>
      <c r="R43" s="274"/>
      <c r="S43" s="274"/>
    </row>
    <row r="44" spans="2:19" x14ac:dyDescent="0.2">
      <c r="E44" s="256"/>
      <c r="F44" s="256"/>
      <c r="G44" s="256"/>
      <c r="H44" s="256"/>
      <c r="I44" s="256"/>
    </row>
    <row r="45" spans="2:19" x14ac:dyDescent="0.2">
      <c r="E45" s="256"/>
      <c r="F45" s="256"/>
      <c r="G45" s="256"/>
      <c r="H45" s="256"/>
      <c r="I45" s="256"/>
    </row>
    <row r="46" spans="2:19" ht="19" x14ac:dyDescent="0.25">
      <c r="B46" s="278" t="s">
        <v>224</v>
      </c>
      <c r="C46" s="279"/>
      <c r="D46" s="280"/>
    </row>
    <row r="47" spans="2:19" ht="5.25" customHeight="1" x14ac:dyDescent="0.2">
      <c r="D47" s="282"/>
    </row>
    <row r="48" spans="2:19" x14ac:dyDescent="0.2">
      <c r="B48" s="256" t="s">
        <v>193</v>
      </c>
      <c r="D48" s="283">
        <f>WACC!J10</f>
        <v>9.8037004797683069E-2</v>
      </c>
    </row>
    <row r="49" spans="2:4" x14ac:dyDescent="0.2">
      <c r="B49" s="256" t="s">
        <v>202</v>
      </c>
      <c r="D49" s="284">
        <f>C43</f>
        <v>6.9287927657255137</v>
      </c>
    </row>
    <row r="50" spans="2:4" ht="17" thickBot="1" x14ac:dyDescent="0.25">
      <c r="B50" s="256" t="s">
        <v>194</v>
      </c>
      <c r="D50" s="281">
        <f>D49*R13</f>
        <v>17884.246373418144</v>
      </c>
    </row>
    <row r="51" spans="2:4" ht="17" thickBot="1" x14ac:dyDescent="0.25">
      <c r="B51" s="399" t="s">
        <v>195</v>
      </c>
      <c r="C51" s="450"/>
      <c r="D51" s="451">
        <f>D50*R28</f>
        <v>11740.707000853607</v>
      </c>
    </row>
    <row r="52" spans="2:4" ht="5.25" customHeight="1" x14ac:dyDescent="0.2">
      <c r="D52" s="282"/>
    </row>
    <row r="53" spans="2:4" ht="17" thickBot="1" x14ac:dyDescent="0.25">
      <c r="B53" s="256" t="s">
        <v>189</v>
      </c>
      <c r="D53" s="281">
        <f>SUM(N29:R29)</f>
        <v>5629.2317367103906</v>
      </c>
    </row>
    <row r="54" spans="2:4" ht="17" thickBot="1" x14ac:dyDescent="0.25">
      <c r="B54" s="399" t="s">
        <v>196</v>
      </c>
      <c r="C54" s="450"/>
      <c r="D54" s="451">
        <f>D51+D53</f>
        <v>17369.938737563996</v>
      </c>
    </row>
    <row r="55" spans="2:4" ht="5.25" customHeight="1" x14ac:dyDescent="0.2">
      <c r="D55" s="282"/>
    </row>
    <row r="56" spans="2:4" ht="17" thickBot="1" x14ac:dyDescent="0.25">
      <c r="B56" s="256" t="s">
        <v>197</v>
      </c>
      <c r="D56" s="281">
        <f>'Three Statement Model'!L92-'Three Statement Model'!L70</f>
        <v>-434</v>
      </c>
    </row>
    <row r="57" spans="2:4" ht="17" thickBot="1" x14ac:dyDescent="0.25">
      <c r="B57" s="399" t="s">
        <v>198</v>
      </c>
      <c r="C57" s="450"/>
      <c r="D57" s="451">
        <f>D54-D56</f>
        <v>17803.938737563996</v>
      </c>
    </row>
    <row r="58" spans="2:4" ht="5.25" customHeight="1" x14ac:dyDescent="0.2">
      <c r="D58" s="282"/>
    </row>
    <row r="59" spans="2:4" x14ac:dyDescent="0.2">
      <c r="B59" s="256" t="s">
        <v>199</v>
      </c>
      <c r="D59" s="400">
        <f>'Three Statement Model'!L62</f>
        <v>216.6</v>
      </c>
    </row>
    <row r="60" spans="2:4" ht="5.25" customHeight="1" thickBot="1" x14ac:dyDescent="0.25">
      <c r="D60" s="282"/>
    </row>
    <row r="61" spans="2:4" ht="17" thickTop="1" x14ac:dyDescent="0.2">
      <c r="B61" s="452" t="s">
        <v>200</v>
      </c>
      <c r="C61" s="453"/>
      <c r="D61" s="454">
        <f>D57/D59</f>
        <v>82.197316424579853</v>
      </c>
    </row>
    <row r="62" spans="2:4" ht="17" thickBot="1" x14ac:dyDescent="0.25">
      <c r="B62" s="455" t="s">
        <v>477</v>
      </c>
      <c r="C62" s="456"/>
      <c r="D62" s="457">
        <f>SUMMARY!E3</f>
        <v>69.61</v>
      </c>
    </row>
    <row r="63" spans="2:4" ht="18" thickTop="1" thickBot="1" x14ac:dyDescent="0.25">
      <c r="B63" s="646" t="s">
        <v>201</v>
      </c>
      <c r="C63" s="458"/>
      <c r="D63" s="647">
        <f>D61/D62-1</f>
        <v>0.18082626669415114</v>
      </c>
    </row>
    <row r="64" spans="2:4" ht="17" thickTop="1" x14ac:dyDescent="0.2"/>
    <row r="66" spans="1:35" x14ac:dyDescent="0.2">
      <c r="B66" s="270"/>
      <c r="D66" s="285"/>
    </row>
    <row r="67" spans="1:35" x14ac:dyDescent="0.2">
      <c r="B67" s="270"/>
      <c r="D67" s="272"/>
      <c r="V67" s="670"/>
      <c r="W67" s="283"/>
      <c r="X67" s="283"/>
      <c r="Y67" s="283"/>
      <c r="Z67" s="283"/>
      <c r="AA67" s="283"/>
    </row>
    <row r="68" spans="1:35" ht="19" x14ac:dyDescent="0.25">
      <c r="D68" s="284"/>
      <c r="N68"/>
      <c r="O68"/>
      <c r="P68"/>
      <c r="Q68"/>
      <c r="R68"/>
      <c r="S68"/>
      <c r="T68"/>
      <c r="U68" s="106"/>
      <c r="V68" s="106"/>
      <c r="W68" s="286" t="s">
        <v>193</v>
      </c>
      <c r="X68" s="287"/>
      <c r="Y68" s="287"/>
      <c r="Z68" s="287"/>
      <c r="AA68" s="287"/>
    </row>
    <row r="69" spans="1:35" ht="17.5" customHeight="1" thickBot="1" x14ac:dyDescent="0.3">
      <c r="B69" s="255">
        <v>2027</v>
      </c>
      <c r="C69" s="255">
        <f>+B69+1</f>
        <v>2028</v>
      </c>
      <c r="D69" s="255">
        <f>+C69+1</f>
        <v>2029</v>
      </c>
      <c r="E69" s="255">
        <f>+D69+1</f>
        <v>2030</v>
      </c>
      <c r="F69" s="255">
        <f>+E69+1</f>
        <v>2031</v>
      </c>
      <c r="N69"/>
      <c r="O69"/>
      <c r="P69"/>
      <c r="Q69"/>
      <c r="R69"/>
      <c r="S69"/>
      <c r="T69"/>
      <c r="V69" s="288">
        <f>D61</f>
        <v>82.197316424579853</v>
      </c>
      <c r="W69" s="289">
        <v>8.8099999999999998E-2</v>
      </c>
      <c r="X69" s="289">
        <v>9.11E-2</v>
      </c>
      <c r="Y69" s="289">
        <v>9.4100000000000003E-2</v>
      </c>
      <c r="Z69" s="289">
        <v>0.1091</v>
      </c>
      <c r="AA69" s="289">
        <v>0.1241</v>
      </c>
    </row>
    <row r="70" spans="1:35" ht="23.25" customHeight="1" x14ac:dyDescent="0.2">
      <c r="A70" s="270" t="s">
        <v>521</v>
      </c>
      <c r="B70">
        <f>-'Three Statement Model'!R136</f>
        <v>800</v>
      </c>
      <c r="C70">
        <f>-'Three Statement Model'!S136</f>
        <v>800</v>
      </c>
      <c r="D70">
        <f>-'Three Statement Model'!T136</f>
        <v>800</v>
      </c>
      <c r="E70">
        <f>-'Three Statement Model'!U136</f>
        <v>800</v>
      </c>
      <c r="F70">
        <f>-'Three Statement Model'!V136</f>
        <v>800</v>
      </c>
      <c r="G70">
        <f>-'Three Statement Model'!W136</f>
        <v>0</v>
      </c>
      <c r="H70">
        <f>-'Three Statement Model'!X136</f>
        <v>0</v>
      </c>
      <c r="I70">
        <f>-'Three Statement Model'!Y136</f>
        <v>0</v>
      </c>
      <c r="J70">
        <f>-'Three Statement Model'!Z136</f>
        <v>0</v>
      </c>
      <c r="K70">
        <f>-'Three Statement Model'!AA136</f>
        <v>0</v>
      </c>
      <c r="L70">
        <f>-'Three Statement Model'!AB136</f>
        <v>0</v>
      </c>
      <c r="M70">
        <f>-'Three Statement Model'!AC136</f>
        <v>0</v>
      </c>
      <c r="N70"/>
      <c r="O70"/>
      <c r="P70"/>
      <c r="Q70"/>
      <c r="R70"/>
      <c r="S70"/>
      <c r="T70"/>
      <c r="U70" s="747" t="s">
        <v>203</v>
      </c>
      <c r="V70" s="290">
        <v>4</v>
      </c>
      <c r="W70" s="277">
        <f t="dataTable" ref="W70:AA74" dt2D="1" dtr="1" r1="D48" r2="D49"/>
        <v>61.155513729829046</v>
      </c>
      <c r="X70" s="277">
        <v>60.581720610181058</v>
      </c>
      <c r="Y70" s="277">
        <v>60.015870593978399</v>
      </c>
      <c r="Z70" s="277">
        <v>57.301142957940293</v>
      </c>
      <c r="AA70" s="277">
        <v>54.765872300648702</v>
      </c>
    </row>
    <row r="71" spans="1:35" ht="23.25" customHeight="1" x14ac:dyDescent="0.2">
      <c r="A71" s="687" t="s">
        <v>563</v>
      </c>
      <c r="N71"/>
      <c r="O71"/>
      <c r="P71"/>
      <c r="Q71"/>
      <c r="R71"/>
      <c r="S71"/>
      <c r="T71"/>
      <c r="U71" s="747"/>
      <c r="V71" s="290">
        <v>5</v>
      </c>
      <c r="W71" s="277">
        <v>69.305276615532932</v>
      </c>
      <c r="X71" s="277">
        <v>68.631131902622315</v>
      </c>
      <c r="Y71" s="277">
        <v>67.96643643563749</v>
      </c>
      <c r="Z71" s="277">
        <v>64.779159918468608</v>
      </c>
      <c r="AA71" s="277">
        <v>61.805218984344691</v>
      </c>
    </row>
    <row r="72" spans="1:35" ht="23.25" customHeight="1" x14ac:dyDescent="0.2">
      <c r="A72" s="265" t="s">
        <v>544</v>
      </c>
      <c r="B72" s="276">
        <v>1944.4199776587818</v>
      </c>
      <c r="C72" s="276">
        <v>2160.4934412498733</v>
      </c>
      <c r="D72" s="276">
        <v>2040.1250889326993</v>
      </c>
      <c r="E72" s="276">
        <v>1867.4872787014428</v>
      </c>
      <c r="F72" s="276">
        <f t="shared" ref="F72:M74" si="7">S$25</f>
        <v>1382.3150353900548</v>
      </c>
      <c r="G72" s="276">
        <f t="shared" si="7"/>
        <v>0</v>
      </c>
      <c r="H72" s="276">
        <f t="shared" si="7"/>
        <v>0</v>
      </c>
      <c r="I72" s="276">
        <f t="shared" si="7"/>
        <v>0</v>
      </c>
      <c r="J72" s="276">
        <f t="shared" si="7"/>
        <v>0</v>
      </c>
      <c r="K72" s="276">
        <f t="shared" si="7"/>
        <v>0</v>
      </c>
      <c r="L72" s="276">
        <f t="shared" si="7"/>
        <v>0</v>
      </c>
      <c r="M72" s="276">
        <f t="shared" si="7"/>
        <v>0</v>
      </c>
      <c r="N72"/>
      <c r="O72"/>
      <c r="P72"/>
      <c r="Q72"/>
      <c r="R72"/>
      <c r="S72"/>
      <c r="T72"/>
      <c r="U72" s="747"/>
      <c r="V72" s="290">
        <v>7</v>
      </c>
      <c r="W72" s="277">
        <v>85.604802386940705</v>
      </c>
      <c r="X72" s="277">
        <v>84.729954487504827</v>
      </c>
      <c r="Y72" s="277">
        <v>83.86756811895566</v>
      </c>
      <c r="Z72" s="277">
        <v>79.735193839525252</v>
      </c>
      <c r="AA72" s="277">
        <v>75.883912351736669</v>
      </c>
    </row>
    <row r="73" spans="1:35" ht="23.25" customHeight="1" x14ac:dyDescent="0.2">
      <c r="A73" s="265" t="s">
        <v>300</v>
      </c>
      <c r="B73" s="276">
        <v>1699.2163347977696</v>
      </c>
      <c r="C73" s="276">
        <v>1659.2785279510363</v>
      </c>
      <c r="D73" s="276">
        <v>1326.9678539762419</v>
      </c>
      <c r="E73" s="276">
        <v>1274.0373375581562</v>
      </c>
      <c r="F73" s="276">
        <f t="shared" si="7"/>
        <v>1382.3150353900548</v>
      </c>
      <c r="G73" s="276">
        <f t="shared" si="7"/>
        <v>0</v>
      </c>
      <c r="H73" s="276">
        <f t="shared" si="7"/>
        <v>0</v>
      </c>
      <c r="I73" s="276">
        <f t="shared" si="7"/>
        <v>0</v>
      </c>
      <c r="J73" s="276">
        <f t="shared" si="7"/>
        <v>0</v>
      </c>
      <c r="K73" s="276">
        <f t="shared" si="7"/>
        <v>0</v>
      </c>
      <c r="L73" s="276">
        <f t="shared" si="7"/>
        <v>0</v>
      </c>
      <c r="M73" s="276">
        <f t="shared" si="7"/>
        <v>0</v>
      </c>
      <c r="N73"/>
      <c r="O73"/>
      <c r="P73"/>
      <c r="Q73"/>
      <c r="R73"/>
      <c r="S73"/>
      <c r="T73"/>
      <c r="U73" s="747"/>
      <c r="V73" s="290">
        <v>8</v>
      </c>
      <c r="W73" s="277">
        <v>93.75456527264457</v>
      </c>
      <c r="X73" s="277">
        <v>92.779365779946062</v>
      </c>
      <c r="Y73" s="277">
        <v>91.818133960614759</v>
      </c>
      <c r="Z73" s="277">
        <v>87.213210800053574</v>
      </c>
      <c r="AA73" s="277">
        <v>82.92325903543265</v>
      </c>
    </row>
    <row r="74" spans="1:35" ht="23.25" customHeight="1" x14ac:dyDescent="0.2">
      <c r="A74" s="265" t="s">
        <v>545</v>
      </c>
      <c r="B74" s="276">
        <v>971.24506823429442</v>
      </c>
      <c r="C74" s="276">
        <v>801.80405417043323</v>
      </c>
      <c r="D74" s="276">
        <v>661.69791502936357</v>
      </c>
      <c r="E74" s="276">
        <v>655.92679553806227</v>
      </c>
      <c r="F74" s="276">
        <f t="shared" si="7"/>
        <v>1382.3150353900548</v>
      </c>
      <c r="G74" s="276">
        <f t="shared" si="7"/>
        <v>0</v>
      </c>
      <c r="H74" s="276">
        <f t="shared" si="7"/>
        <v>0</v>
      </c>
      <c r="I74" s="276">
        <f t="shared" si="7"/>
        <v>0</v>
      </c>
      <c r="J74" s="276">
        <f t="shared" si="7"/>
        <v>0</v>
      </c>
      <c r="K74" s="276">
        <f t="shared" si="7"/>
        <v>0</v>
      </c>
      <c r="L74" s="276">
        <f t="shared" si="7"/>
        <v>0</v>
      </c>
      <c r="M74" s="276">
        <f t="shared" si="7"/>
        <v>0</v>
      </c>
      <c r="U74" s="747"/>
      <c r="V74" s="290">
        <v>8.5</v>
      </c>
      <c r="W74" s="277">
        <v>97.829446715496516</v>
      </c>
      <c r="X74" s="277">
        <v>96.804071426166701</v>
      </c>
      <c r="Y74" s="277">
        <v>95.793416881444301</v>
      </c>
      <c r="Z74" s="277">
        <v>90.952219280317721</v>
      </c>
      <c r="AA74" s="277">
        <v>86.442932377280641</v>
      </c>
    </row>
    <row r="75" spans="1:35" x14ac:dyDescent="0.2">
      <c r="A75" s="256" t="s">
        <v>560</v>
      </c>
    </row>
    <row r="76" spans="1:35" ht="19" x14ac:dyDescent="0.25">
      <c r="A76" s="265" t="s">
        <v>544</v>
      </c>
      <c r="B76" s="688">
        <f>B72/B$70</f>
        <v>2.4305249720734774</v>
      </c>
      <c r="C76" s="688">
        <f>C72/C$70</f>
        <v>2.7006168015623415</v>
      </c>
      <c r="D76" s="688">
        <f>D72/D$70</f>
        <v>2.550156361165874</v>
      </c>
      <c r="E76" s="688">
        <f>E72/E$70</f>
        <v>2.3343590983768037</v>
      </c>
      <c r="U76" s="106"/>
      <c r="V76" s="106"/>
      <c r="W76" s="286"/>
      <c r="X76" s="745"/>
      <c r="Y76" s="745"/>
      <c r="Z76" s="287"/>
      <c r="AA76" s="287"/>
      <c r="AB76"/>
      <c r="AC76"/>
      <c r="AD76"/>
      <c r="AE76"/>
      <c r="AF76"/>
      <c r="AG76"/>
      <c r="AH76"/>
      <c r="AI76"/>
    </row>
    <row r="77" spans="1:35" ht="17.5" customHeight="1" thickBot="1" x14ac:dyDescent="0.25">
      <c r="A77" s="265" t="s">
        <v>300</v>
      </c>
      <c r="B77" s="688">
        <f t="shared" ref="B77:E78" si="8">B73/B$70</f>
        <v>2.1240204184972118</v>
      </c>
      <c r="C77" s="688">
        <f t="shared" si="8"/>
        <v>2.0740981599387953</v>
      </c>
      <c r="D77" s="688">
        <f t="shared" si="8"/>
        <v>1.6587098174703023</v>
      </c>
      <c r="E77" s="688">
        <f t="shared" si="8"/>
        <v>1.5925466719476953</v>
      </c>
      <c r="V77" s="288">
        <f>D63</f>
        <v>0.18082626669415114</v>
      </c>
      <c r="W77" s="289">
        <f>W69</f>
        <v>8.8099999999999998E-2</v>
      </c>
      <c r="X77" s="289">
        <f>X69</f>
        <v>9.11E-2</v>
      </c>
      <c r="Y77" s="289">
        <f>Y69</f>
        <v>9.4100000000000003E-2</v>
      </c>
      <c r="Z77" s="289">
        <f>Z69</f>
        <v>0.1091</v>
      </c>
      <c r="AA77" s="289">
        <f>AA69</f>
        <v>0.1241</v>
      </c>
      <c r="AB77"/>
      <c r="AC77"/>
      <c r="AD77"/>
      <c r="AE77"/>
      <c r="AF77"/>
      <c r="AG77"/>
      <c r="AH77"/>
      <c r="AI77"/>
    </row>
    <row r="78" spans="1:35" ht="23.25" customHeight="1" x14ac:dyDescent="0.2">
      <c r="A78" s="265" t="s">
        <v>545</v>
      </c>
      <c r="B78" s="688">
        <f t="shared" si="8"/>
        <v>1.2140563352928679</v>
      </c>
      <c r="C78" s="688">
        <f t="shared" si="8"/>
        <v>1.0022550677130415</v>
      </c>
      <c r="D78" s="688">
        <f t="shared" si="8"/>
        <v>0.82712239378670449</v>
      </c>
      <c r="E78" s="688">
        <f t="shared" si="8"/>
        <v>0.81990849442257785</v>
      </c>
      <c r="U78" s="747"/>
      <c r="V78" s="290">
        <f>V70</f>
        <v>4</v>
      </c>
      <c r="W78" s="291">
        <f t="shared" ref="W78:AA82" si="9">W70/$D$62-1</f>
        <v>-0.12145505344305352</v>
      </c>
      <c r="X78" s="291">
        <f t="shared" si="9"/>
        <v>-0.12969802312625978</v>
      </c>
      <c r="Y78" s="291">
        <f t="shared" si="9"/>
        <v>-0.13782688415488575</v>
      </c>
      <c r="Z78" s="292">
        <f t="shared" si="9"/>
        <v>-0.17682598824967255</v>
      </c>
      <c r="AA78" s="292">
        <f t="shared" si="9"/>
        <v>-0.21324705788466169</v>
      </c>
      <c r="AB78"/>
      <c r="AC78"/>
      <c r="AD78"/>
      <c r="AE78"/>
      <c r="AF78"/>
      <c r="AG78"/>
      <c r="AH78"/>
      <c r="AI78"/>
    </row>
    <row r="79" spans="1:35" ht="23.25" customHeight="1" x14ac:dyDescent="0.2">
      <c r="U79" s="747"/>
      <c r="V79" s="290">
        <f>V71</f>
        <v>5</v>
      </c>
      <c r="W79" s="291">
        <f t="shared" si="9"/>
        <v>-4.3775805842130033E-3</v>
      </c>
      <c r="X79" s="291">
        <f t="shared" si="9"/>
        <v>-1.4062176373763613E-2</v>
      </c>
      <c r="Y79" s="291">
        <f t="shared" si="9"/>
        <v>-2.3611026639312027E-2</v>
      </c>
      <c r="Z79" s="291">
        <f t="shared" si="9"/>
        <v>-6.9398650790567284E-2</v>
      </c>
      <c r="AA79" s="291">
        <f t="shared" si="9"/>
        <v>-0.11212154885297099</v>
      </c>
      <c r="AB79"/>
      <c r="AC79"/>
      <c r="AD79"/>
      <c r="AE79"/>
      <c r="AF79"/>
      <c r="AG79"/>
      <c r="AH79"/>
      <c r="AI79"/>
    </row>
    <row r="80" spans="1:35" ht="23.25" customHeight="1" x14ac:dyDescent="0.2">
      <c r="A80" s="256" t="s">
        <v>562</v>
      </c>
      <c r="U80" s="747"/>
      <c r="V80" s="290">
        <f>V72</f>
        <v>7</v>
      </c>
      <c r="W80" s="291">
        <f t="shared" si="9"/>
        <v>0.22977736513346803</v>
      </c>
      <c r="X80" s="291">
        <f t="shared" si="9"/>
        <v>0.21720951713122871</v>
      </c>
      <c r="Y80" s="291">
        <f t="shared" si="9"/>
        <v>0.20482068839183531</v>
      </c>
      <c r="Z80" s="291">
        <f t="shared" si="9"/>
        <v>0.14545602412764325</v>
      </c>
      <c r="AA80" s="291">
        <f t="shared" si="9"/>
        <v>9.0129469210410429E-2</v>
      </c>
      <c r="AB80"/>
      <c r="AC80"/>
      <c r="AD80"/>
      <c r="AE80"/>
      <c r="AF80"/>
      <c r="AG80"/>
      <c r="AH80"/>
      <c r="AI80"/>
    </row>
    <row r="81" spans="1:35" ht="23.25" customHeight="1" x14ac:dyDescent="0.2">
      <c r="A81" s="265" t="s">
        <v>544</v>
      </c>
      <c r="B81" s="256">
        <v>700.10985874290452</v>
      </c>
      <c r="C81" s="256">
        <v>773.40206206856772</v>
      </c>
      <c r="D81" s="256">
        <v>717.6181826902689</v>
      </c>
      <c r="E81" s="256">
        <v>653.20929605666493</v>
      </c>
      <c r="F81" s="256">
        <f>'Three Statement Model'!V$135</f>
        <v>-505.75887403249925</v>
      </c>
      <c r="G81" s="256">
        <f>'Three Statement Model'!W$135</f>
        <v>0</v>
      </c>
      <c r="H81" s="256">
        <f>'Three Statement Model'!X$135</f>
        <v>0</v>
      </c>
      <c r="I81" s="256">
        <f>'Three Statement Model'!Y$135</f>
        <v>0</v>
      </c>
      <c r="J81" s="256">
        <f>'Three Statement Model'!Z$135</f>
        <v>0</v>
      </c>
      <c r="K81" s="256">
        <f>'Three Statement Model'!AA$135</f>
        <v>0</v>
      </c>
      <c r="L81" s="256">
        <f>'Three Statement Model'!AB$135</f>
        <v>0</v>
      </c>
      <c r="M81" s="256">
        <f>'Three Statement Model'!AC$135</f>
        <v>0</v>
      </c>
      <c r="U81" s="747"/>
      <c r="V81" s="290">
        <f>V73</f>
        <v>8</v>
      </c>
      <c r="W81" s="291">
        <f t="shared" si="9"/>
        <v>0.34685483799230821</v>
      </c>
      <c r="X81" s="291">
        <f t="shared" si="9"/>
        <v>0.33284536388372454</v>
      </c>
      <c r="Y81" s="291">
        <f t="shared" si="9"/>
        <v>0.31903654590740937</v>
      </c>
      <c r="Z81" s="291">
        <f t="shared" si="9"/>
        <v>0.25288336158674873</v>
      </c>
      <c r="AA81" s="291">
        <f t="shared" si="9"/>
        <v>0.19125497824210091</v>
      </c>
      <c r="AB81"/>
      <c r="AC81"/>
      <c r="AD81"/>
      <c r="AE81"/>
      <c r="AF81"/>
      <c r="AG81"/>
      <c r="AH81"/>
      <c r="AI81"/>
    </row>
    <row r="82" spans="1:35" ht="23.25" customHeight="1" x14ac:dyDescent="0.2">
      <c r="A82" s="265" t="s">
        <v>300</v>
      </c>
      <c r="B82" s="690">
        <v>608.89122414106419</v>
      </c>
      <c r="C82" s="690">
        <v>586.94196881808841</v>
      </c>
      <c r="D82" s="690">
        <v>459.94592956992756</v>
      </c>
      <c r="E82" s="690">
        <v>467.34039182470661</v>
      </c>
      <c r="U82" s="747"/>
      <c r="V82" s="290">
        <f>V74</f>
        <v>8.5</v>
      </c>
      <c r="W82" s="291">
        <f t="shared" si="9"/>
        <v>0.40539357442172852</v>
      </c>
      <c r="X82" s="291">
        <f t="shared" si="9"/>
        <v>0.39066328725997268</v>
      </c>
      <c r="Y82" s="291">
        <f t="shared" si="9"/>
        <v>0.37614447466519607</v>
      </c>
      <c r="Z82" s="291">
        <f t="shared" si="9"/>
        <v>0.30659703031630103</v>
      </c>
      <c r="AA82" s="291">
        <f t="shared" si="9"/>
        <v>0.24181773275794627</v>
      </c>
      <c r="AB82"/>
      <c r="AC82"/>
      <c r="AD82"/>
      <c r="AE82"/>
      <c r="AF82"/>
      <c r="AG82"/>
      <c r="AH82"/>
      <c r="AI82"/>
    </row>
    <row r="83" spans="1:35" x14ac:dyDescent="0.2">
      <c r="A83" s="265" t="s">
        <v>545</v>
      </c>
      <c r="B83" s="256">
        <v>340.2537401493704</v>
      </c>
      <c r="C83" s="256">
        <v>283.42113206358238</v>
      </c>
      <c r="D83" s="256">
        <v>252.20240358126523</v>
      </c>
      <c r="E83" s="256">
        <v>250.87042119871083</v>
      </c>
    </row>
    <row r="85" spans="1:35" x14ac:dyDescent="0.2">
      <c r="A85" s="256" t="s">
        <v>561</v>
      </c>
    </row>
    <row r="86" spans="1:35" x14ac:dyDescent="0.2">
      <c r="A86" s="265" t="s">
        <v>544</v>
      </c>
      <c r="B86" s="689">
        <f>(B81+B$70)/($D$62*$D$59)</f>
        <v>9.9493103758727039E-2</v>
      </c>
      <c r="C86" s="689">
        <f t="shared" ref="C86:M86" si="10">(C81+C$70)/($D$62*$D$59)</f>
        <v>0.10435412693492074</v>
      </c>
      <c r="D86" s="689">
        <f t="shared" si="10"/>
        <v>0.10065432370604228</v>
      </c>
      <c r="E86" s="689">
        <f t="shared" si="10"/>
        <v>9.6382476545334092E-2</v>
      </c>
      <c r="F86" s="689">
        <f t="shared" si="10"/>
        <v>1.951521263949409E-2</v>
      </c>
      <c r="G86" s="689">
        <f t="shared" si="10"/>
        <v>0</v>
      </c>
      <c r="H86" s="689">
        <f t="shared" si="10"/>
        <v>0</v>
      </c>
      <c r="I86" s="689">
        <f t="shared" si="10"/>
        <v>0</v>
      </c>
      <c r="J86" s="689">
        <f t="shared" si="10"/>
        <v>0</v>
      </c>
      <c r="K86" s="689">
        <f t="shared" si="10"/>
        <v>0</v>
      </c>
      <c r="L86" s="689">
        <f t="shared" si="10"/>
        <v>0</v>
      </c>
      <c r="M86" s="689">
        <f t="shared" si="10"/>
        <v>0</v>
      </c>
      <c r="N86" s="689"/>
    </row>
    <row r="87" spans="1:35" x14ac:dyDescent="0.2">
      <c r="A87" s="265" t="s">
        <v>300</v>
      </c>
      <c r="B87" s="689">
        <f t="shared" ref="B87:M88" si="11">(B82+B$70)/($D$62*$D$59)</f>
        <v>9.3443130135611382E-2</v>
      </c>
      <c r="C87" s="689">
        <f t="shared" si="11"/>
        <v>9.1987370396050941E-2</v>
      </c>
      <c r="D87" s="689">
        <f t="shared" si="11"/>
        <v>8.3564500540070544E-2</v>
      </c>
      <c r="E87" s="689">
        <f t="shared" si="11"/>
        <v>8.4054929955001009E-2</v>
      </c>
      <c r="F87" s="689">
        <f t="shared" si="11"/>
        <v>5.305910266710865E-2</v>
      </c>
      <c r="G87" s="689">
        <f t="shared" si="11"/>
        <v>0</v>
      </c>
      <c r="H87" s="689">
        <f t="shared" si="11"/>
        <v>0</v>
      </c>
      <c r="I87" s="689">
        <f t="shared" si="11"/>
        <v>0</v>
      </c>
      <c r="J87" s="689">
        <f t="shared" si="11"/>
        <v>0</v>
      </c>
      <c r="K87" s="689">
        <f t="shared" si="11"/>
        <v>0</v>
      </c>
      <c r="L87" s="689">
        <f t="shared" si="11"/>
        <v>0</v>
      </c>
      <c r="M87" s="689">
        <f t="shared" si="11"/>
        <v>0</v>
      </c>
      <c r="N87" s="689"/>
    </row>
    <row r="88" spans="1:35" x14ac:dyDescent="0.2">
      <c r="A88" s="265" t="s">
        <v>545</v>
      </c>
      <c r="B88" s="689">
        <f t="shared" si="11"/>
        <v>7.5626050331425096E-2</v>
      </c>
      <c r="C88" s="689">
        <f t="shared" si="11"/>
        <v>7.1856691347345861E-2</v>
      </c>
      <c r="D88" s="689">
        <f t="shared" si="11"/>
        <v>6.978614419774605E-2</v>
      </c>
      <c r="E88" s="689">
        <f t="shared" si="11"/>
        <v>6.9697801960262637E-2</v>
      </c>
      <c r="F88" s="689">
        <f t="shared" si="11"/>
        <v>5.305910266710865E-2</v>
      </c>
      <c r="G88" s="689">
        <f t="shared" si="11"/>
        <v>0</v>
      </c>
      <c r="H88" s="689">
        <f t="shared" si="11"/>
        <v>0</v>
      </c>
      <c r="I88" s="689">
        <f t="shared" si="11"/>
        <v>0</v>
      </c>
      <c r="J88" s="689">
        <f t="shared" si="11"/>
        <v>0</v>
      </c>
      <c r="K88" s="689">
        <f t="shared" si="11"/>
        <v>0</v>
      </c>
      <c r="L88" s="689">
        <f t="shared" si="11"/>
        <v>0</v>
      </c>
      <c r="M88" s="689">
        <f t="shared" si="11"/>
        <v>0</v>
      </c>
      <c r="N88" s="689"/>
    </row>
  </sheetData>
  <mergeCells count="6">
    <mergeCell ref="X76:Y76"/>
    <mergeCell ref="B2:D3"/>
    <mergeCell ref="U70:U74"/>
    <mergeCell ref="U78:U82"/>
    <mergeCell ref="F2:J2"/>
    <mergeCell ref="B33:F33"/>
  </mergeCells>
  <conditionalFormatting sqref="W78:AA82">
    <cfRule type="colorScale" priority="1">
      <colorScale>
        <cfvo type="min"/>
        <cfvo type="num" val="0"/>
        <cfvo type="max"/>
        <color rgb="FFFF0000"/>
        <color theme="0"/>
        <color rgb="FF00B050"/>
      </colorScale>
    </cfRule>
    <cfRule type="colorScale" priority="2">
      <colorScale>
        <cfvo type="min"/>
        <cfvo type="percentile" val="50"/>
        <cfvo type="max"/>
        <color theme="5" tint="-0.249977111117893"/>
        <color theme="0"/>
        <color rgb="FF00B050"/>
      </colorScale>
    </cfRule>
    <cfRule type="colorScale" priority="3">
      <colorScale>
        <cfvo type="min"/>
        <cfvo type="percentile" val="50"/>
        <cfvo type="max"/>
        <color rgb="FFFF0000"/>
        <color theme="0"/>
        <color rgb="FF00B050"/>
      </colorScale>
    </cfRule>
    <cfRule type="colorScale" priority="4">
      <colorScale>
        <cfvo type="min"/>
        <cfvo type="percentile" val="50"/>
        <cfvo type="max"/>
        <color rgb="FFFFC000"/>
        <color theme="0"/>
        <color rgb="FF00B050"/>
      </colorScale>
    </cfRule>
    <cfRule type="colorScale" priority="5">
      <colorScale>
        <cfvo type="min"/>
        <cfvo type="percentile" val="50"/>
        <cfvo type="max"/>
        <color rgb="FFFF7128"/>
        <color theme="0"/>
        <color rgb="FF00B050"/>
      </colorScale>
    </cfRule>
    <cfRule type="colorScale" priority="6">
      <colorScale>
        <cfvo type="min"/>
        <cfvo type="max"/>
        <color rgb="FFFFC000"/>
        <color rgb="FF00B050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">
      <colorScale>
        <cfvo type="min"/>
        <cfvo type="max"/>
        <color rgb="FFFCFCFF"/>
        <color rgb="FF63BE7B"/>
      </colorScale>
    </cfRule>
    <cfRule type="colorScale" priority="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K7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T3" xr:uid="{3F98EF04-C5D9-4946-89F7-1F540C28F94C}">
      <formula1>"Yes,No"</formula1>
    </dataValidation>
  </dataValidations>
  <pageMargins left="0.7" right="0.7" top="0.75" bottom="0.75" header="0.3" footer="0.3"/>
  <pageSetup orientation="portrait" horizontalDpi="0" verticalDpi="0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92BA-D346-45E7-8623-92B4C2C53F9D}">
  <sheetPr>
    <tabColor rgb="FF0044BF"/>
  </sheetPr>
  <dimension ref="A2:AJ37"/>
  <sheetViews>
    <sheetView showGridLines="0" zoomScale="135" zoomScaleNormal="150" workbookViewId="0">
      <selection activeCell="Z10" sqref="Z10"/>
    </sheetView>
  </sheetViews>
  <sheetFormatPr baseColWidth="10" defaultColWidth="10.83203125" defaultRowHeight="15" outlineLevelCol="1" x14ac:dyDescent="0.2"/>
  <cols>
    <col min="2" max="2" width="18" bestFit="1" customWidth="1"/>
    <col min="4" max="4" width="2.33203125" hidden="1" customWidth="1" outlineLevel="1"/>
    <col min="5" max="6" width="11.83203125" hidden="1" customWidth="1" outlineLevel="1"/>
    <col min="7" max="7" width="13.6640625" hidden="1" customWidth="1" outlineLevel="1"/>
    <col min="8" max="8" width="2.33203125" hidden="1" customWidth="1" outlineLevel="1"/>
    <col min="9" max="11" width="10.83203125" hidden="1" customWidth="1" outlineLevel="1"/>
    <col min="12" max="12" width="2.33203125" hidden="1" customWidth="1" outlineLevel="1"/>
    <col min="13" max="13" width="9.83203125" customWidth="1" collapsed="1"/>
    <col min="14" max="15" width="9.83203125" customWidth="1"/>
    <col min="16" max="16" width="2.33203125" customWidth="1"/>
    <col min="17" max="17" width="11.33203125" bestFit="1" customWidth="1"/>
    <col min="21" max="21" width="29.6640625" bestFit="1" customWidth="1"/>
    <col min="25" max="25" width="14.33203125" bestFit="1" customWidth="1"/>
  </cols>
  <sheetData>
    <row r="2" spans="1:36" ht="16" thickBot="1" x14ac:dyDescent="0.25">
      <c r="B2" s="482"/>
      <c r="C2" s="482"/>
      <c r="D2" s="484"/>
      <c r="E2" s="753" t="s">
        <v>575</v>
      </c>
      <c r="F2" s="753"/>
      <c r="G2" s="753"/>
      <c r="H2" s="484"/>
      <c r="I2" s="753" t="s">
        <v>458</v>
      </c>
      <c r="J2" s="753"/>
      <c r="K2" s="753"/>
      <c r="L2" s="484"/>
      <c r="M2" s="754" t="s">
        <v>576</v>
      </c>
      <c r="N2" s="754"/>
      <c r="O2" s="754"/>
      <c r="P2" s="484"/>
      <c r="Q2" s="753" t="s">
        <v>450</v>
      </c>
      <c r="R2" s="753"/>
      <c r="S2" s="753"/>
    </row>
    <row r="3" spans="1:36" s="475" customFormat="1" ht="48" x14ac:dyDescent="0.2">
      <c r="B3" s="480" t="s">
        <v>447</v>
      </c>
      <c r="C3" s="480" t="s">
        <v>205</v>
      </c>
      <c r="D3" s="501"/>
      <c r="E3" s="481" t="s">
        <v>448</v>
      </c>
      <c r="F3" s="481" t="s">
        <v>197</v>
      </c>
      <c r="G3" s="481" t="s">
        <v>449</v>
      </c>
      <c r="H3" s="501"/>
      <c r="I3" s="480" t="s">
        <v>181</v>
      </c>
      <c r="J3" s="480" t="s">
        <v>183</v>
      </c>
      <c r="K3" s="480" t="s">
        <v>459</v>
      </c>
      <c r="L3" s="501"/>
      <c r="M3" s="725" t="s">
        <v>567</v>
      </c>
      <c r="N3" s="725" t="s">
        <v>568</v>
      </c>
      <c r="O3" s="725" t="s">
        <v>566</v>
      </c>
      <c r="P3" s="501"/>
      <c r="Q3" s="480" t="s">
        <v>452</v>
      </c>
      <c r="R3" s="480" t="s">
        <v>451</v>
      </c>
      <c r="S3" s="480" t="s">
        <v>206</v>
      </c>
      <c r="W3" s="474"/>
      <c r="X3" s="474"/>
      <c r="Y3" s="474"/>
      <c r="Z3" s="518"/>
      <c r="AA3" s="523"/>
      <c r="AB3" s="518"/>
      <c r="AC3" s="520"/>
      <c r="AD3" s="519"/>
      <c r="AE3" s="519"/>
      <c r="AF3" s="519"/>
      <c r="AI3" s="510"/>
      <c r="AJ3" s="510"/>
    </row>
    <row r="4" spans="1:36" x14ac:dyDescent="0.2">
      <c r="B4" t="s">
        <v>208</v>
      </c>
      <c r="C4" s="474" t="s">
        <v>209</v>
      </c>
      <c r="D4" s="520"/>
      <c r="E4" s="518">
        <f>INDEX(WACC!$B$2:$H$9,MATCH(C4,WACC!$C$2:$C$9,0),5)</f>
        <v>45008</v>
      </c>
      <c r="F4" s="523">
        <v>12677</v>
      </c>
      <c r="G4" s="518">
        <f>E4+F4</f>
        <v>57685</v>
      </c>
      <c r="H4" s="520"/>
      <c r="I4" s="519">
        <v>8100</v>
      </c>
      <c r="J4" s="519">
        <v>4906</v>
      </c>
      <c r="K4" s="519">
        <v>3509</v>
      </c>
      <c r="L4" s="475"/>
      <c r="M4" s="510">
        <f>106535/104740-1</f>
        <v>1.7137674240977674E-2</v>
      </c>
      <c r="N4" s="510">
        <f>(109592/104740)^(1/2)-1</f>
        <v>2.2899912713950865E-2</v>
      </c>
      <c r="O4" s="510">
        <f>4913/106535</f>
        <v>4.6116299807574979E-2</v>
      </c>
      <c r="P4" s="475"/>
      <c r="Q4" s="479">
        <f t="shared" ref="Q4:Q10" si="0">$G4/J4</f>
        <v>11.758051365674683</v>
      </c>
      <c r="R4" s="479">
        <f t="shared" ref="R4:R10" si="1">$G4/I4</f>
        <v>7.1216049382716049</v>
      </c>
      <c r="S4" s="479">
        <f t="shared" ref="S4:S10" si="2">E4/K4</f>
        <v>12.826446280991735</v>
      </c>
      <c r="T4" s="14"/>
      <c r="U4" s="14"/>
      <c r="W4" s="475"/>
      <c r="X4" s="474"/>
      <c r="Y4" s="510"/>
      <c r="Z4" s="518"/>
      <c r="AA4" s="523"/>
      <c r="AB4" s="518"/>
      <c r="AC4" s="520"/>
      <c r="AD4" s="519"/>
      <c r="AE4" s="519"/>
      <c r="AF4" s="519"/>
      <c r="AG4" s="475"/>
      <c r="AI4" s="510"/>
      <c r="AJ4" s="510"/>
    </row>
    <row r="5" spans="1:36" x14ac:dyDescent="0.2">
      <c r="B5" t="s">
        <v>453</v>
      </c>
      <c r="C5" s="474" t="s">
        <v>457</v>
      </c>
      <c r="D5" s="520"/>
      <c r="E5" s="518">
        <f>INDEX(WACC!$B$2:$H$9,MATCH(C5,WACC!$C$2:$C$9,0),5)</f>
        <v>6211</v>
      </c>
      <c r="F5" s="523">
        <v>2432</v>
      </c>
      <c r="G5" s="518">
        <f t="shared" ref="G5:G10" si="3">E5+F5</f>
        <v>8643</v>
      </c>
      <c r="H5" s="520"/>
      <c r="I5" s="519">
        <v>1778</v>
      </c>
      <c r="J5" s="519">
        <v>871</v>
      </c>
      <c r="K5" s="519">
        <v>596</v>
      </c>
      <c r="L5" s="475"/>
      <c r="M5" s="510">
        <f>20829/21589-1</f>
        <v>-3.5203112696280514E-2</v>
      </c>
      <c r="N5" s="510">
        <f>(20300/21589)^(1/2)-1</f>
        <v>-3.0312592599190613E-2</v>
      </c>
      <c r="O5" s="510">
        <f>871/20829</f>
        <v>4.1816697873157616E-2</v>
      </c>
      <c r="P5" s="475"/>
      <c r="Q5" s="479">
        <f t="shared" si="0"/>
        <v>9.9230769230769234</v>
      </c>
      <c r="R5" s="479">
        <f t="shared" si="1"/>
        <v>4.8610798650168725</v>
      </c>
      <c r="S5" s="479">
        <f t="shared" si="2"/>
        <v>10.421140939597315</v>
      </c>
      <c r="T5" s="14"/>
      <c r="W5" s="475"/>
      <c r="X5" s="474"/>
      <c r="Y5" s="510"/>
      <c r="Z5" s="518"/>
      <c r="AA5" s="523"/>
      <c r="AB5" s="518"/>
      <c r="AC5" s="520"/>
      <c r="AD5" s="519"/>
      <c r="AE5" s="519"/>
      <c r="AF5" s="519"/>
      <c r="AG5" s="475"/>
      <c r="AI5" s="510"/>
      <c r="AJ5" s="510"/>
    </row>
    <row r="6" spans="1:36" x14ac:dyDescent="0.2">
      <c r="B6" t="s">
        <v>454</v>
      </c>
      <c r="C6" s="474" t="s">
        <v>455</v>
      </c>
      <c r="D6" s="520"/>
      <c r="E6" s="518">
        <f>INDEX(WACC!$B$2:$H$9,MATCH(C6,WACC!$C$2:$C$9,0),5)</f>
        <v>2085</v>
      </c>
      <c r="F6" s="523">
        <v>0</v>
      </c>
      <c r="G6" s="518">
        <f t="shared" si="3"/>
        <v>2085</v>
      </c>
      <c r="H6" s="520"/>
      <c r="I6" s="519">
        <v>524</v>
      </c>
      <c r="J6" s="519">
        <v>252</v>
      </c>
      <c r="K6" s="519">
        <v>143</v>
      </c>
      <c r="L6" s="475"/>
      <c r="M6" s="510">
        <f>9385/9139-1</f>
        <v>2.691760586497427E-2</v>
      </c>
      <c r="N6" s="510">
        <f>(9623/9139)^(1/2)-1</f>
        <v>2.6138315449494742E-2</v>
      </c>
      <c r="O6" s="510">
        <f>253/9385</f>
        <v>2.6957911561001597E-2</v>
      </c>
      <c r="P6" s="475"/>
      <c r="Q6" s="479">
        <f t="shared" si="0"/>
        <v>8.2738095238095237</v>
      </c>
      <c r="R6" s="479">
        <f t="shared" si="1"/>
        <v>3.9790076335877864</v>
      </c>
      <c r="S6" s="479">
        <f t="shared" si="2"/>
        <v>14.58041958041958</v>
      </c>
      <c r="W6" s="474"/>
      <c r="X6" s="474"/>
      <c r="Y6" s="726"/>
      <c r="Z6" s="518"/>
      <c r="AA6" s="523"/>
      <c r="AB6" s="518"/>
      <c r="AC6" s="520"/>
      <c r="AD6" s="519"/>
      <c r="AE6" s="519"/>
      <c r="AF6" s="519"/>
      <c r="AG6" s="475"/>
      <c r="AI6" s="510"/>
      <c r="AJ6" s="510"/>
    </row>
    <row r="7" spans="1:36" x14ac:dyDescent="0.2">
      <c r="B7" s="473" t="s">
        <v>211</v>
      </c>
      <c r="C7" s="474" t="s">
        <v>212</v>
      </c>
      <c r="D7" s="520"/>
      <c r="E7" s="518">
        <f>INDEX(WACC!$B$2:$H$9,MATCH(C7,WACC!$C$2:$C$9,0),5)</f>
        <v>3663</v>
      </c>
      <c r="F7" s="523">
        <v>195</v>
      </c>
      <c r="G7" s="518">
        <f t="shared" si="3"/>
        <v>3858</v>
      </c>
      <c r="H7" s="520"/>
      <c r="I7" s="519">
        <v>707</v>
      </c>
      <c r="J7" s="519">
        <v>563</v>
      </c>
      <c r="K7" s="519">
        <v>414</v>
      </c>
      <c r="L7" s="475"/>
      <c r="M7" s="510">
        <f>6461/6091-1</f>
        <v>6.0745362009522186E-2</v>
      </c>
      <c r="N7" s="510">
        <f>(6911/6091)^(1/2)-1</f>
        <v>6.5187709441593134E-2</v>
      </c>
      <c r="O7" s="510">
        <f>563/6461</f>
        <v>8.7138213898777281E-2</v>
      </c>
      <c r="P7" s="475"/>
      <c r="Q7" s="479">
        <f t="shared" si="0"/>
        <v>6.8525754884547068</v>
      </c>
      <c r="R7" s="479">
        <f t="shared" si="1"/>
        <v>5.4568599717114568</v>
      </c>
      <c r="S7" s="479">
        <f t="shared" si="2"/>
        <v>8.8478260869565215</v>
      </c>
      <c r="W7" s="475"/>
      <c r="X7" s="474"/>
      <c r="Y7" s="510"/>
      <c r="Z7" s="518"/>
      <c r="AA7" s="523"/>
      <c r="AB7" s="518"/>
      <c r="AC7" s="520"/>
      <c r="AD7" s="519"/>
      <c r="AE7" s="519"/>
      <c r="AF7" s="519"/>
      <c r="AG7" s="475"/>
      <c r="AI7" s="510"/>
      <c r="AJ7" s="510"/>
    </row>
    <row r="8" spans="1:36" x14ac:dyDescent="0.2">
      <c r="B8" t="s">
        <v>456</v>
      </c>
      <c r="C8" s="474" t="s">
        <v>210</v>
      </c>
      <c r="D8" s="520"/>
      <c r="E8" s="518">
        <f>INDEX(WACC!$B$2:$H$9,MATCH(C8,WACC!$C$2:$C$9,0),5)</f>
        <v>18900</v>
      </c>
      <c r="F8" s="523">
        <v>1084</v>
      </c>
      <c r="G8" s="518">
        <f t="shared" si="3"/>
        <v>19984</v>
      </c>
      <c r="H8" s="520"/>
      <c r="I8" s="519">
        <v>2268</v>
      </c>
      <c r="J8" s="519">
        <v>1769</v>
      </c>
      <c r="K8" s="519">
        <v>1318</v>
      </c>
      <c r="L8" s="475"/>
      <c r="M8" s="510">
        <f>22047/17060-1</f>
        <v>0.29232121922626031</v>
      </c>
      <c r="N8" s="510">
        <f>(22777/17060)^(1/2)-1</f>
        <v>0.15547019504163018</v>
      </c>
      <c r="O8" s="510">
        <f>1770/22047</f>
        <v>8.0283031704993874E-2</v>
      </c>
      <c r="P8" s="475"/>
      <c r="Q8" s="479">
        <f t="shared" si="0"/>
        <v>11.296777840587902</v>
      </c>
      <c r="R8" s="479">
        <f t="shared" si="1"/>
        <v>8.8112874779541439</v>
      </c>
      <c r="S8" s="479">
        <f t="shared" si="2"/>
        <v>14.339908952959028</v>
      </c>
      <c r="W8" s="474"/>
      <c r="X8" s="474"/>
      <c r="Y8" s="510"/>
      <c r="Z8" s="518"/>
      <c r="AA8" s="523"/>
      <c r="AB8" s="518"/>
      <c r="AC8" s="520"/>
      <c r="AD8" s="519"/>
      <c r="AE8" s="519"/>
      <c r="AF8" s="519"/>
      <c r="AG8" s="475"/>
      <c r="AI8" s="510"/>
      <c r="AJ8" s="510"/>
    </row>
    <row r="9" spans="1:36" ht="16" thickBot="1" x14ac:dyDescent="0.25">
      <c r="B9" t="s">
        <v>213</v>
      </c>
      <c r="C9" s="474" t="s">
        <v>214</v>
      </c>
      <c r="D9" s="520"/>
      <c r="E9" s="518">
        <f>INDEX(WACC!$B$2:$H$9,MATCH(C9,WACC!$C$2:$C$9,0),5)</f>
        <v>4045</v>
      </c>
      <c r="F9" s="523">
        <v>3654</v>
      </c>
      <c r="G9" s="518">
        <f t="shared" si="3"/>
        <v>7699</v>
      </c>
      <c r="H9" s="520"/>
      <c r="I9" s="519">
        <v>1184</v>
      </c>
      <c r="J9" s="519">
        <v>928</v>
      </c>
      <c r="K9" s="519">
        <v>503</v>
      </c>
      <c r="L9" s="475"/>
      <c r="M9" s="510">
        <f>7021/7165-1</f>
        <v>-2.0097697138869552E-2</v>
      </c>
      <c r="N9" s="510">
        <f>(7132/7165)^(1/2)-1</f>
        <v>-2.3055188390540549E-3</v>
      </c>
      <c r="O9" s="510">
        <f>928/7021</f>
        <v>0.13217490385984904</v>
      </c>
      <c r="P9" s="475"/>
      <c r="Q9" s="479">
        <f t="shared" si="0"/>
        <v>8.2963362068965516</v>
      </c>
      <c r="R9" s="479">
        <f t="shared" si="1"/>
        <v>6.5025337837837842</v>
      </c>
      <c r="S9" s="479">
        <f t="shared" si="2"/>
        <v>8.0417495029821069</v>
      </c>
      <c r="W9" s="475"/>
      <c r="X9" s="474"/>
      <c r="Y9" s="510"/>
    </row>
    <row r="10" spans="1:36" ht="16" thickBot="1" x14ac:dyDescent="0.25">
      <c r="B10" s="485" t="s">
        <v>215</v>
      </c>
      <c r="C10" s="486" t="s">
        <v>216</v>
      </c>
      <c r="D10" s="521"/>
      <c r="E10" s="521">
        <f>'Three Statement Model'!L62*SUMMARY!E3</f>
        <v>15077.526</v>
      </c>
      <c r="F10" s="522">
        <f>'Three Statement Model'!O92+'Three Statement Model'!O89-'Three Statement Model'!O70</f>
        <v>242</v>
      </c>
      <c r="G10" s="521">
        <f t="shared" si="3"/>
        <v>15319.526</v>
      </c>
      <c r="H10" s="521"/>
      <c r="I10" s="521">
        <v>2823</v>
      </c>
      <c r="J10" s="521">
        <f>'Key Fin vs Street &amp; EV Bridge'!F10</f>
        <v>1848</v>
      </c>
      <c r="K10" s="521">
        <v>1406</v>
      </c>
      <c r="L10" s="521"/>
      <c r="M10" s="698">
        <f>'Key Fin vs Street &amp; EV Bridge'!F5/'Key Fin vs Street &amp; EV Bridge'!E5-1</f>
        <v>1.2897678417884695E-2</v>
      </c>
      <c r="N10" s="698">
        <f>(43223/41864)^(1/2)-1</f>
        <v>1.6101500216683551E-2</v>
      </c>
      <c r="O10" s="698">
        <f>1848/42408</f>
        <v>4.3576683644595361E-2</v>
      </c>
      <c r="P10" s="521"/>
      <c r="Q10" s="524">
        <f t="shared" si="0"/>
        <v>8.2897867965367968</v>
      </c>
      <c r="R10" s="524">
        <f t="shared" si="1"/>
        <v>5.4266829613885941</v>
      </c>
      <c r="S10" s="525">
        <f t="shared" si="2"/>
        <v>10.723702702702703</v>
      </c>
      <c r="W10" s="475"/>
      <c r="X10" s="474"/>
      <c r="Y10" s="510"/>
    </row>
    <row r="11" spans="1:36" ht="16" thickBot="1" x14ac:dyDescent="0.25">
      <c r="O11" s="473"/>
      <c r="Q11" s="716"/>
    </row>
    <row r="12" spans="1:36" x14ac:dyDescent="0.2">
      <c r="B12" s="491" t="s">
        <v>460</v>
      </c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699">
        <f>MIN(M4:M9)</f>
        <v>-3.5203112696280514E-2</v>
      </c>
      <c r="N12" s="699">
        <f>MIN(N4:N9)</f>
        <v>-3.0312592599190613E-2</v>
      </c>
      <c r="O12" s="699">
        <f>MIN(O4:O9)</f>
        <v>2.6957911561001597E-2</v>
      </c>
      <c r="P12" s="704"/>
      <c r="Q12" s="704">
        <f>MIN(Q4:Q9)</f>
        <v>6.8525754884547068</v>
      </c>
      <c r="R12" s="704">
        <f>MIN(R4:R9)</f>
        <v>3.9790076335877864</v>
      </c>
      <c r="S12" s="705">
        <f>MIN(S4:S9)</f>
        <v>8.0417495029821069</v>
      </c>
    </row>
    <row r="13" spans="1:36" ht="16" thickBot="1" x14ac:dyDescent="0.25">
      <c r="B13" s="503" t="s">
        <v>461</v>
      </c>
      <c r="C13" s="476"/>
      <c r="D13" s="476"/>
      <c r="E13" s="476"/>
      <c r="F13" s="476"/>
      <c r="G13" s="476"/>
      <c r="H13" s="476"/>
      <c r="I13" s="476"/>
      <c r="J13" s="476"/>
      <c r="K13" s="476"/>
      <c r="L13" s="476"/>
      <c r="M13" s="700">
        <f>_xlfn.PERCENTILE.INC(M4:M9,0.25)</f>
        <v>-1.0788854293907746E-2</v>
      </c>
      <c r="N13" s="700">
        <f>_xlfn.PERCENTILE.INC(N4:N9,0.25)</f>
        <v>3.9958390491971751E-3</v>
      </c>
      <c r="O13" s="700">
        <f>_xlfn.PERCENTILE.INC(O4:O9,0.25)</f>
        <v>4.2891598356761956E-2</v>
      </c>
      <c r="P13" s="706"/>
      <c r="Q13" s="706">
        <f>_xlfn.PERCENTILE.INC(Q4:Q9,0.25)</f>
        <v>8.2794411945812811</v>
      </c>
      <c r="R13" s="706">
        <f>_xlfn.PERCENTILE.INC(R4:R9,0.25)</f>
        <v>5.0100248916905183</v>
      </c>
      <c r="S13" s="707">
        <f>_xlfn.PERCENTILE.INC(S4:S9,0.25)</f>
        <v>9.2411548001167194</v>
      </c>
    </row>
    <row r="14" spans="1:36" x14ac:dyDescent="0.2">
      <c r="A14" s="488"/>
      <c r="B14" s="484" t="s">
        <v>217</v>
      </c>
      <c r="C14" s="477"/>
      <c r="D14" s="477"/>
      <c r="E14" s="477"/>
      <c r="F14" s="477"/>
      <c r="G14" s="477"/>
      <c r="H14" s="477"/>
      <c r="I14" s="477"/>
      <c r="J14" s="477"/>
      <c r="K14" s="477"/>
      <c r="L14" s="477"/>
      <c r="M14" s="701">
        <f>MEDIAN(M4:M9)</f>
        <v>2.2027640052975972E-2</v>
      </c>
      <c r="N14" s="701">
        <f>MEDIAN(N4:N9)</f>
        <v>2.4519114081722804E-2</v>
      </c>
      <c r="O14" s="701">
        <f>MEDIAN(O4:O9)</f>
        <v>6.3199665756284426E-2</v>
      </c>
      <c r="P14" s="708"/>
      <c r="Q14" s="708">
        <f>MEDIAN(Q4:Q9)</f>
        <v>9.1097065649867375</v>
      </c>
      <c r="R14" s="708">
        <f>MEDIAN(R4:R9)</f>
        <v>5.9796968777476209</v>
      </c>
      <c r="S14" s="709">
        <f>MEDIAN(S4:S9)</f>
        <v>11.623793610294525</v>
      </c>
    </row>
    <row r="15" spans="1:36" ht="16" thickBot="1" x14ac:dyDescent="0.25">
      <c r="A15" s="488"/>
      <c r="B15" s="499" t="s">
        <v>462</v>
      </c>
      <c r="C15" s="500"/>
      <c r="D15" s="500"/>
      <c r="E15" s="500"/>
      <c r="F15" s="500"/>
      <c r="G15" s="500"/>
      <c r="H15" s="500"/>
      <c r="I15" s="500"/>
      <c r="J15" s="500"/>
      <c r="K15" s="500"/>
      <c r="L15" s="500"/>
      <c r="M15" s="543">
        <f>AVERAGE(M4:M9)</f>
        <v>5.6970175251097398E-2</v>
      </c>
      <c r="N15" s="543">
        <f>AVERAGE(N4:N9)</f>
        <v>3.9513003534737377E-2</v>
      </c>
      <c r="O15" s="543">
        <f>AVERAGE(O4:O9)</f>
        <v>6.9081176450892387E-2</v>
      </c>
      <c r="P15" s="710"/>
      <c r="Q15" s="710">
        <f>AVERAGE(Q4:Q9)</f>
        <v>9.4001045580833829</v>
      </c>
      <c r="R15" s="710">
        <f>AVERAGE(R4:R9)</f>
        <v>6.1220622783876086</v>
      </c>
      <c r="S15" s="711">
        <f>AVERAGE(S4:S9)</f>
        <v>11.509581890651049</v>
      </c>
    </row>
    <row r="16" spans="1:36" x14ac:dyDescent="0.2">
      <c r="B16" s="492" t="s">
        <v>463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702">
        <f>_xlfn.PERCENTILE.INC(M4:M9,0.75)</f>
        <v>5.2288422973385207E-2</v>
      </c>
      <c r="N16" s="702">
        <f>_xlfn.PERCENTILE.INC(N4:N9,0.75)</f>
        <v>5.5425360943568536E-2</v>
      </c>
      <c r="O16" s="702">
        <f>_xlfn.PERCENTILE.INC(O4:O9,0.75)</f>
        <v>8.5424418350331432E-2</v>
      </c>
      <c r="P16" s="712"/>
      <c r="Q16" s="712">
        <f>_xlfn.PERCENTILE.INC(Q4:Q9,0.75)</f>
        <v>10.953352611210157</v>
      </c>
      <c r="R16" s="712">
        <f>_xlfn.PERCENTILE.INC(R4:R9,0.75)</f>
        <v>6.96683714964965</v>
      </c>
      <c r="S16" s="713">
        <f>_xlfn.PERCENTILE.INC(S4:S9,0.75)</f>
        <v>13.961543284967206</v>
      </c>
    </row>
    <row r="17" spans="1:22" ht="16" thickBot="1" x14ac:dyDescent="0.25">
      <c r="B17" s="493" t="s">
        <v>464</v>
      </c>
      <c r="C17" s="489"/>
      <c r="D17" s="489"/>
      <c r="E17" s="489"/>
      <c r="F17" s="489"/>
      <c r="G17" s="489"/>
      <c r="H17" s="489"/>
      <c r="I17" s="489"/>
      <c r="J17" s="489"/>
      <c r="K17" s="489"/>
      <c r="L17" s="489"/>
      <c r="M17" s="703">
        <f>MAX(M4:M9)</f>
        <v>0.29232121922626031</v>
      </c>
      <c r="N17" s="703">
        <f>MAX(N4:N9)</f>
        <v>0.15547019504163018</v>
      </c>
      <c r="O17" s="703">
        <f>MAX(O4:O9)</f>
        <v>0.13217490385984904</v>
      </c>
      <c r="P17" s="714"/>
      <c r="Q17" s="714">
        <f>MAX(Q4:Q9)</f>
        <v>11.758051365674683</v>
      </c>
      <c r="R17" s="714">
        <f>MAX(R4:R9)</f>
        <v>8.8112874779541439</v>
      </c>
      <c r="S17" s="715">
        <f>MAX(S4:S9)</f>
        <v>14.58041958041958</v>
      </c>
    </row>
    <row r="19" spans="1:22" ht="16" thickBot="1" x14ac:dyDescent="0.25">
      <c r="A19" s="14"/>
      <c r="B19" s="93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494"/>
      <c r="R19" s="494"/>
      <c r="S19" s="494"/>
    </row>
    <row r="20" spans="1:22" ht="16" thickBot="1" x14ac:dyDescent="0.25">
      <c r="A20" s="490"/>
      <c r="B20" s="750" t="s">
        <v>465</v>
      </c>
      <c r="C20" s="751"/>
      <c r="D20" s="751"/>
      <c r="E20" s="751"/>
      <c r="F20" s="751"/>
      <c r="G20" s="751"/>
      <c r="H20" s="751"/>
      <c r="I20" s="751"/>
      <c r="J20" s="751"/>
      <c r="K20" s="751"/>
      <c r="L20" s="751"/>
      <c r="M20" s="751"/>
      <c r="N20" s="751"/>
      <c r="O20" s="751"/>
      <c r="P20" s="751"/>
      <c r="Q20" s="751"/>
      <c r="R20" s="751"/>
      <c r="S20" s="752"/>
      <c r="T20" s="14"/>
    </row>
    <row r="21" spans="1:22" ht="9" customHeight="1" x14ac:dyDescent="0.2">
      <c r="B21" s="502"/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14"/>
    </row>
    <row r="22" spans="1:22" x14ac:dyDescent="0.2">
      <c r="A22" s="14"/>
      <c r="Q22" s="517" t="s">
        <v>452</v>
      </c>
      <c r="R22" s="517" t="s">
        <v>451</v>
      </c>
      <c r="S22" s="517" t="s">
        <v>206</v>
      </c>
      <c r="T22" s="14"/>
    </row>
    <row r="23" spans="1:22" ht="7" customHeight="1" thickBot="1" x14ac:dyDescent="0.25">
      <c r="A23" s="14"/>
    </row>
    <row r="24" spans="1:22" x14ac:dyDescent="0.2">
      <c r="B24" s="495" t="s">
        <v>217</v>
      </c>
      <c r="C24" s="496"/>
      <c r="D24" s="496"/>
      <c r="E24" s="496"/>
      <c r="F24" s="496"/>
      <c r="G24" s="496"/>
      <c r="H24" s="496"/>
      <c r="I24" s="496"/>
      <c r="J24" s="496"/>
      <c r="K24" s="496"/>
      <c r="L24" s="496"/>
      <c r="M24" s="496"/>
      <c r="N24" s="496"/>
      <c r="O24" s="496"/>
      <c r="P24" s="496"/>
      <c r="Q24" s="514">
        <f>(Q14*J$10-'DCF Valuation &amp; Sensitivity'!$D$56)/'Three Statement Model'!$L$62</f>
        <v>79.726397655103838</v>
      </c>
      <c r="R24" s="514">
        <f>(R14*I$10-'DCF Valuation &amp; Sensitivity'!$D$56)/'Three Statement Model'!$L$62</f>
        <v>79.938523942204682</v>
      </c>
      <c r="S24" s="515">
        <f>(S14*K$10)/'Three Statement Model'!$L$62</f>
        <v>75.452695365069729</v>
      </c>
    </row>
    <row r="25" spans="1:22" ht="16" thickBot="1" x14ac:dyDescent="0.25">
      <c r="B25" s="497" t="s">
        <v>461</v>
      </c>
      <c r="C25" s="498"/>
      <c r="D25" s="498"/>
      <c r="E25" s="498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516">
        <f>(Q13*J$10-'DCF Valuation &amp; Sensitivity'!$D$56)/'Three Statement Model'!$L$62</f>
        <v>72.642693109816292</v>
      </c>
      <c r="R25" s="516">
        <f>(R13*I$10-'DCF Valuation &amp; Sensitivity'!$D$56)/'Three Statement Model'!$L$62</f>
        <v>67.300555259659887</v>
      </c>
      <c r="S25" s="516">
        <f>(S13*K$10-'DCF Valuation &amp; Sensitivity'!$D$56)/'Three Statement Model'!$L$62</f>
        <v>61.990136883490806</v>
      </c>
      <c r="T25" s="665"/>
      <c r="U25" s="717" t="s">
        <v>572</v>
      </c>
      <c r="V25" s="718"/>
    </row>
    <row r="26" spans="1:22" ht="16" thickBot="1" x14ac:dyDescent="0.25">
      <c r="U26" s="720" t="s">
        <v>571</v>
      </c>
      <c r="V26" s="721">
        <v>3180.8373562260595</v>
      </c>
    </row>
    <row r="27" spans="1:22" ht="16" thickBot="1" x14ac:dyDescent="0.25">
      <c r="B27" s="750" t="s">
        <v>553</v>
      </c>
      <c r="C27" s="751"/>
      <c r="D27" s="751"/>
      <c r="E27" s="751"/>
      <c r="F27" s="751"/>
      <c r="G27" s="751"/>
      <c r="H27" s="751"/>
      <c r="I27" s="751"/>
      <c r="J27" s="751"/>
      <c r="K27" s="751"/>
      <c r="L27" s="751"/>
      <c r="M27" s="751"/>
      <c r="N27" s="751"/>
      <c r="O27" s="751"/>
      <c r="P27" s="751"/>
      <c r="Q27" s="751"/>
      <c r="R27" s="751"/>
      <c r="S27" s="752"/>
      <c r="U27" s="720" t="s">
        <v>300</v>
      </c>
      <c r="V27" s="721">
        <v>2794.9238077763403</v>
      </c>
    </row>
    <row r="28" spans="1:22" x14ac:dyDescent="0.2">
      <c r="B28" s="502"/>
      <c r="C28" s="502"/>
      <c r="D28" s="502"/>
      <c r="E28" s="502"/>
      <c r="F28" s="502"/>
      <c r="G28" s="502"/>
      <c r="H28" s="502"/>
      <c r="I28" s="502"/>
      <c r="J28" s="502"/>
      <c r="K28" s="502"/>
      <c r="L28" s="502"/>
      <c r="M28" s="502"/>
      <c r="N28" s="502"/>
      <c r="O28" s="502"/>
      <c r="P28" s="502"/>
      <c r="Q28" s="502"/>
      <c r="R28" s="502"/>
      <c r="S28" s="502"/>
      <c r="U28" s="720" t="s">
        <v>545</v>
      </c>
      <c r="V28" s="721">
        <v>1642.6143499668497</v>
      </c>
    </row>
    <row r="29" spans="1:22" x14ac:dyDescent="0.2">
      <c r="Q29" s="517" t="s">
        <v>452</v>
      </c>
      <c r="R29" s="517" t="s">
        <v>451</v>
      </c>
      <c r="S29" s="517" t="s">
        <v>206</v>
      </c>
      <c r="U29" s="719" t="s">
        <v>573</v>
      </c>
      <c r="V29" s="722">
        <f>SUMMARY!E20</f>
        <v>6.8537607372942029</v>
      </c>
    </row>
    <row r="30" spans="1:22" ht="16" thickBot="1" x14ac:dyDescent="0.25">
      <c r="U30" s="717" t="s">
        <v>200</v>
      </c>
      <c r="V30" s="718"/>
    </row>
    <row r="31" spans="1:22" x14ac:dyDescent="0.2">
      <c r="B31" s="495" t="s">
        <v>217</v>
      </c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661">
        <f>SUMMARY!$E$3/Q24-1</f>
        <v>-0.12688893456427497</v>
      </c>
      <c r="R31" s="661">
        <f>SUMMARY!$E$3/R24-1</f>
        <v>-0.12920583759680349</v>
      </c>
      <c r="S31" s="663">
        <f>SUMMARY!$E$3/S24-1</f>
        <v>-7.7435210721107817E-2</v>
      </c>
      <c r="U31" s="719" t="s">
        <v>571</v>
      </c>
      <c r="V31" s="723">
        <f>($V$29*V26-$F$10)/SUMMARY!$E$15</f>
        <v>99.53230925125051</v>
      </c>
    </row>
    <row r="32" spans="1:22" ht="16" thickBot="1" x14ac:dyDescent="0.25">
      <c r="B32" s="497" t="s">
        <v>461</v>
      </c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662">
        <f>SUMMARY!$E$3/Q25-1</f>
        <v>-4.1748082016062837E-2</v>
      </c>
      <c r="R32" s="662">
        <f>SUMMARY!$E$3/R25-1</f>
        <v>3.431538909938836E-2</v>
      </c>
      <c r="S32" s="664">
        <f>SUMMARY!$E$3/S25-1</f>
        <v>0.12292057252318345</v>
      </c>
      <c r="U32" s="719" t="s">
        <v>300</v>
      </c>
      <c r="V32" s="723">
        <f>($V$29*V27-$F$10)/SUMMARY!$E$15</f>
        <v>87.32104828008444</v>
      </c>
    </row>
    <row r="33" spans="21:22" x14ac:dyDescent="0.2">
      <c r="U33" s="719" t="s">
        <v>545</v>
      </c>
      <c r="V33" s="723">
        <f>($V$29*V28-$F$10)/SUMMARY!$E$15</f>
        <v>50.859121598886588</v>
      </c>
    </row>
    <row r="34" spans="21:22" x14ac:dyDescent="0.2">
      <c r="U34" s="717" t="s">
        <v>574</v>
      </c>
      <c r="V34" s="718"/>
    </row>
    <row r="35" spans="21:22" x14ac:dyDescent="0.2">
      <c r="U35" s="719" t="s">
        <v>571</v>
      </c>
      <c r="V35" s="724">
        <f>V31/SUMMARY!$E$3-1</f>
        <v>0.42985647538069971</v>
      </c>
    </row>
    <row r="36" spans="21:22" x14ac:dyDescent="0.2">
      <c r="U36" s="719" t="s">
        <v>300</v>
      </c>
      <c r="V36" s="724">
        <f>V32/SUMMARY!$E$3-1</f>
        <v>0.25443252808625827</v>
      </c>
    </row>
    <row r="37" spans="21:22" x14ac:dyDescent="0.2">
      <c r="U37" s="719" t="s">
        <v>545</v>
      </c>
      <c r="V37" s="724">
        <f>V33/SUMMARY!$E$3-1</f>
        <v>-0.26937046977608692</v>
      </c>
    </row>
  </sheetData>
  <mergeCells count="6">
    <mergeCell ref="B27:S27"/>
    <mergeCell ref="I2:K2"/>
    <mergeCell ref="Q2:S2"/>
    <mergeCell ref="E2:G2"/>
    <mergeCell ref="B20:S20"/>
    <mergeCell ref="M2:O2"/>
  </mergeCells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80ADA-F53E-D04A-B19D-7DBF5CC95F9E}">
  <sheetPr>
    <tabColor rgb="FF0044BF"/>
  </sheetPr>
  <dimension ref="A2:R81"/>
  <sheetViews>
    <sheetView showGridLines="0" tabSelected="1" topLeftCell="G1" zoomScale="226" workbookViewId="0">
      <selection activeCell="Q13" sqref="Q13"/>
    </sheetView>
  </sheetViews>
  <sheetFormatPr baseColWidth="10" defaultColWidth="8.1640625" defaultRowHeight="15" x14ac:dyDescent="0.2"/>
  <cols>
    <col min="1" max="1" width="1.5" bestFit="1" customWidth="1"/>
    <col min="2" max="2" width="25.1640625" customWidth="1"/>
    <col min="3" max="9" width="10.1640625" customWidth="1"/>
    <col min="12" max="12" width="19.6640625" bestFit="1" customWidth="1"/>
    <col min="13" max="13" width="10.5" bestFit="1" customWidth="1"/>
    <col min="14" max="14" width="19" bestFit="1" customWidth="1"/>
    <col min="15" max="15" width="10.6640625" bestFit="1" customWidth="1"/>
    <col min="16" max="16" width="8.83203125" bestFit="1" customWidth="1"/>
  </cols>
  <sheetData>
    <row r="2" spans="1:16" x14ac:dyDescent="0.2">
      <c r="B2" s="32" t="s">
        <v>557</v>
      </c>
      <c r="C2" s="459"/>
      <c r="D2" s="31"/>
      <c r="E2" s="31"/>
      <c r="F2" s="31"/>
      <c r="G2" s="31"/>
      <c r="H2" s="31"/>
      <c r="I2" s="31"/>
    </row>
    <row r="3" spans="1:16" s="32" customFormat="1" ht="14" thickBot="1" x14ac:dyDescent="0.2"/>
    <row r="4" spans="1:16" ht="16" thickBot="1" x14ac:dyDescent="0.25">
      <c r="A4" s="33"/>
      <c r="B4" s="758" t="s">
        <v>303</v>
      </c>
      <c r="C4" s="759"/>
      <c r="D4" s="759"/>
      <c r="E4" s="759"/>
      <c r="F4" s="759"/>
      <c r="G4" s="759"/>
      <c r="H4" s="759"/>
      <c r="I4" s="760"/>
    </row>
    <row r="5" spans="1:16" x14ac:dyDescent="0.2">
      <c r="K5" s="677"/>
      <c r="L5" s="763" t="s">
        <v>299</v>
      </c>
      <c r="M5" s="763" t="s">
        <v>298</v>
      </c>
      <c r="N5" s="763" t="s">
        <v>301</v>
      </c>
      <c r="O5" s="763" t="s">
        <v>247</v>
      </c>
      <c r="P5" s="764" t="s">
        <v>302</v>
      </c>
    </row>
    <row r="6" spans="1:16" x14ac:dyDescent="0.2">
      <c r="B6" s="246" t="s">
        <v>250</v>
      </c>
      <c r="C6" s="246"/>
      <c r="D6" s="246"/>
      <c r="F6" s="246" t="s">
        <v>251</v>
      </c>
      <c r="G6" s="246"/>
      <c r="H6" s="246"/>
      <c r="I6" s="246"/>
      <c r="K6" s="678" t="s">
        <v>308</v>
      </c>
      <c r="L6" s="465">
        <v>6.2</v>
      </c>
      <c r="M6" s="92">
        <f>L6*$D$7</f>
        <v>13193.6</v>
      </c>
      <c r="N6" s="92">
        <f>M6+'Three Statement Model'!$O$70-'Three Statement Model'!$O$92-'Three Statement Model'!$O$89</f>
        <v>12951.6</v>
      </c>
      <c r="O6" s="92">
        <f>N6/'Three Statement Model'!$L$62</f>
        <v>59.795013850415515</v>
      </c>
      <c r="P6" s="679">
        <f>O6/SUMMARY!$E$3-1</f>
        <v>-0.14099965737084452</v>
      </c>
    </row>
    <row r="7" spans="1:16" ht="16" thickBot="1" x14ac:dyDescent="0.25">
      <c r="B7" t="s">
        <v>252</v>
      </c>
      <c r="D7" s="462">
        <v>2128</v>
      </c>
      <c r="F7" t="s">
        <v>253</v>
      </c>
      <c r="I7" s="35">
        <v>1.4999999999999999E-2</v>
      </c>
      <c r="K7" s="683" t="s">
        <v>297</v>
      </c>
      <c r="L7" s="681">
        <v>6.9</v>
      </c>
      <c r="M7" s="682">
        <f>L7*$D$7</f>
        <v>14683.2</v>
      </c>
      <c r="N7" s="682">
        <f>M7+'Three Statement Model'!$O$70-'Three Statement Model'!$O$92-'Three Statement Model'!$O$89</f>
        <v>14441.2</v>
      </c>
      <c r="O7" s="682">
        <f>N7/'Three Statement Model'!$L$62</f>
        <v>66.672206832871652</v>
      </c>
      <c r="P7" s="684">
        <f>O7/SUMMARY!$E$3-1</f>
        <v>-4.220360820468827E-2</v>
      </c>
    </row>
    <row r="8" spans="1:16" ht="17" thickTop="1" thickBot="1" x14ac:dyDescent="0.25">
      <c r="B8" s="36" t="s">
        <v>254</v>
      </c>
      <c r="C8" s="36"/>
      <c r="D8" s="464">
        <v>6.2</v>
      </c>
      <c r="F8" t="s">
        <v>255</v>
      </c>
      <c r="I8" s="37">
        <v>2.5000000000000001E-2</v>
      </c>
      <c r="K8" s="762" t="s">
        <v>559</v>
      </c>
      <c r="L8" s="686">
        <f>AVERAGE(L6:L7)</f>
        <v>6.5500000000000007</v>
      </c>
      <c r="M8" s="680">
        <f>L8*$D$7</f>
        <v>13938.400000000001</v>
      </c>
      <c r="N8" s="680">
        <f>M8+'Three Statement Model'!$O$70-'Three Statement Model'!$O$92-'Three Statement Model'!$O$89</f>
        <v>13696.400000000001</v>
      </c>
      <c r="O8" s="680">
        <f>N8/'Three Statement Model'!$L$62</f>
        <v>63.23361034164359</v>
      </c>
      <c r="P8" s="685">
        <f>O8/SUMMARY!$E$3-1</f>
        <v>-9.160163278776623E-2</v>
      </c>
    </row>
    <row r="9" spans="1:16" x14ac:dyDescent="0.2">
      <c r="B9" s="31" t="s">
        <v>256</v>
      </c>
      <c r="C9" s="31"/>
      <c r="D9" s="38">
        <f>D8*D7</f>
        <v>13193.6</v>
      </c>
      <c r="F9" t="s">
        <v>257</v>
      </c>
      <c r="I9" s="39">
        <v>7</v>
      </c>
      <c r="P9" s="14"/>
    </row>
    <row r="10" spans="1:16" x14ac:dyDescent="0.2">
      <c r="F10" t="s">
        <v>258</v>
      </c>
      <c r="I10" s="88">
        <f>'Three Statement Model'!L70</f>
        <v>1578</v>
      </c>
      <c r="L10" s="14"/>
    </row>
    <row r="12" spans="1:16" x14ac:dyDescent="0.2">
      <c r="F12" t="s">
        <v>259</v>
      </c>
      <c r="I12" s="40">
        <v>1</v>
      </c>
      <c r="P12" s="14"/>
    </row>
    <row r="13" spans="1:16" x14ac:dyDescent="0.2">
      <c r="C13" s="41"/>
    </row>
    <row r="14" spans="1:16" x14ac:dyDescent="0.2">
      <c r="A14" s="31"/>
      <c r="B14" s="246" t="s">
        <v>260</v>
      </c>
      <c r="C14" s="246" t="s">
        <v>261</v>
      </c>
      <c r="D14" s="246" t="s">
        <v>262</v>
      </c>
      <c r="E14" s="246" t="s">
        <v>263</v>
      </c>
      <c r="F14" s="246" t="s">
        <v>264</v>
      </c>
      <c r="G14" s="246" t="s">
        <v>265</v>
      </c>
      <c r="H14" s="246" t="s">
        <v>266</v>
      </c>
      <c r="I14" s="246" t="s">
        <v>267</v>
      </c>
    </row>
    <row r="15" spans="1:16" x14ac:dyDescent="0.2">
      <c r="B15" s="36" t="s">
        <v>268</v>
      </c>
      <c r="C15" s="89">
        <f>0.9*D8</f>
        <v>5.58</v>
      </c>
      <c r="D15" s="42">
        <f>C15*$D$7*0.9</f>
        <v>10686.816000000001</v>
      </c>
      <c r="E15" s="43">
        <v>0.1</v>
      </c>
      <c r="F15" s="44">
        <v>0</v>
      </c>
      <c r="G15" s="44">
        <v>0</v>
      </c>
      <c r="H15" s="45">
        <f>$I$8</f>
        <v>2.5000000000000001E-2</v>
      </c>
      <c r="I15" s="46">
        <f>H15*D15</f>
        <v>267.17040000000003</v>
      </c>
    </row>
    <row r="16" spans="1:16" x14ac:dyDescent="0.2">
      <c r="B16" s="31" t="s">
        <v>269</v>
      </c>
      <c r="C16" s="47">
        <f>C15</f>
        <v>5.58</v>
      </c>
      <c r="D16" s="48">
        <f>SUM(D15)</f>
        <v>10686.816000000001</v>
      </c>
      <c r="E16" s="49"/>
      <c r="F16" s="49"/>
      <c r="G16" s="49"/>
      <c r="H16" s="50"/>
      <c r="I16" s="38">
        <f>SUM(I15)</f>
        <v>267.17040000000003</v>
      </c>
    </row>
    <row r="19" spans="1:18" ht="16" thickBot="1" x14ac:dyDescent="0.25">
      <c r="C19" s="41"/>
      <c r="E19" s="51"/>
      <c r="Q19" s="14"/>
    </row>
    <row r="20" spans="1:18" ht="16" thickBot="1" x14ac:dyDescent="0.25">
      <c r="A20" s="33"/>
      <c r="B20" s="755" t="s">
        <v>304</v>
      </c>
      <c r="C20" s="756"/>
      <c r="D20" s="756"/>
      <c r="E20" s="756"/>
      <c r="F20" s="756"/>
      <c r="G20" s="756"/>
      <c r="H20" s="756"/>
      <c r="I20" s="757"/>
      <c r="Q20" s="93"/>
      <c r="R20" s="14"/>
    </row>
    <row r="21" spans="1:18" x14ac:dyDescent="0.2">
      <c r="B21" s="52"/>
      <c r="C21" s="34"/>
      <c r="Q21" s="14"/>
    </row>
    <row r="22" spans="1:18" x14ac:dyDescent="0.2">
      <c r="A22" s="31"/>
      <c r="B22" s="246" t="s">
        <v>270</v>
      </c>
      <c r="C22" s="246"/>
      <c r="D22" s="246"/>
      <c r="E22" s="246"/>
      <c r="F22" s="246"/>
      <c r="G22" s="246"/>
      <c r="H22" s="246"/>
      <c r="I22" s="246"/>
      <c r="Q22" s="14"/>
    </row>
    <row r="23" spans="1:18" x14ac:dyDescent="0.2">
      <c r="B23" s="53" t="s">
        <v>271</v>
      </c>
      <c r="C23" s="54" t="s">
        <v>261</v>
      </c>
      <c r="D23" s="54" t="s">
        <v>262</v>
      </c>
      <c r="E23" s="54"/>
      <c r="F23" s="55" t="s">
        <v>272</v>
      </c>
      <c r="G23" s="54"/>
      <c r="H23" s="54"/>
      <c r="I23" s="54" t="s">
        <v>262</v>
      </c>
      <c r="Q23" s="14"/>
    </row>
    <row r="24" spans="1:18" x14ac:dyDescent="0.2">
      <c r="B24" t="s">
        <v>268</v>
      </c>
      <c r="C24" s="56">
        <f>C15</f>
        <v>5.58</v>
      </c>
      <c r="D24" s="57">
        <f>D15</f>
        <v>10686.816000000001</v>
      </c>
      <c r="E24" s="58"/>
      <c r="F24" t="s">
        <v>256</v>
      </c>
      <c r="G24" s="58"/>
      <c r="H24" s="58"/>
      <c r="I24" s="57">
        <f>D9</f>
        <v>13193.6</v>
      </c>
      <c r="K24" s="101"/>
      <c r="L24" s="14"/>
    </row>
    <row r="25" spans="1:18" x14ac:dyDescent="0.2">
      <c r="B25" s="14" t="s">
        <v>273</v>
      </c>
      <c r="C25" s="97">
        <f>D25/D7</f>
        <v>2.1380913533834591</v>
      </c>
      <c r="D25" s="99">
        <f>I28-D24</f>
        <v>4549.858400000001</v>
      </c>
      <c r="E25" s="58"/>
      <c r="F25" t="s">
        <v>258</v>
      </c>
      <c r="I25" s="59">
        <f>I10</f>
        <v>1578</v>
      </c>
    </row>
    <row r="26" spans="1:18" x14ac:dyDescent="0.2">
      <c r="E26" s="58"/>
      <c r="F26" t="s">
        <v>253</v>
      </c>
      <c r="G26" s="58"/>
      <c r="H26" s="58"/>
      <c r="I26" s="59">
        <f>I7*D9</f>
        <v>197.904</v>
      </c>
    </row>
    <row r="27" spans="1:18" x14ac:dyDescent="0.2">
      <c r="B27" s="36"/>
      <c r="C27" s="36"/>
      <c r="D27" s="36"/>
      <c r="E27" s="60"/>
      <c r="F27" s="36" t="s">
        <v>255</v>
      </c>
      <c r="G27" s="60"/>
      <c r="H27" s="60"/>
      <c r="I27" s="61">
        <f>I16</f>
        <v>267.17040000000003</v>
      </c>
    </row>
    <row r="28" spans="1:18" x14ac:dyDescent="0.2">
      <c r="B28" s="31" t="s">
        <v>274</v>
      </c>
      <c r="C28" s="62"/>
      <c r="D28" s="38">
        <f>SUM(D24:D25)</f>
        <v>15236.674400000002</v>
      </c>
      <c r="E28" s="63"/>
      <c r="F28" s="31" t="s">
        <v>275</v>
      </c>
      <c r="G28" s="63"/>
      <c r="H28" s="63"/>
      <c r="I28" s="38">
        <f>SUM(I24:I27)</f>
        <v>15236.674400000002</v>
      </c>
      <c r="K28" s="14"/>
    </row>
    <row r="29" spans="1:18" ht="16" thickBot="1" x14ac:dyDescent="0.25"/>
    <row r="30" spans="1:18" ht="16" thickBot="1" x14ac:dyDescent="0.25">
      <c r="A30" s="33" t="s">
        <v>249</v>
      </c>
      <c r="B30" s="755" t="s">
        <v>306</v>
      </c>
      <c r="C30" s="756"/>
      <c r="D30" s="756"/>
      <c r="E30" s="756"/>
      <c r="F30" s="756"/>
      <c r="G30" s="756"/>
      <c r="H30" s="756"/>
      <c r="I30" s="757"/>
    </row>
    <row r="32" spans="1:18" x14ac:dyDescent="0.2">
      <c r="B32" s="246" t="s">
        <v>276</v>
      </c>
      <c r="C32" s="246"/>
      <c r="D32" s="247">
        <v>2025</v>
      </c>
      <c r="E32" s="675" t="s">
        <v>554</v>
      </c>
      <c r="F32" s="248">
        <v>2027</v>
      </c>
      <c r="G32" s="248">
        <f>+F32+1</f>
        <v>2028</v>
      </c>
      <c r="H32" s="248">
        <f>+G32+1</f>
        <v>2029</v>
      </c>
      <c r="I32" s="248">
        <f>+H32+1</f>
        <v>2030</v>
      </c>
    </row>
    <row r="33" spans="1:16" s="32" customFormat="1" x14ac:dyDescent="0.2">
      <c r="B33" s="32" t="s">
        <v>248</v>
      </c>
      <c r="D33" s="64"/>
      <c r="E33" s="64"/>
      <c r="F33" s="64"/>
      <c r="G33" s="64"/>
      <c r="H33" s="64"/>
      <c r="I33" s="64"/>
      <c r="K33"/>
      <c r="L33"/>
      <c r="M33"/>
      <c r="N33"/>
      <c r="O33"/>
      <c r="P33"/>
    </row>
    <row r="35" spans="1:16" s="31" customFormat="1" x14ac:dyDescent="0.2">
      <c r="B35" s="95" t="s">
        <v>296</v>
      </c>
      <c r="C35" s="95"/>
      <c r="D35" s="96"/>
      <c r="E35" s="460">
        <v>1114</v>
      </c>
      <c r="F35" s="460">
        <v>1602</v>
      </c>
      <c r="G35" s="460">
        <v>1404</v>
      </c>
      <c r="H35" s="460">
        <v>1264.2881246820364</v>
      </c>
      <c r="I35" s="460">
        <v>1261.7783616455331</v>
      </c>
      <c r="J35" s="31" t="s">
        <v>558</v>
      </c>
      <c r="K35"/>
      <c r="L35"/>
      <c r="M35"/>
      <c r="N35"/>
      <c r="O35"/>
      <c r="P35"/>
    </row>
    <row r="36" spans="1:16" x14ac:dyDescent="0.2">
      <c r="B36" s="30" t="s">
        <v>277</v>
      </c>
      <c r="D36" s="67"/>
      <c r="E36" s="461">
        <v>-480.33</v>
      </c>
      <c r="F36" s="461">
        <v>-514.33000000000004</v>
      </c>
      <c r="G36" s="461">
        <v>-514.33000000000004</v>
      </c>
      <c r="H36" s="461">
        <v>-514.33000000000004</v>
      </c>
      <c r="I36" s="461">
        <v>-514.33000000000004</v>
      </c>
      <c r="K36" s="32"/>
      <c r="L36" s="32"/>
      <c r="M36" s="32"/>
      <c r="N36" s="32"/>
      <c r="O36" s="32"/>
      <c r="P36" s="32"/>
    </row>
    <row r="37" spans="1:16" x14ac:dyDescent="0.2">
      <c r="B37" s="91" t="s">
        <v>307</v>
      </c>
      <c r="D37" s="67"/>
      <c r="E37" s="94">
        <f>SUM(E35:E36)</f>
        <v>633.67000000000007</v>
      </c>
      <c r="F37" s="94">
        <f>SUM(F35:F36)</f>
        <v>1087.67</v>
      </c>
      <c r="G37" s="94">
        <f>SUM(G35:G36)</f>
        <v>889.67</v>
      </c>
      <c r="H37" s="94">
        <f>SUM(H35:H36)</f>
        <v>749.95812468203633</v>
      </c>
      <c r="I37" s="94">
        <f>SUM(I35:I36)</f>
        <v>747.44836164553305</v>
      </c>
      <c r="K37" s="32"/>
      <c r="L37" s="32"/>
      <c r="M37" s="32"/>
      <c r="N37" s="32"/>
      <c r="O37" s="32"/>
      <c r="P37" s="32"/>
    </row>
    <row r="38" spans="1:16" x14ac:dyDescent="0.2">
      <c r="B38" s="30"/>
      <c r="D38" s="67"/>
      <c r="E38" s="41"/>
      <c r="F38" s="41"/>
      <c r="G38" s="41"/>
      <c r="H38" s="41"/>
      <c r="I38" s="41"/>
      <c r="K38" s="32"/>
      <c r="L38" s="32"/>
      <c r="M38" s="32"/>
      <c r="N38" s="32"/>
      <c r="O38" s="32"/>
      <c r="P38" s="32"/>
    </row>
    <row r="39" spans="1:16" x14ac:dyDescent="0.2">
      <c r="B39" t="s">
        <v>279</v>
      </c>
      <c r="D39" s="67"/>
      <c r="E39" s="460">
        <v>1578</v>
      </c>
      <c r="F39" s="674">
        <f>E41</f>
        <v>2211.67</v>
      </c>
      <c r="G39" s="674">
        <f>F41</f>
        <v>3299.34</v>
      </c>
      <c r="H39" s="674">
        <f>G41</f>
        <v>4189.01</v>
      </c>
      <c r="I39" s="674">
        <f>H41</f>
        <v>4938.9681246820364</v>
      </c>
    </row>
    <row r="40" spans="1:16" x14ac:dyDescent="0.2">
      <c r="B40" s="36" t="s">
        <v>280</v>
      </c>
      <c r="C40" s="36"/>
      <c r="D40" s="65"/>
      <c r="E40" s="61">
        <f>E37</f>
        <v>633.67000000000007</v>
      </c>
      <c r="F40" s="61">
        <f>F37</f>
        <v>1087.67</v>
      </c>
      <c r="G40" s="61">
        <f>G37</f>
        <v>889.67</v>
      </c>
      <c r="H40" s="61">
        <f>H37</f>
        <v>749.95812468203633</v>
      </c>
      <c r="I40" s="61">
        <f>I37</f>
        <v>747.44836164553305</v>
      </c>
      <c r="K40" s="31"/>
      <c r="L40" s="31"/>
      <c r="M40" s="31"/>
      <c r="N40" s="31"/>
      <c r="O40" s="31"/>
      <c r="P40" s="31"/>
    </row>
    <row r="41" spans="1:16" s="31" customFormat="1" x14ac:dyDescent="0.2">
      <c r="B41" s="31" t="s">
        <v>281</v>
      </c>
      <c r="D41" s="66"/>
      <c r="E41" s="38">
        <f>SUM(E39:E40)</f>
        <v>2211.67</v>
      </c>
      <c r="F41" s="38">
        <f>SUM(F39:F40)</f>
        <v>3299.34</v>
      </c>
      <c r="G41" s="38">
        <f>SUM(G39:G40)</f>
        <v>4189.01</v>
      </c>
      <c r="H41" s="38">
        <f>SUM(H39:H40)</f>
        <v>4938.9681246820364</v>
      </c>
      <c r="I41" s="38">
        <f>SUM(I39:I40)</f>
        <v>5686.4164863275691</v>
      </c>
      <c r="K41"/>
      <c r="L41"/>
      <c r="M41"/>
      <c r="N41"/>
      <c r="O41"/>
      <c r="P41"/>
    </row>
    <row r="42" spans="1:16" ht="16" thickBot="1" x14ac:dyDescent="0.25"/>
    <row r="43" spans="1:16" ht="16" thickBot="1" x14ac:dyDescent="0.25">
      <c r="A43" s="33"/>
      <c r="B43" s="755" t="s">
        <v>282</v>
      </c>
      <c r="C43" s="756"/>
      <c r="D43" s="756"/>
      <c r="E43" s="756"/>
      <c r="F43" s="756"/>
      <c r="G43" s="756"/>
      <c r="H43" s="756"/>
      <c r="I43" s="757"/>
    </row>
    <row r="44" spans="1:16" x14ac:dyDescent="0.2">
      <c r="K44" s="31"/>
      <c r="L44" s="31"/>
      <c r="M44" s="31"/>
      <c r="N44" s="31"/>
      <c r="O44" s="31"/>
      <c r="P44" s="31"/>
    </row>
    <row r="45" spans="1:16" x14ac:dyDescent="0.2">
      <c r="B45" s="246" t="s">
        <v>282</v>
      </c>
      <c r="C45" s="246"/>
      <c r="D45" s="246"/>
      <c r="E45" s="675" t="str">
        <f>E32</f>
        <v>FQ4 '26E</v>
      </c>
      <c r="F45" s="248">
        <f>F32</f>
        <v>2027</v>
      </c>
      <c r="G45" s="248">
        <f>+F45+1</f>
        <v>2028</v>
      </c>
      <c r="H45" s="248">
        <f>+G45+1</f>
        <v>2029</v>
      </c>
      <c r="I45" s="248">
        <f>+H45+1</f>
        <v>2030</v>
      </c>
    </row>
    <row r="46" spans="1:16" s="32" customFormat="1" x14ac:dyDescent="0.2">
      <c r="B46" s="32" t="s">
        <v>248</v>
      </c>
      <c r="E46" s="64"/>
      <c r="F46" s="64"/>
      <c r="G46" s="64"/>
      <c r="H46" s="64"/>
      <c r="I46" s="64"/>
      <c r="K46"/>
      <c r="L46"/>
      <c r="M46"/>
      <c r="N46"/>
      <c r="O46"/>
      <c r="P46"/>
    </row>
    <row r="47" spans="1:16" x14ac:dyDescent="0.2">
      <c r="E47" s="72"/>
      <c r="F47" s="72"/>
      <c r="G47" s="72"/>
      <c r="H47" s="72"/>
      <c r="I47" s="72"/>
      <c r="J47" s="15"/>
    </row>
    <row r="48" spans="1:16" x14ac:dyDescent="0.2">
      <c r="B48" s="53" t="s">
        <v>268</v>
      </c>
      <c r="E48" s="67"/>
      <c r="F48" s="67"/>
      <c r="G48" s="67"/>
      <c r="H48" s="67"/>
      <c r="I48" s="67"/>
    </row>
    <row r="49" spans="1:16" x14ac:dyDescent="0.2">
      <c r="B49" t="s">
        <v>283</v>
      </c>
      <c r="E49" s="70">
        <f>D24</f>
        <v>10686.816000000001</v>
      </c>
      <c r="F49" s="70">
        <f>E51</f>
        <v>10686.816000000001</v>
      </c>
      <c r="G49" s="70">
        <f>F51</f>
        <v>10686.816000000001</v>
      </c>
      <c r="H49" s="70">
        <f>G51</f>
        <v>10686.816000000001</v>
      </c>
      <c r="I49" s="70">
        <f>H51</f>
        <v>10686.816000000001</v>
      </c>
      <c r="J49" s="15"/>
      <c r="K49" s="32"/>
      <c r="L49" s="32"/>
      <c r="M49" s="32"/>
      <c r="N49" s="32"/>
      <c r="O49" s="32"/>
      <c r="P49" s="32"/>
    </row>
    <row r="50" spans="1:16" x14ac:dyDescent="0.2">
      <c r="B50" s="36" t="s">
        <v>278</v>
      </c>
      <c r="C50" s="36"/>
      <c r="D50" s="36"/>
      <c r="E50" s="71">
        <f>$G$15*E49</f>
        <v>0</v>
      </c>
      <c r="F50" s="71">
        <f>$G$15*F49</f>
        <v>0</v>
      </c>
      <c r="G50" s="71">
        <f>$G$15*G49</f>
        <v>0</v>
      </c>
      <c r="H50" s="71">
        <f>$G$15*H49</f>
        <v>0</v>
      </c>
      <c r="I50" s="71">
        <f>$G$15*I49</f>
        <v>0</v>
      </c>
      <c r="J50" s="15"/>
    </row>
    <row r="51" spans="1:16" s="31" customFormat="1" x14ac:dyDescent="0.2">
      <c r="B51" s="31" t="s">
        <v>284</v>
      </c>
      <c r="E51" s="38">
        <f>SUM(E49:E50)</f>
        <v>10686.816000000001</v>
      </c>
      <c r="F51" s="38">
        <f>SUM(F49:F50)</f>
        <v>10686.816000000001</v>
      </c>
      <c r="G51" s="38">
        <f>SUM(G49:G50)</f>
        <v>10686.816000000001</v>
      </c>
      <c r="H51" s="38">
        <f>SUM(H49:H50)</f>
        <v>10686.816000000001</v>
      </c>
      <c r="I51" s="38">
        <f>SUM(I49:I50)</f>
        <v>10686.816000000001</v>
      </c>
      <c r="J51" s="73"/>
      <c r="K51"/>
      <c r="L51"/>
      <c r="M51"/>
      <c r="N51"/>
      <c r="O51"/>
      <c r="P51"/>
    </row>
    <row r="52" spans="1:16" x14ac:dyDescent="0.2">
      <c r="E52" s="72"/>
      <c r="F52" s="72"/>
      <c r="G52" s="72"/>
      <c r="H52" s="72"/>
      <c r="I52" s="72"/>
      <c r="J52" s="15"/>
    </row>
    <row r="53" spans="1:16" x14ac:dyDescent="0.2">
      <c r="B53" t="s">
        <v>285</v>
      </c>
      <c r="E53" s="69">
        <f>$E$15</f>
        <v>0.1</v>
      </c>
      <c r="F53" s="69">
        <f>$E$15</f>
        <v>0.1</v>
      </c>
      <c r="G53" s="69">
        <f>$E$15</f>
        <v>0.1</v>
      </c>
      <c r="H53" s="69">
        <f>$E$15</f>
        <v>0.1</v>
      </c>
      <c r="I53" s="69">
        <f>$E$15</f>
        <v>0.1</v>
      </c>
      <c r="J53" s="15"/>
    </row>
    <row r="54" spans="1:16" x14ac:dyDescent="0.2">
      <c r="B54" s="30" t="s">
        <v>309</v>
      </c>
      <c r="E54" s="70">
        <f>E53*E51*Circ*(1-'Three Statement Model'!Q30)</f>
        <v>683.95622400000013</v>
      </c>
      <c r="F54" s="70">
        <f>F53*F51*Circ*(1-'Three Statement Model'!R30)</f>
        <v>683.95622400000013</v>
      </c>
      <c r="G54" s="70">
        <f>G53*G51*Circ*(1-'Three Statement Model'!S30)</f>
        <v>683.95622400000013</v>
      </c>
      <c r="H54" s="70">
        <f>H53*H51*Circ*(1-'Three Statement Model'!T30)</f>
        <v>683.95622400000013</v>
      </c>
      <c r="I54" s="70">
        <f>I53*I51*Circ*(1-'Three Statement Model'!U30)</f>
        <v>683.95622400000013</v>
      </c>
      <c r="J54" s="15"/>
      <c r="K54" s="31"/>
      <c r="L54" s="31"/>
      <c r="M54" s="31"/>
      <c r="N54" s="31"/>
      <c r="O54" s="31"/>
      <c r="P54" s="31"/>
    </row>
    <row r="55" spans="1:16" ht="16" thickBot="1" x14ac:dyDescent="0.25">
      <c r="D55" s="67"/>
      <c r="E55" s="67"/>
      <c r="F55" s="67"/>
      <c r="G55" s="67"/>
      <c r="H55" s="67"/>
    </row>
    <row r="56" spans="1:16" ht="16" thickBot="1" x14ac:dyDescent="0.25">
      <c r="A56" s="33" t="s">
        <v>249</v>
      </c>
      <c r="B56" s="755" t="s">
        <v>305</v>
      </c>
      <c r="C56" s="756"/>
      <c r="D56" s="756"/>
      <c r="E56" s="756"/>
      <c r="F56" s="756"/>
      <c r="G56" s="756"/>
      <c r="H56" s="756"/>
      <c r="I56" s="757"/>
    </row>
    <row r="57" spans="1:16" x14ac:dyDescent="0.2">
      <c r="K57" s="32"/>
    </row>
    <row r="58" spans="1:16" x14ac:dyDescent="0.2">
      <c r="B58" s="246" t="s">
        <v>286</v>
      </c>
      <c r="C58" s="249"/>
      <c r="D58" s="247">
        <f>D32</f>
        <v>2025</v>
      </c>
      <c r="E58" s="675" t="str">
        <f>E45</f>
        <v>FQ4 '26E</v>
      </c>
      <c r="F58" s="248">
        <f>F45</f>
        <v>2027</v>
      </c>
      <c r="G58" s="248">
        <f>G45</f>
        <v>2028</v>
      </c>
      <c r="H58" s="248">
        <f>H45</f>
        <v>2029</v>
      </c>
      <c r="I58" s="248">
        <f>I45</f>
        <v>2030</v>
      </c>
    </row>
    <row r="59" spans="1:16" s="32" customFormat="1" x14ac:dyDescent="0.2">
      <c r="B59" s="32" t="s">
        <v>248</v>
      </c>
      <c r="D59" s="64"/>
      <c r="E59" s="64"/>
      <c r="F59" s="64"/>
      <c r="G59" s="64"/>
      <c r="H59" s="64"/>
      <c r="I59" s="64"/>
      <c r="K59"/>
      <c r="L59"/>
      <c r="M59"/>
      <c r="N59"/>
      <c r="O59"/>
      <c r="P59"/>
    </row>
    <row r="61" spans="1:16" s="31" customFormat="1" x14ac:dyDescent="0.2">
      <c r="B61" s="31" t="s">
        <v>287</v>
      </c>
      <c r="E61" s="676">
        <f>'DCF Valuation &amp; Sensitivity'!C35</f>
        <v>2619</v>
      </c>
      <c r="F61" s="676">
        <f>'DCF Valuation &amp; Sensitivity'!D35</f>
        <v>2699</v>
      </c>
      <c r="G61" s="676">
        <f>'DCF Valuation &amp; Sensitivity'!E35</f>
        <v>2823</v>
      </c>
      <c r="H61" s="463">
        <v>2525.8962764051412</v>
      </c>
      <c r="I61" s="463">
        <v>2581.1489790668438</v>
      </c>
      <c r="K61"/>
      <c r="L61"/>
      <c r="M61"/>
      <c r="N61"/>
      <c r="O61"/>
      <c r="P61"/>
    </row>
    <row r="62" spans="1:16" x14ac:dyDescent="0.2">
      <c r="B62" s="36" t="s">
        <v>288</v>
      </c>
      <c r="C62" s="36"/>
      <c r="D62" s="36"/>
      <c r="E62" s="74">
        <v>6.7</v>
      </c>
      <c r="F62" s="74">
        <f>E62</f>
        <v>6.7</v>
      </c>
      <c r="G62" s="74">
        <f>F62</f>
        <v>6.7</v>
      </c>
      <c r="H62" s="74">
        <f>G62</f>
        <v>6.7</v>
      </c>
      <c r="I62" s="74">
        <f>H62</f>
        <v>6.7</v>
      </c>
      <c r="K62" s="32"/>
      <c r="L62" s="32"/>
      <c r="M62" s="32"/>
      <c r="N62" s="32"/>
      <c r="O62" s="32"/>
      <c r="P62" s="32"/>
    </row>
    <row r="63" spans="1:16" s="31" customFormat="1" x14ac:dyDescent="0.2">
      <c r="B63" s="31" t="s">
        <v>289</v>
      </c>
      <c r="E63" s="38">
        <f>E62*E61</f>
        <v>17547.3</v>
      </c>
      <c r="F63" s="38">
        <f>F62*F61</f>
        <v>18083.3</v>
      </c>
      <c r="G63" s="38">
        <f>G62*G61</f>
        <v>18914.100000000002</v>
      </c>
      <c r="H63" s="38">
        <f>H62*H61</f>
        <v>16923.505051914446</v>
      </c>
      <c r="I63" s="38">
        <f>I62*I61</f>
        <v>17293.698159747855</v>
      </c>
      <c r="K63"/>
      <c r="L63"/>
      <c r="M63"/>
      <c r="N63"/>
      <c r="O63"/>
      <c r="P63"/>
    </row>
    <row r="64" spans="1:16" x14ac:dyDescent="0.2">
      <c r="A64" s="31"/>
      <c r="B64" t="s">
        <v>290</v>
      </c>
      <c r="E64" s="59">
        <f>-E51</f>
        <v>-10686.816000000001</v>
      </c>
      <c r="F64" s="59">
        <f>-F51</f>
        <v>-10686.816000000001</v>
      </c>
      <c r="G64" s="59">
        <f>-G51</f>
        <v>-10686.816000000001</v>
      </c>
      <c r="H64" s="59">
        <f>-H51</f>
        <v>-10686.816000000001</v>
      </c>
      <c r="I64" s="59">
        <f>-I51</f>
        <v>-10686.816000000001</v>
      </c>
      <c r="K64" s="31"/>
      <c r="L64" s="31"/>
      <c r="M64" s="31"/>
      <c r="N64" s="31"/>
      <c r="O64" s="31"/>
      <c r="P64" s="31"/>
    </row>
    <row r="65" spans="1:16" x14ac:dyDescent="0.2">
      <c r="B65" s="36" t="s">
        <v>291</v>
      </c>
      <c r="C65" s="36"/>
      <c r="D65" s="36"/>
      <c r="E65" s="71">
        <f>E41</f>
        <v>2211.67</v>
      </c>
      <c r="F65" s="71">
        <f>F41</f>
        <v>3299.34</v>
      </c>
      <c r="G65" s="71">
        <f>G41</f>
        <v>4189.01</v>
      </c>
      <c r="H65" s="71">
        <f>H41</f>
        <v>4938.9681246820364</v>
      </c>
      <c r="I65" s="71">
        <f>I41</f>
        <v>5686.4164863275691</v>
      </c>
    </row>
    <row r="66" spans="1:16" s="31" customFormat="1" ht="13" x14ac:dyDescent="0.15">
      <c r="B66" s="31" t="s">
        <v>292</v>
      </c>
      <c r="E66" s="38">
        <f>SUM(E63:E65)</f>
        <v>9072.1539999999986</v>
      </c>
      <c r="F66" s="38">
        <f>SUM(F63:F65)</f>
        <v>10695.823999999999</v>
      </c>
      <c r="G66" s="38">
        <f>SUM(G63:G65)</f>
        <v>12416.294000000002</v>
      </c>
      <c r="H66" s="38">
        <f>SUM(H63:H65)</f>
        <v>11175.657176596482</v>
      </c>
      <c r="I66" s="38">
        <f>SUM(I63:I65)</f>
        <v>12293.298646075424</v>
      </c>
    </row>
    <row r="69" spans="1:16" s="31" customFormat="1" ht="13" x14ac:dyDescent="0.15">
      <c r="B69" s="68" t="s">
        <v>293</v>
      </c>
      <c r="C69" s="68"/>
      <c r="D69" s="75">
        <v>0</v>
      </c>
      <c r="E69" s="75">
        <f>+D69+1</f>
        <v>1</v>
      </c>
      <c r="F69" s="75">
        <f>+E69+1</f>
        <v>2</v>
      </c>
      <c r="G69" s="75">
        <f>+F69+1</f>
        <v>3</v>
      </c>
      <c r="H69" s="75">
        <f>+G69+1</f>
        <v>4</v>
      </c>
      <c r="I69" s="75">
        <f>+H69+1</f>
        <v>5</v>
      </c>
    </row>
    <row r="70" spans="1:16" x14ac:dyDescent="0.2">
      <c r="B70" s="76"/>
      <c r="D70" s="64">
        <v>45689</v>
      </c>
      <c r="E70" s="64">
        <v>46053</v>
      </c>
      <c r="F70" s="64">
        <f>+EOMONTH(E70,12)</f>
        <v>46418</v>
      </c>
      <c r="G70" s="64">
        <v>46781</v>
      </c>
      <c r="H70" s="64">
        <v>47152</v>
      </c>
      <c r="I70" s="64">
        <v>47516</v>
      </c>
    </row>
    <row r="71" spans="1:16" x14ac:dyDescent="0.2">
      <c r="B71" s="77">
        <v>2025</v>
      </c>
      <c r="D71" s="78">
        <f>-$D$25</f>
        <v>-4549.858400000001</v>
      </c>
      <c r="E71" s="57">
        <f>E66</f>
        <v>9072.1539999999986</v>
      </c>
      <c r="F71" s="78"/>
      <c r="G71" s="78"/>
      <c r="H71" s="78"/>
      <c r="I71" s="78"/>
    </row>
    <row r="72" spans="1:16" x14ac:dyDescent="0.2">
      <c r="B72" s="77">
        <f>+B71+1</f>
        <v>2026</v>
      </c>
      <c r="D72" s="78">
        <f>-$D$25</f>
        <v>-4549.858400000001</v>
      </c>
      <c r="E72" s="78"/>
      <c r="F72" s="57">
        <f>F66</f>
        <v>10695.823999999999</v>
      </c>
      <c r="G72" s="78"/>
      <c r="H72" s="78"/>
      <c r="I72" s="78"/>
      <c r="K72" s="31"/>
      <c r="L72" s="31"/>
      <c r="M72" s="31"/>
      <c r="N72" s="31"/>
      <c r="O72" s="31"/>
      <c r="P72" s="31"/>
    </row>
    <row r="73" spans="1:16" x14ac:dyDescent="0.2">
      <c r="B73" s="77">
        <f>+B72+1</f>
        <v>2027</v>
      </c>
      <c r="D73" s="78">
        <f>-$D$25</f>
        <v>-4549.858400000001</v>
      </c>
      <c r="E73" s="78"/>
      <c r="F73" s="78"/>
      <c r="G73" s="57">
        <f>G66</f>
        <v>12416.294000000002</v>
      </c>
      <c r="H73" s="78"/>
      <c r="I73" s="78"/>
    </row>
    <row r="74" spans="1:16" x14ac:dyDescent="0.2">
      <c r="B74" s="77">
        <f>+B73+1</f>
        <v>2028</v>
      </c>
      <c r="D74" s="78">
        <f>-$D$25</f>
        <v>-4549.858400000001</v>
      </c>
      <c r="E74" s="78"/>
      <c r="F74" s="78"/>
      <c r="G74" s="78"/>
      <c r="H74" s="57">
        <f>H66</f>
        <v>11175.657176596482</v>
      </c>
      <c r="I74" s="78"/>
    </row>
    <row r="75" spans="1:16" x14ac:dyDescent="0.2">
      <c r="B75" s="77">
        <f>+B74+1</f>
        <v>2029</v>
      </c>
      <c r="D75" s="78">
        <f>-$D$25</f>
        <v>-4549.858400000001</v>
      </c>
      <c r="E75" s="78"/>
      <c r="F75" s="78"/>
      <c r="G75" s="78"/>
      <c r="H75" s="78"/>
      <c r="I75" s="57">
        <f>I66</f>
        <v>12293.298646075424</v>
      </c>
    </row>
    <row r="77" spans="1:16" s="31" customFormat="1" x14ac:dyDescent="0.2">
      <c r="A77" s="33"/>
      <c r="B77" s="79" t="s">
        <v>294</v>
      </c>
      <c r="C77" s="80"/>
      <c r="D77" s="80"/>
      <c r="E77" s="81">
        <f>XIRR(D71:I71,$D$70:$I$70)</f>
        <v>0.99772597551345821</v>
      </c>
      <c r="F77" s="81">
        <f>XIRR(D72:I72,$D$70:$I$70)</f>
        <v>0.5341322124004364</v>
      </c>
      <c r="G77" s="81">
        <f>XIRR(D73:I73,$D$70:$I$70)</f>
        <v>0.39871950745582574</v>
      </c>
      <c r="H77" s="81">
        <f>XIRR(D74:I74,$D$70:$I$70)</f>
        <v>0.25132097601890568</v>
      </c>
      <c r="I77" s="82">
        <f>XIRR(D75:I75,$D$70:$I$70)</f>
        <v>0.21966230273246762</v>
      </c>
      <c r="K77"/>
      <c r="L77"/>
      <c r="M77"/>
      <c r="N77"/>
      <c r="O77"/>
      <c r="P77"/>
    </row>
    <row r="78" spans="1:16" s="31" customFormat="1" x14ac:dyDescent="0.2">
      <c r="B78" s="83" t="s">
        <v>295</v>
      </c>
      <c r="C78" s="84"/>
      <c r="D78" s="84"/>
      <c r="E78" s="85">
        <f>SUM(E71:I71)/-D71</f>
        <v>1.9939420532296119</v>
      </c>
      <c r="F78" s="85">
        <f>SUM(E72:I72)/-D72</f>
        <v>2.3508037085285989</v>
      </c>
      <c r="G78" s="85">
        <f>SUM(E73:I73)/-D73</f>
        <v>2.7289407512110704</v>
      </c>
      <c r="H78" s="85">
        <f>SUM(E74:I74)/-D74</f>
        <v>2.4562648315816773</v>
      </c>
      <c r="I78" s="86">
        <f>SUM(E75:I75)/-D75</f>
        <v>2.7019079640094779</v>
      </c>
      <c r="K78"/>
      <c r="L78"/>
      <c r="M78"/>
      <c r="N78"/>
      <c r="O78"/>
      <c r="P78"/>
    </row>
    <row r="80" spans="1:16" x14ac:dyDescent="0.2">
      <c r="K80" s="31"/>
      <c r="L80" s="31"/>
      <c r="M80" s="31"/>
      <c r="N80" s="31"/>
      <c r="O80" s="31"/>
      <c r="P80" s="31"/>
    </row>
    <row r="81" spans="11:16" x14ac:dyDescent="0.2">
      <c r="K81" s="87"/>
      <c r="L81" s="31"/>
      <c r="M81" s="31"/>
      <c r="N81" s="31"/>
      <c r="O81" s="31"/>
      <c r="P81" s="31"/>
    </row>
  </sheetData>
  <mergeCells count="5">
    <mergeCell ref="B43:I43"/>
    <mergeCell ref="B56:I56"/>
    <mergeCell ref="B30:I30"/>
    <mergeCell ref="B4:I4"/>
    <mergeCell ref="B20:I20"/>
  </mergeCells>
  <conditionalFormatting sqref="F71:I71 D71:D75 E72 G72:I72 E73:F73 H73:I73 E74:G74 I74 E75:H75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 horizontalDpi="0" verticalDpi="0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3B820-5607-6D44-AFCB-B71E907CD7D2}">
  <sheetPr>
    <tabColor rgb="FF0044BF"/>
  </sheetPr>
  <dimension ref="B2:H29"/>
  <sheetViews>
    <sheetView showGridLines="0" topLeftCell="A7" zoomScale="321" workbookViewId="0">
      <selection activeCell="G19" sqref="G19:G20"/>
    </sheetView>
  </sheetViews>
  <sheetFormatPr baseColWidth="10" defaultRowHeight="15" x14ac:dyDescent="0.2"/>
  <cols>
    <col min="2" max="2" width="18.83203125" customWidth="1"/>
    <col min="3" max="7" width="9" customWidth="1"/>
  </cols>
  <sheetData>
    <row r="2" spans="2:8" s="527" customFormat="1" x14ac:dyDescent="0.2">
      <c r="B2" s="472" t="s">
        <v>343</v>
      </c>
      <c r="C2" s="528">
        <v>2024</v>
      </c>
      <c r="D2" s="528">
        <f>C2+1</f>
        <v>2025</v>
      </c>
      <c r="E2" s="529">
        <v>2026</v>
      </c>
      <c r="F2" s="529">
        <v>2027</v>
      </c>
      <c r="G2" s="529">
        <v>2028</v>
      </c>
    </row>
    <row r="3" spans="2:8" x14ac:dyDescent="0.2">
      <c r="B3" s="482" t="s">
        <v>472</v>
      </c>
      <c r="C3" s="530">
        <f>'Three Statement Model'!G40</f>
        <v>43452</v>
      </c>
      <c r="D3" s="530">
        <f>'Three Statement Model'!L40</f>
        <v>41528</v>
      </c>
      <c r="E3" s="530">
        <f>'Three Statement Model'!Q40</f>
        <v>41559.258231803309</v>
      </c>
      <c r="F3" s="530">
        <f>'Three Statement Model'!R40</f>
        <v>43944.600694254084</v>
      </c>
      <c r="G3" s="530">
        <f>'Three Statement Model'!S40</f>
        <v>42194.983657719909</v>
      </c>
    </row>
    <row r="4" spans="2:8" x14ac:dyDescent="0.2">
      <c r="B4" s="526" t="s">
        <v>246</v>
      </c>
      <c r="C4" s="531">
        <f>C3/'Three Statement Model'!F40-1</f>
        <v>-6.1471337854766994E-2</v>
      </c>
      <c r="D4" s="531">
        <f>D3/C3-1</f>
        <v>-4.4278744361594402E-2</v>
      </c>
      <c r="E4" s="531">
        <f>E3/D3-1</f>
        <v>7.5270255739035008E-4</v>
      </c>
      <c r="F4" s="531">
        <f>F3/E3-1</f>
        <v>5.7396175098846758E-2</v>
      </c>
      <c r="G4" s="531">
        <f>G3/F3-1</f>
        <v>-3.9814152566937433E-2</v>
      </c>
    </row>
    <row r="5" spans="2:8" x14ac:dyDescent="0.2">
      <c r="B5" s="482" t="s">
        <v>473</v>
      </c>
      <c r="C5" s="530">
        <f>'Three Statement Model'!G40</f>
        <v>43452</v>
      </c>
      <c r="D5" s="530">
        <f>'Three Statement Model'!L40</f>
        <v>41528</v>
      </c>
      <c r="E5" s="530">
        <v>41868</v>
      </c>
      <c r="F5" s="530">
        <v>42408</v>
      </c>
      <c r="G5" s="530">
        <v>43223</v>
      </c>
      <c r="H5" s="558"/>
    </row>
    <row r="6" spans="2:8" x14ac:dyDescent="0.2">
      <c r="B6" s="526" t="s">
        <v>246</v>
      </c>
      <c r="C6" s="531">
        <f>C5/'Three Statement Model'!F40-1</f>
        <v>-6.1471337854766994E-2</v>
      </c>
      <c r="D6" s="531">
        <f>D5/C5-1</f>
        <v>-4.4278744361594402E-2</v>
      </c>
      <c r="E6" s="531">
        <f>E5/D5-1</f>
        <v>8.1872471585435758E-3</v>
      </c>
      <c r="F6" s="531">
        <f>F5/E5-1</f>
        <v>1.2897678417884695E-2</v>
      </c>
      <c r="G6" s="531">
        <f>G5/F5-1</f>
        <v>1.9218072061875091E-2</v>
      </c>
    </row>
    <row r="7" spans="2:8" x14ac:dyDescent="0.2">
      <c r="B7" s="482" t="s">
        <v>481</v>
      </c>
      <c r="C7" s="530">
        <f>'Three Statement Model'!G52</f>
        <v>1574</v>
      </c>
      <c r="D7" s="530">
        <f>'Three Statement Model'!L52</f>
        <v>1262</v>
      </c>
      <c r="E7" s="530">
        <f>'Three Statement Model'!Q52</f>
        <v>1760.605667909663</v>
      </c>
      <c r="F7" s="530">
        <f>'Three Statement Model'!R52</f>
        <v>2794.9238077763403</v>
      </c>
      <c r="G7" s="530">
        <f>'Three Statement Model'!S52</f>
        <v>2662.1911303640127</v>
      </c>
    </row>
    <row r="8" spans="2:8" x14ac:dyDescent="0.2">
      <c r="B8" s="526" t="s">
        <v>246</v>
      </c>
      <c r="C8" s="531">
        <f>C7/'Three Statement Model'!F52-1</f>
        <v>-0.12311977715877442</v>
      </c>
      <c r="D8" s="531">
        <f>D7/C7-1</f>
        <v>-0.19822109275730626</v>
      </c>
      <c r="E8" s="531">
        <f>E7/D7-1</f>
        <v>0.39509165444505778</v>
      </c>
      <c r="F8" s="531">
        <f>F7/E7-1</f>
        <v>0.58747859257701096</v>
      </c>
      <c r="G8" s="531">
        <f>G7/F7-1</f>
        <v>-4.7490624625624589E-2</v>
      </c>
    </row>
    <row r="9" spans="2:8" x14ac:dyDescent="0.2">
      <c r="B9" s="526" t="s">
        <v>480</v>
      </c>
      <c r="C9" s="531">
        <f>C7/C3</f>
        <v>3.6223879223050724E-2</v>
      </c>
      <c r="D9" s="531">
        <f>D7/D3</f>
        <v>3.0389135041417839E-2</v>
      </c>
      <c r="E9" s="531">
        <f>E7/E3</f>
        <v>4.2363741385604323E-2</v>
      </c>
      <c r="F9" s="531">
        <f>F7/F3</f>
        <v>6.3601074162036628E-2</v>
      </c>
      <c r="G9" s="531">
        <f>G7/G3</f>
        <v>6.3092597735298406E-2</v>
      </c>
    </row>
    <row r="10" spans="2:8" x14ac:dyDescent="0.2">
      <c r="B10" s="482" t="s">
        <v>482</v>
      </c>
      <c r="C10" s="530">
        <f>'Three Statement Model'!G52</f>
        <v>1574</v>
      </c>
      <c r="D10" s="530">
        <f>'Three Statement Model'!L52</f>
        <v>1262</v>
      </c>
      <c r="E10" s="530">
        <v>1777</v>
      </c>
      <c r="F10" s="530">
        <v>1848</v>
      </c>
      <c r="G10" s="530">
        <v>1969</v>
      </c>
    </row>
    <row r="11" spans="2:8" x14ac:dyDescent="0.2">
      <c r="B11" s="526" t="s">
        <v>246</v>
      </c>
      <c r="C11" s="531">
        <f>C10/'Three Statement Model'!F52-1</f>
        <v>-0.12311977715877442</v>
      </c>
      <c r="D11" s="531">
        <f>D10/C10-1</f>
        <v>-0.19822109275730626</v>
      </c>
      <c r="E11" s="531">
        <f>E10/D10-1</f>
        <v>0.40808240887480185</v>
      </c>
      <c r="F11" s="531">
        <f>F10/E10-1</f>
        <v>3.9954980303883003E-2</v>
      </c>
      <c r="G11" s="531">
        <f>G10/F10-1</f>
        <v>6.5476190476190466E-2</v>
      </c>
    </row>
    <row r="12" spans="2:8" x14ac:dyDescent="0.2">
      <c r="B12" s="526" t="s">
        <v>480</v>
      </c>
      <c r="C12" s="531">
        <f>C$10/C3</f>
        <v>3.6223879223050724E-2</v>
      </c>
      <c r="D12" s="531">
        <f>D$10/D3</f>
        <v>3.0389135041417839E-2</v>
      </c>
      <c r="E12" s="531">
        <f>E$10/E3</f>
        <v>4.275822224950461E-2</v>
      </c>
      <c r="F12" s="531">
        <f>F$10/F3</f>
        <v>4.2052947820769085E-2</v>
      </c>
      <c r="G12" s="531">
        <f>G$10/G3</f>
        <v>4.6664314790882865E-2</v>
      </c>
    </row>
    <row r="13" spans="2:8" x14ac:dyDescent="0.2">
      <c r="B13" s="482" t="s">
        <v>474</v>
      </c>
      <c r="C13" s="532">
        <f>'Three Statement Model'!G64</f>
        <v>5.6796338672768876</v>
      </c>
      <c r="D13" s="532">
        <f>'Three Statement Model'!L64</f>
        <v>4.2797783933518003</v>
      </c>
      <c r="E13" s="532">
        <f>'Three Statement Model'!Q64</f>
        <v>6.2212271041864478</v>
      </c>
      <c r="F13" s="532">
        <f>'Three Statement Model'!R64</f>
        <v>8.8418916363534628</v>
      </c>
      <c r="G13" s="532">
        <f>'Three Statement Model'!S64</f>
        <v>8.7512824467529367</v>
      </c>
    </row>
    <row r="14" spans="2:8" x14ac:dyDescent="0.2">
      <c r="B14" s="526" t="s">
        <v>246</v>
      </c>
      <c r="C14" s="531">
        <f>C13/'Three Statement Model'!$F$64-1</f>
        <v>-9.6622012794648771E-2</v>
      </c>
      <c r="D14" s="531">
        <f>D13/C13-1</f>
        <v>-0.24646931591670551</v>
      </c>
      <c r="E14" s="531">
        <f>E13/D13-1</f>
        <v>0.4536329997484192</v>
      </c>
      <c r="F14" s="531">
        <f>F13/E13-1</f>
        <v>0.42124559805950379</v>
      </c>
      <c r="G14" s="531">
        <f>G13/F13-1</f>
        <v>-1.0247715458079787E-2</v>
      </c>
    </row>
    <row r="15" spans="2:8" x14ac:dyDescent="0.2">
      <c r="B15" s="526" t="s">
        <v>476</v>
      </c>
      <c r="C15" s="531">
        <f>'Three Statement Model'!G60/'Three Statement Model'!G40</f>
        <v>2.8560250391236306E-2</v>
      </c>
      <c r="D15" s="531">
        <f>'Three Statement Model'!L60/'Three Statement Model'!L40</f>
        <v>2.2322288576382202E-2</v>
      </c>
      <c r="E15" s="531">
        <f>'Three Statement Model'!Q60/'Three Statement Model'!Q40</f>
        <v>3.1733564670302937E-2</v>
      </c>
      <c r="F15" s="531">
        <f>'Three Statement Model'!R60/'Three Statement Model'!R40</f>
        <v>4.2002376771262603E-2</v>
      </c>
      <c r="G15" s="531">
        <f>'Three Statement Model'!S60/'Three Statement Model'!S40</f>
        <v>4.1984011173102805E-2</v>
      </c>
    </row>
    <row r="16" spans="2:8" x14ac:dyDescent="0.2">
      <c r="B16" s="482" t="s">
        <v>475</v>
      </c>
      <c r="C16" s="532">
        <f>'Three Statement Model'!G64</f>
        <v>5.6796338672768876</v>
      </c>
      <c r="D16" s="532">
        <f>'Three Statement Model'!L64</f>
        <v>4.2797783933518003</v>
      </c>
      <c r="E16" s="532">
        <v>6.32</v>
      </c>
      <c r="F16" s="532">
        <v>6.74</v>
      </c>
      <c r="G16" s="532">
        <v>7.41</v>
      </c>
    </row>
    <row r="17" spans="2:7" x14ac:dyDescent="0.2">
      <c r="B17" s="526" t="s">
        <v>246</v>
      </c>
      <c r="C17" s="531">
        <f>C16/'Three Statement Model'!$F$64-1</f>
        <v>-9.6622012794648771E-2</v>
      </c>
      <c r="D17" s="531">
        <f>D16/C16-1</f>
        <v>-0.24646931591670551</v>
      </c>
      <c r="E17" s="531">
        <f>E16/D16-1</f>
        <v>0.47671197411003252</v>
      </c>
      <c r="F17" s="531">
        <f>F16/E16-1</f>
        <v>6.6455696202531556E-2</v>
      </c>
      <c r="G17" s="531">
        <f>G16/F16-1</f>
        <v>9.9406528189911025E-2</v>
      </c>
    </row>
    <row r="18" spans="2:7" x14ac:dyDescent="0.2">
      <c r="B18" s="526" t="s">
        <v>476</v>
      </c>
      <c r="C18" s="531">
        <f>'Three Statement Model'!G60/'Three Statement Model'!G40</f>
        <v>2.8560250391236306E-2</v>
      </c>
      <c r="D18" s="531">
        <f>'Three Statement Model'!L60/'Three Statement Model'!L40</f>
        <v>2.2322288576382202E-2</v>
      </c>
      <c r="E18" s="531">
        <f>1340/E5</f>
        <v>3.2005350148084456E-2</v>
      </c>
      <c r="F18" s="531">
        <f>1406/F5</f>
        <v>3.3154121863799284E-2</v>
      </c>
      <c r="G18" s="531">
        <f>1500/G5</f>
        <v>3.4703745690951575E-2</v>
      </c>
    </row>
    <row r="22" spans="2:7" ht="16" thickBot="1" x14ac:dyDescent="0.25">
      <c r="B22" s="761" t="s">
        <v>536</v>
      </c>
      <c r="C22" s="761"/>
      <c r="D22" s="761"/>
      <c r="F22" s="653"/>
    </row>
    <row r="23" spans="2:7" ht="16" thickBot="1" x14ac:dyDescent="0.25">
      <c r="B23" s="650" t="s">
        <v>537</v>
      </c>
      <c r="C23" s="650"/>
      <c r="D23" s="650"/>
      <c r="F23" s="654"/>
    </row>
    <row r="24" spans="2:7" x14ac:dyDescent="0.2">
      <c r="B24" s="651" t="s">
        <v>538</v>
      </c>
      <c r="C24" s="651"/>
      <c r="D24" s="652">
        <f>SUMMARY!E3</f>
        <v>69.61</v>
      </c>
    </row>
    <row r="25" spans="2:7" ht="16" thickBot="1" x14ac:dyDescent="0.25">
      <c r="B25" s="651" t="s">
        <v>541</v>
      </c>
      <c r="C25" s="651"/>
      <c r="D25" s="651">
        <f>'Three Statement Model'!O62</f>
        <v>212.1</v>
      </c>
    </row>
    <row r="26" spans="2:7" ht="16" thickBot="1" x14ac:dyDescent="0.25">
      <c r="B26" s="655" t="s">
        <v>198</v>
      </c>
      <c r="C26" s="656"/>
      <c r="D26" s="657">
        <f>PRODUCT(D24:D25)</f>
        <v>14764.280999999999</v>
      </c>
    </row>
    <row r="27" spans="2:7" x14ac:dyDescent="0.2">
      <c r="B27" s="651" t="s">
        <v>539</v>
      </c>
      <c r="C27" s="651"/>
      <c r="D27" s="658">
        <f>-'Three Statement Model'!O70</f>
        <v>-923</v>
      </c>
    </row>
    <row r="28" spans="2:7" ht="16" thickBot="1" x14ac:dyDescent="0.25">
      <c r="B28" s="651" t="s">
        <v>540</v>
      </c>
      <c r="C28" s="651"/>
      <c r="D28" s="658">
        <f>'Three Statement Model'!O92</f>
        <v>1155</v>
      </c>
    </row>
    <row r="29" spans="2:7" ht="16" thickBot="1" x14ac:dyDescent="0.25">
      <c r="B29" s="655" t="s">
        <v>196</v>
      </c>
      <c r="C29" s="656"/>
      <c r="D29" s="657">
        <f>SUM(D26:D28)</f>
        <v>14996.280999999999</v>
      </c>
    </row>
  </sheetData>
  <mergeCells count="1">
    <mergeCell ref="B22:D22"/>
  </mergeCells>
  <pageMargins left="0.7" right="0.7" top="0.75" bottom="0.75" header="0.3" footer="0.3"/>
  <ignoredErrors>
    <ignoredError sqref="C4:D4 C5:D5 D7:G7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D4260-2A98-4CC4-94A8-544430C0729F}">
  <sheetPr>
    <tabColor rgb="FF0044BF"/>
  </sheetPr>
  <dimension ref="A1:U146"/>
  <sheetViews>
    <sheetView showGridLines="0" zoomScale="75" workbookViewId="0">
      <selection activeCell="S1" sqref="S1:AL1048576"/>
    </sheetView>
  </sheetViews>
  <sheetFormatPr baseColWidth="10" defaultColWidth="8.6640625" defaultRowHeight="15" x14ac:dyDescent="0.2"/>
  <cols>
    <col min="1" max="1" width="10.83203125" bestFit="1" customWidth="1"/>
    <col min="2" max="5" width="9.33203125" customWidth="1"/>
    <col min="6" max="6" width="10" bestFit="1" customWidth="1"/>
    <col min="7" max="7" width="11.33203125" bestFit="1" customWidth="1"/>
    <col min="8" max="8" width="10.33203125" bestFit="1" customWidth="1"/>
    <col min="9" max="9" width="11" bestFit="1" customWidth="1"/>
  </cols>
  <sheetData>
    <row r="1" spans="1:2" x14ac:dyDescent="0.2">
      <c r="A1" s="473" t="s">
        <v>564</v>
      </c>
      <c r="B1" s="473" t="s">
        <v>565</v>
      </c>
    </row>
    <row r="2" spans="1:2" x14ac:dyDescent="0.2">
      <c r="A2" s="697">
        <f>DATE(YEAR(A3)+1,MONTH(A3),DAY(A3))</f>
        <v>46385</v>
      </c>
      <c r="B2" s="473"/>
    </row>
    <row r="3" spans="1:2" x14ac:dyDescent="0.2">
      <c r="A3" s="693">
        <v>46020</v>
      </c>
      <c r="B3" s="694">
        <v>67.84</v>
      </c>
    </row>
    <row r="4" spans="1:2" x14ac:dyDescent="0.2">
      <c r="A4" s="695">
        <v>46017</v>
      </c>
      <c r="B4" s="696">
        <v>69.61</v>
      </c>
    </row>
    <row r="5" spans="1:2" x14ac:dyDescent="0.2">
      <c r="A5" s="693">
        <v>46010</v>
      </c>
      <c r="B5" s="694">
        <v>71.83</v>
      </c>
    </row>
    <row r="6" spans="1:2" x14ac:dyDescent="0.2">
      <c r="A6" s="695">
        <v>46003</v>
      </c>
      <c r="B6" s="696">
        <v>73.459999999999994</v>
      </c>
    </row>
    <row r="7" spans="1:2" x14ac:dyDescent="0.2">
      <c r="A7" s="693">
        <v>45996</v>
      </c>
      <c r="B7" s="694">
        <v>74.17</v>
      </c>
    </row>
    <row r="8" spans="1:2" x14ac:dyDescent="0.2">
      <c r="A8" s="695">
        <v>45989</v>
      </c>
      <c r="B8" s="696">
        <v>79.28</v>
      </c>
    </row>
    <row r="9" spans="1:2" x14ac:dyDescent="0.2">
      <c r="A9" s="693">
        <v>45982</v>
      </c>
      <c r="B9" s="694">
        <v>76.45</v>
      </c>
    </row>
    <row r="10" spans="1:2" x14ac:dyDescent="0.2">
      <c r="A10" s="695">
        <v>45975</v>
      </c>
      <c r="B10" s="696">
        <v>75.72</v>
      </c>
    </row>
    <row r="11" spans="1:2" x14ac:dyDescent="0.2">
      <c r="A11" s="693">
        <v>45968</v>
      </c>
      <c r="B11" s="694">
        <v>79.03</v>
      </c>
    </row>
    <row r="12" spans="1:2" x14ac:dyDescent="0.2">
      <c r="A12" s="695">
        <v>45961</v>
      </c>
      <c r="B12" s="696">
        <v>82.14</v>
      </c>
    </row>
    <row r="13" spans="1:2" x14ac:dyDescent="0.2">
      <c r="A13" s="693">
        <v>45954</v>
      </c>
      <c r="B13" s="694">
        <v>83.26</v>
      </c>
    </row>
    <row r="14" spans="1:2" x14ac:dyDescent="0.2">
      <c r="A14" s="695">
        <v>45947</v>
      </c>
      <c r="B14" s="696">
        <v>79.709999999999994</v>
      </c>
    </row>
    <row r="15" spans="1:2" x14ac:dyDescent="0.2">
      <c r="A15" s="693">
        <v>45940</v>
      </c>
      <c r="B15" s="694">
        <v>70.430000000000007</v>
      </c>
    </row>
    <row r="16" spans="1:2" x14ac:dyDescent="0.2">
      <c r="A16" s="695">
        <v>45933</v>
      </c>
      <c r="B16" s="696">
        <v>76.86</v>
      </c>
    </row>
    <row r="17" spans="1:20" x14ac:dyDescent="0.2">
      <c r="A17" s="693">
        <v>45926</v>
      </c>
      <c r="B17" s="694">
        <v>76.150000000000006</v>
      </c>
    </row>
    <row r="18" spans="1:20" x14ac:dyDescent="0.2">
      <c r="A18" s="695">
        <v>45919</v>
      </c>
      <c r="B18" s="696">
        <v>72.23</v>
      </c>
      <c r="T18" s="473"/>
    </row>
    <row r="19" spans="1:20" x14ac:dyDescent="0.2">
      <c r="A19" s="693">
        <v>45912</v>
      </c>
      <c r="B19" s="694">
        <v>75.87</v>
      </c>
    </row>
    <row r="20" spans="1:20" x14ac:dyDescent="0.2">
      <c r="A20" s="695">
        <v>45905</v>
      </c>
      <c r="B20" s="696">
        <v>76.17</v>
      </c>
      <c r="T20" s="473"/>
    </row>
    <row r="21" spans="1:20" x14ac:dyDescent="0.2">
      <c r="A21" s="693">
        <v>45898</v>
      </c>
      <c r="B21" s="694">
        <v>73.64</v>
      </c>
    </row>
    <row r="22" spans="1:20" x14ac:dyDescent="0.2">
      <c r="A22" s="695">
        <v>45891</v>
      </c>
      <c r="B22" s="696">
        <v>75.39</v>
      </c>
    </row>
    <row r="23" spans="1:20" x14ac:dyDescent="0.2">
      <c r="A23" s="693">
        <v>45884</v>
      </c>
      <c r="B23" s="694">
        <v>71.63</v>
      </c>
    </row>
    <row r="24" spans="1:20" x14ac:dyDescent="0.2">
      <c r="A24" s="695">
        <v>45877</v>
      </c>
      <c r="B24" s="696">
        <v>68.97</v>
      </c>
    </row>
    <row r="25" spans="1:20" x14ac:dyDescent="0.2">
      <c r="A25" s="693">
        <v>45870</v>
      </c>
      <c r="B25" s="694">
        <v>64.12</v>
      </c>
    </row>
    <row r="26" spans="1:20" x14ac:dyDescent="0.2">
      <c r="A26" s="695">
        <v>45863</v>
      </c>
      <c r="B26" s="696">
        <v>67.44</v>
      </c>
    </row>
    <row r="27" spans="1:20" x14ac:dyDescent="0.2">
      <c r="A27" s="693">
        <v>45856</v>
      </c>
      <c r="B27" s="694">
        <v>67.55</v>
      </c>
    </row>
    <row r="28" spans="1:20" x14ac:dyDescent="0.2">
      <c r="A28" s="695">
        <v>45849</v>
      </c>
      <c r="B28" s="696">
        <v>71.790000000000006</v>
      </c>
    </row>
    <row r="29" spans="1:20" x14ac:dyDescent="0.2">
      <c r="A29" s="693">
        <v>45841</v>
      </c>
      <c r="B29" s="694">
        <v>72.099999999999994</v>
      </c>
    </row>
    <row r="30" spans="1:20" x14ac:dyDescent="0.2">
      <c r="A30" s="695">
        <v>45835</v>
      </c>
      <c r="B30" s="696">
        <v>68.22</v>
      </c>
    </row>
    <row r="31" spans="1:20" x14ac:dyDescent="0.2">
      <c r="A31" s="693">
        <v>45828</v>
      </c>
      <c r="B31" s="694">
        <v>67.52</v>
      </c>
    </row>
    <row r="32" spans="1:20" x14ac:dyDescent="0.2">
      <c r="A32" s="695">
        <v>45821</v>
      </c>
      <c r="B32" s="696">
        <v>69.599999999999994</v>
      </c>
    </row>
    <row r="33" spans="1:2" x14ac:dyDescent="0.2">
      <c r="A33" s="693">
        <v>45814</v>
      </c>
      <c r="B33" s="694">
        <v>73.02</v>
      </c>
    </row>
    <row r="34" spans="1:2" x14ac:dyDescent="0.2">
      <c r="A34" s="695">
        <v>45807</v>
      </c>
      <c r="B34" s="696">
        <v>66.28</v>
      </c>
    </row>
    <row r="35" spans="1:2" x14ac:dyDescent="0.2">
      <c r="A35" s="693">
        <v>45800</v>
      </c>
      <c r="B35" s="694">
        <v>69.92</v>
      </c>
    </row>
    <row r="36" spans="1:2" x14ac:dyDescent="0.2">
      <c r="A36" s="695">
        <v>45793</v>
      </c>
      <c r="B36" s="696">
        <v>73.8</v>
      </c>
    </row>
    <row r="37" spans="1:2" x14ac:dyDescent="0.2">
      <c r="A37" s="693">
        <v>45786</v>
      </c>
      <c r="B37" s="694">
        <v>68.849999999999994</v>
      </c>
    </row>
    <row r="38" spans="1:2" x14ac:dyDescent="0.2">
      <c r="A38" s="695">
        <v>45779</v>
      </c>
      <c r="B38" s="696">
        <v>68.069999999999993</v>
      </c>
    </row>
    <row r="39" spans="1:2" x14ac:dyDescent="0.2">
      <c r="A39" s="693">
        <v>45772</v>
      </c>
      <c r="B39" s="694">
        <v>67.709999999999994</v>
      </c>
    </row>
    <row r="40" spans="1:2" x14ac:dyDescent="0.2">
      <c r="A40" s="695">
        <v>45764</v>
      </c>
      <c r="B40" s="696">
        <v>61.97</v>
      </c>
    </row>
    <row r="41" spans="1:2" x14ac:dyDescent="0.2">
      <c r="A41" s="693">
        <v>45758</v>
      </c>
      <c r="B41" s="694">
        <v>60.43</v>
      </c>
    </row>
    <row r="42" spans="1:2" x14ac:dyDescent="0.2">
      <c r="A42" s="695">
        <v>45751</v>
      </c>
      <c r="B42" s="696">
        <v>60.44</v>
      </c>
    </row>
    <row r="43" spans="1:2" x14ac:dyDescent="0.2">
      <c r="A43" s="693">
        <v>45744</v>
      </c>
      <c r="B43" s="694">
        <v>72.45</v>
      </c>
    </row>
    <row r="44" spans="1:2" x14ac:dyDescent="0.2">
      <c r="A44" s="695">
        <v>45737</v>
      </c>
      <c r="B44" s="696">
        <v>73.56</v>
      </c>
    </row>
    <row r="45" spans="1:2" x14ac:dyDescent="0.2">
      <c r="A45" s="693">
        <v>45730</v>
      </c>
      <c r="B45" s="694">
        <v>71.489999999999995</v>
      </c>
    </row>
    <row r="46" spans="1:2" x14ac:dyDescent="0.2">
      <c r="A46" s="695">
        <v>45723</v>
      </c>
      <c r="B46" s="696">
        <v>79.41</v>
      </c>
    </row>
    <row r="47" spans="1:2" x14ac:dyDescent="0.2">
      <c r="A47" s="693">
        <v>45716</v>
      </c>
      <c r="B47" s="694">
        <v>89.91</v>
      </c>
    </row>
    <row r="48" spans="1:2" x14ac:dyDescent="0.2">
      <c r="A48" s="695">
        <v>45709</v>
      </c>
      <c r="B48" s="696">
        <v>89.78</v>
      </c>
    </row>
    <row r="49" spans="1:2" x14ac:dyDescent="0.2">
      <c r="A49" s="693">
        <v>45702</v>
      </c>
      <c r="B49" s="694">
        <v>91.1</v>
      </c>
    </row>
    <row r="50" spans="1:2" x14ac:dyDescent="0.2">
      <c r="A50" s="695">
        <v>45695</v>
      </c>
      <c r="B50" s="696">
        <v>84.89</v>
      </c>
    </row>
    <row r="51" spans="1:2" x14ac:dyDescent="0.2">
      <c r="A51" s="693">
        <v>45688</v>
      </c>
      <c r="B51" s="694">
        <v>85.86</v>
      </c>
    </row>
    <row r="52" spans="1:2" x14ac:dyDescent="0.2">
      <c r="A52" s="695">
        <v>45681</v>
      </c>
      <c r="B52" s="696">
        <v>84.73</v>
      </c>
    </row>
    <row r="53" spans="1:2" x14ac:dyDescent="0.2">
      <c r="A53" s="693">
        <v>45674</v>
      </c>
      <c r="B53" s="694">
        <v>81.900000000000006</v>
      </c>
    </row>
    <row r="54" spans="1:2" x14ac:dyDescent="0.2">
      <c r="A54" s="695">
        <v>45667</v>
      </c>
      <c r="B54" s="696">
        <v>83.27</v>
      </c>
    </row>
    <row r="55" spans="1:2" x14ac:dyDescent="0.2">
      <c r="A55" s="693">
        <v>45660</v>
      </c>
      <c r="B55" s="694">
        <v>83.62</v>
      </c>
    </row>
    <row r="56" spans="1:2" x14ac:dyDescent="0.2">
      <c r="A56" s="695">
        <v>45653</v>
      </c>
      <c r="B56" s="696">
        <v>88.03</v>
      </c>
    </row>
    <row r="146" spans="21:21" x14ac:dyDescent="0.2">
      <c r="U146" s="473"/>
    </row>
  </sheetData>
  <pageMargins left="0.7" right="0.7" top="0.75" bottom="0.75" header="0.3" footer="0.3"/>
  <pageSetup orientation="portrait" horizontalDpi="0" verticalDpi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CA313-D43B-44E0-B0DB-BF39227E5944}">
  <sheetPr>
    <tabColor rgb="FF0044BF"/>
  </sheetPr>
  <dimension ref="A2:J44"/>
  <sheetViews>
    <sheetView showGridLines="0" zoomScale="207" workbookViewId="0">
      <selection activeCell="C7" sqref="C7"/>
    </sheetView>
  </sheetViews>
  <sheetFormatPr baseColWidth="10" defaultColWidth="8.6640625" defaultRowHeight="15" x14ac:dyDescent="0.2"/>
  <cols>
    <col min="1" max="1" width="15.33203125" style="20" bestFit="1" customWidth="1"/>
    <col min="2" max="2" width="22.83203125" style="20" bestFit="1" customWidth="1"/>
    <col min="3" max="6" width="10" style="20" bestFit="1" customWidth="1"/>
    <col min="7" max="7" width="9" style="20" bestFit="1" customWidth="1"/>
    <col min="8" max="8" width="9" style="20" customWidth="1"/>
    <col min="9" max="16384" width="8.6640625" style="20"/>
  </cols>
  <sheetData>
    <row r="2" spans="1:8" ht="18" x14ac:dyDescent="0.2">
      <c r="A2" s="19" t="s">
        <v>218</v>
      </c>
      <c r="B2" s="19"/>
      <c r="C2" s="19"/>
      <c r="D2" s="19"/>
      <c r="E2" s="19"/>
      <c r="F2" s="19"/>
      <c r="G2" s="19"/>
      <c r="H2" s="691"/>
    </row>
    <row r="3" spans="1:8" x14ac:dyDescent="0.2">
      <c r="C3" s="21" t="s">
        <v>219</v>
      </c>
      <c r="D3" s="21" t="s">
        <v>220</v>
      </c>
      <c r="E3" s="21" t="s">
        <v>221</v>
      </c>
      <c r="F3" s="21" t="s">
        <v>222</v>
      </c>
      <c r="G3" s="21" t="s">
        <v>223</v>
      </c>
      <c r="H3" s="692"/>
    </row>
    <row r="4" spans="1:8" x14ac:dyDescent="0.2">
      <c r="A4" s="22" t="s">
        <v>224</v>
      </c>
      <c r="C4" s="23"/>
      <c r="D4" s="23"/>
      <c r="E4" s="23"/>
      <c r="F4" s="23"/>
      <c r="G4" s="23"/>
      <c r="H4" s="23"/>
    </row>
    <row r="5" spans="1:8" x14ac:dyDescent="0.2">
      <c r="A5" s="22"/>
      <c r="B5" s="98" t="s">
        <v>516</v>
      </c>
      <c r="C5" s="23">
        <v>51.54</v>
      </c>
      <c r="D5" s="23">
        <v>106.44</v>
      </c>
      <c r="E5" s="23">
        <v>82.15</v>
      </c>
      <c r="F5" s="23">
        <f>C5</f>
        <v>51.54</v>
      </c>
      <c r="G5" s="23">
        <f t="shared" ref="G5:G10" si="0">D5-C5</f>
        <v>54.9</v>
      </c>
      <c r="H5" s="23"/>
    </row>
    <row r="6" spans="1:8" x14ac:dyDescent="0.2">
      <c r="A6" s="22"/>
      <c r="B6" s="98" t="s">
        <v>310</v>
      </c>
      <c r="C6" s="23">
        <f>LBO!O6</f>
        <v>59.795013850415515</v>
      </c>
      <c r="D6" s="23">
        <f>LBO!O7</f>
        <v>66.672206832871652</v>
      </c>
      <c r="E6" s="23">
        <f>LBO!O8</f>
        <v>63.23361034164359</v>
      </c>
      <c r="F6" s="23">
        <f>C6</f>
        <v>59.795013850415515</v>
      </c>
      <c r="G6" s="23">
        <f t="shared" si="0"/>
        <v>6.8771929824561369</v>
      </c>
      <c r="H6" s="23"/>
    </row>
    <row r="7" spans="1:8" x14ac:dyDescent="0.2">
      <c r="A7" s="24" t="s">
        <v>225</v>
      </c>
      <c r="B7" s="20" t="s">
        <v>226</v>
      </c>
      <c r="C7" s="23">
        <f>(MIN(Comparables!R4:R9)*Comparables!I10-Comparables!F10)/SUMMARY!$E$15</f>
        <v>50.742098567028265</v>
      </c>
      <c r="D7" s="23">
        <f>(MEDIAN(Comparables!R4:R9)*Comparables!I10-Comparables!F10)/SUMMARY!$E$15</f>
        <v>76.817563646729141</v>
      </c>
      <c r="E7" s="23">
        <f>Comparables!R25</f>
        <v>67.300555259659887</v>
      </c>
      <c r="F7" s="23">
        <f>C7</f>
        <v>50.742098567028265</v>
      </c>
      <c r="G7" s="23">
        <f t="shared" si="0"/>
        <v>26.075465079700876</v>
      </c>
      <c r="H7" s="23"/>
    </row>
    <row r="8" spans="1:8" x14ac:dyDescent="0.2">
      <c r="A8" s="24"/>
      <c r="B8" s="20" t="s">
        <v>227</v>
      </c>
      <c r="C8" s="23">
        <f>(MIN(Comparables!Q4:Q9)*Comparables!J10-Comparables!F10)/SUMMARY!$E$15</f>
        <v>57.347920141571095</v>
      </c>
      <c r="D8" s="23">
        <f>(MEDIAN(Comparables!Q4:Q9)*Comparables!J10-Comparables!F10)/SUMMARY!$E$15</f>
        <v>76.605437359628311</v>
      </c>
      <c r="E8" s="23">
        <f>Comparables!Q25</f>
        <v>72.642693109816292</v>
      </c>
      <c r="F8" s="23">
        <f>C8</f>
        <v>57.347920141571095</v>
      </c>
      <c r="G8" s="23">
        <f t="shared" si="0"/>
        <v>19.257517218057217</v>
      </c>
      <c r="H8" s="23"/>
    </row>
    <row r="9" spans="1:8" x14ac:dyDescent="0.2">
      <c r="A9" s="24"/>
      <c r="B9" s="20" t="s">
        <v>206</v>
      </c>
      <c r="C9" s="23">
        <f>(MIN(Comparables!S4:S9)*Comparables!K10-Comparables!F10)/SUMMARY!$E$15</f>
        <v>51.083563255737964</v>
      </c>
      <c r="D9" s="23">
        <f>(MEDIAN(Comparables!S4:S9)*Comparables!K10-Comparables!F10)/SUMMARY!$E$15</f>
        <v>74.335428513730847</v>
      </c>
      <c r="E9" s="23">
        <f>Comparables!S25</f>
        <v>61.990136883490806</v>
      </c>
      <c r="F9" s="23">
        <f>C9</f>
        <v>51.083563255737964</v>
      </c>
      <c r="G9" s="23">
        <f t="shared" si="0"/>
        <v>23.251865257992883</v>
      </c>
      <c r="H9" s="23"/>
    </row>
    <row r="10" spans="1:8" x14ac:dyDescent="0.2">
      <c r="A10" s="24"/>
      <c r="B10" s="20" t="s">
        <v>228</v>
      </c>
      <c r="C10" s="23">
        <v>54.99</v>
      </c>
      <c r="D10" s="23">
        <v>91.72</v>
      </c>
      <c r="E10" s="23"/>
      <c r="F10" s="23">
        <v>54.99</v>
      </c>
      <c r="G10" s="23">
        <f t="shared" si="0"/>
        <v>36.729999999999997</v>
      </c>
      <c r="H10" s="23"/>
    </row>
    <row r="11" spans="1:8" x14ac:dyDescent="0.2">
      <c r="A11" s="25" t="s">
        <v>229</v>
      </c>
      <c r="B11" s="26">
        <v>0.1</v>
      </c>
      <c r="C11" s="27"/>
      <c r="D11" s="27"/>
    </row>
    <row r="12" spans="1:8" x14ac:dyDescent="0.2">
      <c r="E12" s="28"/>
      <c r="F12" s="27"/>
    </row>
    <row r="13" spans="1:8" x14ac:dyDescent="0.2">
      <c r="C13" s="27"/>
      <c r="D13" s="29"/>
      <c r="F13" s="27"/>
    </row>
    <row r="14" spans="1:8" x14ac:dyDescent="0.2">
      <c r="C14" s="27"/>
      <c r="D14" s="29"/>
    </row>
    <row r="15" spans="1:8" x14ac:dyDescent="0.2">
      <c r="C15" s="27"/>
      <c r="D15" s="27"/>
    </row>
    <row r="16" spans="1:8" x14ac:dyDescent="0.2">
      <c r="C16" s="27"/>
      <c r="D16" s="27"/>
    </row>
    <row r="17" spans="3:4" x14ac:dyDescent="0.2">
      <c r="C17" s="27"/>
      <c r="D17" s="27"/>
    </row>
    <row r="44" spans="10:10" x14ac:dyDescent="0.2">
      <c r="J44" s="98"/>
    </row>
  </sheetData>
  <pageMargins left="0.7" right="0.7" top="0.75" bottom="0.75" header="0.3" footer="0.3"/>
  <pageSetup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008FE-0F55-E544-860D-41CF52D5858C}">
  <sheetPr>
    <tabColor rgb="FF00FF00"/>
  </sheetPr>
  <dimension ref="A1:G110"/>
  <sheetViews>
    <sheetView showGridLines="0" zoomScale="200" workbookViewId="0">
      <pane ySplit="1" topLeftCell="A2" activePane="bottomLeft" state="frozen"/>
      <selection pane="bottomLeft" activeCell="E34" sqref="E34"/>
    </sheetView>
  </sheetViews>
  <sheetFormatPr baseColWidth="10" defaultRowHeight="16" outlineLevelRow="1" x14ac:dyDescent="0.2"/>
  <cols>
    <col min="1" max="1" width="53" style="128" bestFit="1" customWidth="1"/>
    <col min="2" max="2" width="10.6640625" style="128" customWidth="1"/>
    <col min="3" max="3" width="6.33203125" style="128" customWidth="1"/>
    <col min="4" max="4" width="44.1640625" style="128" customWidth="1"/>
    <col min="5" max="5" width="19.1640625" style="128" bestFit="1" customWidth="1"/>
    <col min="6" max="6" width="11" style="128" customWidth="1"/>
    <col min="7" max="16384" width="10.83203125" style="128"/>
  </cols>
  <sheetData>
    <row r="1" spans="1:7" ht="17" thickBot="1" x14ac:dyDescent="0.25">
      <c r="A1" s="730" t="s">
        <v>337</v>
      </c>
      <c r="B1" s="731"/>
      <c r="C1" s="165"/>
      <c r="D1" s="729" t="s">
        <v>40</v>
      </c>
      <c r="E1" s="729"/>
      <c r="F1" s="127"/>
    </row>
    <row r="2" spans="1:7" ht="18" thickTop="1" thickBot="1" x14ac:dyDescent="0.25">
      <c r="A2" s="160" t="s">
        <v>395</v>
      </c>
      <c r="B2" s="157" t="s">
        <v>300</v>
      </c>
      <c r="D2" s="129"/>
      <c r="E2" s="130"/>
      <c r="F2" s="468"/>
    </row>
    <row r="3" spans="1:7" ht="18" thickTop="1" thickBot="1" x14ac:dyDescent="0.25">
      <c r="A3" s="411" t="s">
        <v>423</v>
      </c>
      <c r="D3" s="467" t="s">
        <v>549</v>
      </c>
      <c r="E3" s="466">
        <v>69.61</v>
      </c>
      <c r="F3" s="469"/>
    </row>
    <row r="4" spans="1:7" ht="18" thickTop="1" thickBot="1" x14ac:dyDescent="0.25">
      <c r="A4" s="732" t="s">
        <v>314</v>
      </c>
      <c r="B4" s="733"/>
      <c r="D4" s="158" t="s">
        <v>547</v>
      </c>
      <c r="E4" s="131">
        <f>E16/E3-1</f>
        <v>0.18016302791081218</v>
      </c>
      <c r="F4" s="469"/>
      <c r="G4" s="300"/>
    </row>
    <row r="5" spans="1:7" ht="18" thickTop="1" thickBot="1" x14ac:dyDescent="0.25">
      <c r="A5" s="163" t="s">
        <v>1</v>
      </c>
      <c r="B5" s="162"/>
      <c r="D5" s="158" t="s">
        <v>548</v>
      </c>
      <c r="E5" s="131">
        <f>E26/E3-1</f>
        <v>0.25443252808625827</v>
      </c>
    </row>
    <row r="6" spans="1:7" ht="18" thickTop="1" thickBot="1" x14ac:dyDescent="0.25">
      <c r="A6" s="241" t="s">
        <v>322</v>
      </c>
      <c r="B6" s="133"/>
      <c r="D6" s="159" t="s">
        <v>356</v>
      </c>
      <c r="E6" s="131">
        <f>E37/E3-1</f>
        <v>-9.160163278776623E-2</v>
      </c>
    </row>
    <row r="7" spans="1:7" ht="17" thickTop="1" x14ac:dyDescent="0.2">
      <c r="A7" s="145" t="s">
        <v>535</v>
      </c>
      <c r="B7" s="140">
        <f>AVERAGE('Seg Rev Build--Source Data'!C4:E4,'Seg Rev Build--Source Data'!I4:N4)*(1+B8)^2</f>
        <v>47281.218144431783</v>
      </c>
    </row>
    <row r="8" spans="1:7" x14ac:dyDescent="0.2">
      <c r="A8" s="145" t="s">
        <v>323</v>
      </c>
      <c r="B8" s="141">
        <f>'Seg Rev Build--Source Data'!B19</f>
        <v>0</v>
      </c>
      <c r="C8" s="132"/>
      <c r="D8" s="727" t="s">
        <v>333</v>
      </c>
      <c r="E8" s="728"/>
    </row>
    <row r="9" spans="1:7" x14ac:dyDescent="0.2">
      <c r="A9" s="145" t="s">
        <v>403</v>
      </c>
      <c r="B9" s="407">
        <f>IF(B2="Bull",MAX('Seg Rev Build--Source Data'!C9:E9,'Seg Rev Build--Source Data'!I9),IF(B2="Bear",MIN('Seg Rev Build--Source Data'!C9:E9,'Seg Rev Build--Source Data'!I9),AVERAGE('Seg Rev Build--Source Data'!C9:E9,'Seg Rev Build--Source Data'!I9)))</f>
        <v>0.39705559376525529</v>
      </c>
      <c r="D9" s="147" t="s">
        <v>189</v>
      </c>
      <c r="E9" s="151">
        <f>'DCF Valuation &amp; Sensitivity'!D53</f>
        <v>5629.2317367103906</v>
      </c>
    </row>
    <row r="10" spans="1:7" x14ac:dyDescent="0.2">
      <c r="A10" s="145" t="s">
        <v>498</v>
      </c>
      <c r="B10" s="407">
        <f>IF(B2="Bear",-0.2%,IF(B2="Bull",0.2%,0))-0.5%</f>
        <v>-5.0000000000000001E-3</v>
      </c>
      <c r="D10" s="146" t="s">
        <v>332</v>
      </c>
      <c r="E10" s="149">
        <f>'DCF Valuation &amp; Sensitivity'!D51</f>
        <v>11740.707000853607</v>
      </c>
    </row>
    <row r="11" spans="1:7" x14ac:dyDescent="0.2">
      <c r="A11" s="241" t="s">
        <v>324</v>
      </c>
      <c r="B11" s="133"/>
      <c r="D11" s="154" t="s">
        <v>486</v>
      </c>
      <c r="E11" s="155">
        <f>SUM(E9:E10)</f>
        <v>17369.938737563996</v>
      </c>
    </row>
    <row r="12" spans="1:7" x14ac:dyDescent="0.2">
      <c r="A12" s="145" t="s">
        <v>17</v>
      </c>
      <c r="B12" s="407">
        <f>IF(B2="Bear",B9,'Seg Rev Build--Source Data'!B13)</f>
        <v>0.72538417757087936</v>
      </c>
      <c r="D12" s="147" t="s">
        <v>330</v>
      </c>
      <c r="E12" s="149">
        <f>'Three Statement Model'!L70</f>
        <v>1578</v>
      </c>
    </row>
    <row r="13" spans="1:7" x14ac:dyDescent="0.2">
      <c r="A13" s="241" t="s">
        <v>325</v>
      </c>
      <c r="B13" s="133"/>
      <c r="D13" s="148" t="s">
        <v>331</v>
      </c>
      <c r="E13" s="150">
        <f>-'Three Statement Model'!L92-'Three Statement Model'!L89</f>
        <v>-1154</v>
      </c>
    </row>
    <row r="14" spans="1:7" x14ac:dyDescent="0.2">
      <c r="A14" s="144" t="s">
        <v>342</v>
      </c>
      <c r="B14" s="141">
        <f>'Seg Rev Build--Source Data'!B16</f>
        <v>0.31</v>
      </c>
      <c r="D14" s="154" t="s">
        <v>301</v>
      </c>
      <c r="E14" s="155">
        <f>SUM(E11:E13)</f>
        <v>17793.938737563996</v>
      </c>
    </row>
    <row r="15" spans="1:7" x14ac:dyDescent="0.2">
      <c r="A15" s="144" t="s">
        <v>404</v>
      </c>
      <c r="B15" s="419">
        <f>'Seg Rev Build--Source Data'!B17</f>
        <v>2026</v>
      </c>
      <c r="D15" s="147" t="s">
        <v>199</v>
      </c>
      <c r="E15" s="567">
        <f>'Three Statement Model'!L62</f>
        <v>216.6</v>
      </c>
    </row>
    <row r="16" spans="1:7" x14ac:dyDescent="0.2">
      <c r="A16" s="144" t="s">
        <v>350</v>
      </c>
      <c r="B16" s="410">
        <f>IF(B2="Bull",0.7,IF(B2="Bear",0.5,0.6))</f>
        <v>0.6</v>
      </c>
      <c r="D16" s="134" t="s">
        <v>247</v>
      </c>
      <c r="E16" s="135">
        <f>E14/E15</f>
        <v>82.151148372871631</v>
      </c>
    </row>
    <row r="17" spans="1:6" x14ac:dyDescent="0.2">
      <c r="A17" s="144" t="s">
        <v>425</v>
      </c>
      <c r="B17" s="141">
        <f>'Seg Rev Build--Source Data'!B18</f>
        <v>0.37078907435508346</v>
      </c>
    </row>
    <row r="18" spans="1:6" x14ac:dyDescent="0.2">
      <c r="A18" s="144" t="s">
        <v>326</v>
      </c>
      <c r="B18" s="408">
        <f>IF(B2="Bull",2029,IF(B2="Bear",2027,2028))</f>
        <v>2028</v>
      </c>
      <c r="D18" s="727" t="s">
        <v>487</v>
      </c>
      <c r="E18" s="728"/>
    </row>
    <row r="19" spans="1:6" x14ac:dyDescent="0.2">
      <c r="A19" s="163" t="s">
        <v>2</v>
      </c>
      <c r="B19" s="162"/>
      <c r="D19" s="136" t="s">
        <v>569</v>
      </c>
      <c r="E19" s="137">
        <f>AVERAGE('DCF Valuation &amp; Sensitivity'!O17)</f>
        <v>2794.9238077763403</v>
      </c>
    </row>
    <row r="20" spans="1:6" x14ac:dyDescent="0.2">
      <c r="A20" s="145" t="s">
        <v>323</v>
      </c>
      <c r="B20" s="671">
        <f>'Seg Rev Build--Source Data'!B81+IF(B2="Bull",0.2%,IF(B2="Bear",-0.2%,0))</f>
        <v>-1.1432953250602673E-2</v>
      </c>
      <c r="D20" s="147" t="s">
        <v>570</v>
      </c>
      <c r="E20" s="161">
        <f>Comparables!Q10*10.5/12.7</f>
        <v>6.8537607372942029</v>
      </c>
    </row>
    <row r="21" spans="1:6" ht="17" thickBot="1" x14ac:dyDescent="0.25">
      <c r="A21" s="145" t="s">
        <v>555</v>
      </c>
      <c r="B21" s="673">
        <v>4.2999999999999997E-2</v>
      </c>
      <c r="D21" s="154" t="s">
        <v>486</v>
      </c>
      <c r="E21" s="155">
        <f>E20*E19</f>
        <v>19155.73905746629</v>
      </c>
    </row>
    <row r="22" spans="1:6" ht="17" thickTop="1" x14ac:dyDescent="0.2">
      <c r="A22" s="145" t="s">
        <v>556</v>
      </c>
      <c r="B22" s="672">
        <f>'Seg Rev Build--Source Data'!B84</f>
        <v>0</v>
      </c>
      <c r="C22" s="533"/>
      <c r="D22" s="147" t="s">
        <v>330</v>
      </c>
      <c r="E22" s="152">
        <f>'Three Statement Model'!O70</f>
        <v>923</v>
      </c>
      <c r="F22" s="138"/>
    </row>
    <row r="23" spans="1:6" x14ac:dyDescent="0.2">
      <c r="A23" s="145" t="s">
        <v>426</v>
      </c>
      <c r="B23" s="407">
        <f>'Seg Rev Build--Source Data'!B85+IF(B2="Bull",0.5%,IF(B2="Bear",-0.5%,0))</f>
        <v>-5.5673608582633149E-2</v>
      </c>
      <c r="D23" s="148" t="s">
        <v>331</v>
      </c>
      <c r="E23" s="153">
        <f>-('Three Statement Model'!O89+'Three Statement Model'!O92)</f>
        <v>-1165</v>
      </c>
    </row>
    <row r="24" spans="1:6" x14ac:dyDescent="0.2">
      <c r="A24" s="163" t="s">
        <v>4</v>
      </c>
      <c r="B24" s="164"/>
      <c r="D24" s="154" t="s">
        <v>301</v>
      </c>
      <c r="E24" s="156">
        <f>SUM(E21:E23)</f>
        <v>18913.73905746629</v>
      </c>
    </row>
    <row r="25" spans="1:6" x14ac:dyDescent="0.2">
      <c r="A25" s="145" t="s">
        <v>323</v>
      </c>
      <c r="B25" s="407">
        <f>'Seg Rev Build--Source Data'!B91+IF(B2="Bull",0.3%,IF(B2="Bear",-0.3%,0))</f>
        <v>1.6697498806923283E-2</v>
      </c>
      <c r="D25" s="147" t="s">
        <v>199</v>
      </c>
      <c r="E25" s="567">
        <f>'Three Statement Model'!L62</f>
        <v>216.6</v>
      </c>
    </row>
    <row r="26" spans="1:6" x14ac:dyDescent="0.2">
      <c r="A26" s="145" t="s">
        <v>336</v>
      </c>
      <c r="B26" s="621">
        <f>'Seg Rev Build--Source Data'!B94</f>
        <v>3.2729152534520356E-2</v>
      </c>
      <c r="D26" s="134" t="s">
        <v>247</v>
      </c>
      <c r="E26" s="135">
        <f>E24/E25</f>
        <v>87.32104828008444</v>
      </c>
    </row>
    <row r="27" spans="1:6" x14ac:dyDescent="0.2">
      <c r="A27" s="145" t="s">
        <v>426</v>
      </c>
      <c r="B27" s="407">
        <f>'Seg Rev Build--Source Data'!B101+IF(B2="Bull",0.5%,IF(B2="Bear",-0.5%,0))</f>
        <v>-4.1772308846655948E-2</v>
      </c>
    </row>
    <row r="28" spans="1:6" x14ac:dyDescent="0.2">
      <c r="A28" s="163" t="s">
        <v>3</v>
      </c>
      <c r="B28" s="164"/>
      <c r="D28" s="727" t="s">
        <v>334</v>
      </c>
      <c r="E28" s="728"/>
    </row>
    <row r="29" spans="1:6" x14ac:dyDescent="0.2">
      <c r="A29" s="145" t="s">
        <v>407</v>
      </c>
      <c r="B29" s="407">
        <f>'Seg Rev Build--Source Data'!B107+IF(B2="Bull",1%,IF(B2="Bear",-1%,0))</f>
        <v>4.0333333333333332E-2</v>
      </c>
      <c r="D29" s="136" t="s">
        <v>340</v>
      </c>
      <c r="E29" s="137">
        <f>'DCF Valuation &amp; Sensitivity'!J13</f>
        <v>2128</v>
      </c>
    </row>
    <row r="30" spans="1:6" x14ac:dyDescent="0.2">
      <c r="A30" s="145" t="s">
        <v>328</v>
      </c>
      <c r="B30" s="409">
        <f>2031+IF(B2="Bull",-2,IF(B2="Bear",2,0))</f>
        <v>2031</v>
      </c>
      <c r="D30" s="147" t="s">
        <v>434</v>
      </c>
      <c r="E30" s="161">
        <f>LBO!L6</f>
        <v>6.2</v>
      </c>
    </row>
    <row r="31" spans="1:6" x14ac:dyDescent="0.2">
      <c r="A31" s="163" t="s">
        <v>6</v>
      </c>
      <c r="B31" s="164"/>
      <c r="D31" s="146" t="s">
        <v>435</v>
      </c>
      <c r="E31" s="161">
        <f>LBO!L7</f>
        <v>6.9</v>
      </c>
    </row>
    <row r="32" spans="1:6" x14ac:dyDescent="0.2">
      <c r="A32" s="145" t="s">
        <v>551</v>
      </c>
      <c r="B32" s="407">
        <f>'Seg Rev Build--Source Data'!B71+IF(B2="Bull",0.3%,IF(B2="Bear",-0.3%,0))</f>
        <v>6.8224250596411157E-2</v>
      </c>
      <c r="D32" s="154" t="s">
        <v>486</v>
      </c>
      <c r="E32" s="155">
        <f>AVERAGE(E30:E31)*E29</f>
        <v>13938.400000000001</v>
      </c>
    </row>
    <row r="33" spans="1:5" x14ac:dyDescent="0.2">
      <c r="A33" s="163" t="s">
        <v>10</v>
      </c>
      <c r="B33" s="164"/>
      <c r="D33" s="147" t="s">
        <v>330</v>
      </c>
      <c r="E33" s="152">
        <f>'Three Statement Model'!O70</f>
        <v>923</v>
      </c>
    </row>
    <row r="34" spans="1:5" x14ac:dyDescent="0.2">
      <c r="A34" s="145" t="s">
        <v>523</v>
      </c>
      <c r="B34" s="299">
        <f>'Seg Rev Build--Source Data'!B32*(1+'Seg Rev Build--Source Data'!B27)</f>
        <v>200729.43340820214</v>
      </c>
      <c r="D34" s="148" t="s">
        <v>331</v>
      </c>
      <c r="E34" s="153">
        <f>-'Three Statement Model'!O92-'Three Statement Model'!O89</f>
        <v>-1165</v>
      </c>
    </row>
    <row r="35" spans="1:5" x14ac:dyDescent="0.2">
      <c r="A35" s="145" t="s">
        <v>405</v>
      </c>
      <c r="B35" s="407">
        <f>'Seg Rev Build--Source Data'!B27+IF(B2="Bull",0.5%,IF(B2="Bear",-0.5%,0))</f>
        <v>4.7648399834040463E-2</v>
      </c>
      <c r="D35" s="154" t="s">
        <v>301</v>
      </c>
      <c r="E35" s="156">
        <f>SUM(E32:E34)</f>
        <v>13696.400000000001</v>
      </c>
    </row>
    <row r="36" spans="1:5" x14ac:dyDescent="0.2">
      <c r="A36" s="145" t="s">
        <v>494</v>
      </c>
      <c r="B36" s="294">
        <f>'Seg Rev Build--Source Data'!B36</f>
        <v>6.7818371607515651E-2</v>
      </c>
      <c r="D36" s="147" t="s">
        <v>199</v>
      </c>
      <c r="E36" s="567">
        <f>'Three Statement Model'!L62</f>
        <v>216.6</v>
      </c>
    </row>
    <row r="37" spans="1:5" x14ac:dyDescent="0.2">
      <c r="A37" s="145" t="s">
        <v>532</v>
      </c>
      <c r="B37" s="407">
        <f>'Seg Rev Build--Source Data'!B31+IF(B2="Bull",1%,IF(B2="Bear",-1%,0))</f>
        <v>9.9732899422817156E-2</v>
      </c>
      <c r="D37" s="134" t="s">
        <v>247</v>
      </c>
      <c r="E37" s="135">
        <f>E35/E36</f>
        <v>63.23361034164359</v>
      </c>
    </row>
    <row r="38" spans="1:5" x14ac:dyDescent="0.2">
      <c r="A38" s="145" t="s">
        <v>351</v>
      </c>
      <c r="B38" s="409">
        <f>2029+IF(B2="Bull",-1,IF(B2="Bear",1,0))</f>
        <v>2029</v>
      </c>
    </row>
    <row r="39" spans="1:5" x14ac:dyDescent="0.2">
      <c r="A39" s="145" t="s">
        <v>348</v>
      </c>
      <c r="B39" s="637">
        <f>'Seg Rev Build--Source Data'!B37</f>
        <v>0.08</v>
      </c>
    </row>
    <row r="40" spans="1:5" x14ac:dyDescent="0.2">
      <c r="A40" s="163" t="s">
        <v>315</v>
      </c>
      <c r="B40" s="164"/>
    </row>
    <row r="41" spans="1:5" x14ac:dyDescent="0.2">
      <c r="A41" s="145" t="s">
        <v>406</v>
      </c>
      <c r="B41" s="407">
        <f>'Seg Rev Build--Source Data'!B43+IF(B2="Bull",0.2%,IF(B2="Bear",-0.2%,0))</f>
        <v>6.1404965404965407E-2</v>
      </c>
    </row>
    <row r="42" spans="1:5" x14ac:dyDescent="0.2">
      <c r="A42" s="145" t="s">
        <v>408</v>
      </c>
      <c r="B42" s="407">
        <f>'Seg Rev Build--Source Data'!B47+IF(A1="Bear",-10%,0%)</f>
        <v>0.6600639652258109</v>
      </c>
    </row>
    <row r="43" spans="1:5" x14ac:dyDescent="0.2">
      <c r="A43" s="145" t="s">
        <v>531</v>
      </c>
      <c r="B43" s="407">
        <f>'Seg Rev Build--Source Data'!B64+IF(B2="Bull",3%,IF(B2="Bear",-3%,0))</f>
        <v>0.71666666666666667</v>
      </c>
    </row>
    <row r="44" spans="1:5" x14ac:dyDescent="0.2">
      <c r="A44" s="145" t="s">
        <v>533</v>
      </c>
      <c r="B44" s="648">
        <f>IF(B2="Bull",5,IF(B2="Bear",7,6))</f>
        <v>6</v>
      </c>
    </row>
    <row r="45" spans="1:5" x14ac:dyDescent="0.2">
      <c r="A45" s="139"/>
      <c r="B45" s="139"/>
    </row>
    <row r="46" spans="1:5" x14ac:dyDescent="0.2">
      <c r="A46" s="585" t="s">
        <v>552</v>
      </c>
      <c r="B46" s="586"/>
    </row>
    <row r="47" spans="1:5" x14ac:dyDescent="0.2">
      <c r="A47" s="163" t="s">
        <v>329</v>
      </c>
      <c r="B47" s="164"/>
    </row>
    <row r="48" spans="1:5" x14ac:dyDescent="0.2">
      <c r="A48" s="420" t="s">
        <v>501</v>
      </c>
      <c r="B48" s="141">
        <v>0.79</v>
      </c>
    </row>
    <row r="49" spans="1:2" x14ac:dyDescent="0.2">
      <c r="A49" s="420" t="s">
        <v>502</v>
      </c>
      <c r="B49" s="141">
        <f>77.5%+B50</f>
        <v>0.77500000000000002</v>
      </c>
    </row>
    <row r="50" spans="1:2" x14ac:dyDescent="0.2">
      <c r="A50" s="420" t="s">
        <v>335</v>
      </c>
      <c r="B50" s="407">
        <f>IF(B2="Bear",0.5%,0)</f>
        <v>0</v>
      </c>
    </row>
    <row r="51" spans="1:2" x14ac:dyDescent="0.2">
      <c r="A51" s="163" t="s">
        <v>49</v>
      </c>
      <c r="B51" s="164"/>
    </row>
    <row r="52" spans="1:2" x14ac:dyDescent="0.2">
      <c r="A52" s="145" t="s">
        <v>55</v>
      </c>
      <c r="B52" s="626">
        <f>AVERAGE('Useful Life &amp; SG&amp;A Build'!J87:M87)</f>
        <v>4.7805617055522012</v>
      </c>
    </row>
    <row r="53" spans="1:2" x14ac:dyDescent="0.2">
      <c r="A53" s="635" t="s">
        <v>338</v>
      </c>
      <c r="B53" s="636">
        <f>AVERAGE('Useful Life &amp; SG&amp;A Build'!J88,'Useful Life &amp; SG&amp;A Build'!K88,'Useful Life &amp; SG&amp;A Build'!M88)</f>
        <v>3.0395359621648299E-2</v>
      </c>
    </row>
    <row r="54" spans="1:2" x14ac:dyDescent="0.2">
      <c r="A54" s="627" t="s">
        <v>490</v>
      </c>
      <c r="B54" s="625">
        <f>'Three Statement Model'!L11</f>
        <v>2.4989802561326855E-2</v>
      </c>
    </row>
    <row r="55" spans="1:2" x14ac:dyDescent="0.2">
      <c r="A55" s="139"/>
      <c r="B55" s="139"/>
    </row>
    <row r="56" spans="1:2" x14ac:dyDescent="0.2">
      <c r="A56" s="587" t="s">
        <v>511</v>
      </c>
      <c r="B56" s="588"/>
    </row>
    <row r="57" spans="1:2" x14ac:dyDescent="0.2">
      <c r="A57" s="146" t="s">
        <v>513</v>
      </c>
      <c r="B57" s="621">
        <v>0.23200000000000001</v>
      </c>
    </row>
    <row r="58" spans="1:2" x14ac:dyDescent="0.2">
      <c r="A58" s="146" t="s">
        <v>512</v>
      </c>
      <c r="B58" s="141">
        <f>462/1407</f>
        <v>0.32835820895522388</v>
      </c>
    </row>
    <row r="59" spans="1:2" x14ac:dyDescent="0.2">
      <c r="A59" s="146" t="s">
        <v>514</v>
      </c>
      <c r="B59" s="141">
        <f>484/1500</f>
        <v>0.32266666666666666</v>
      </c>
    </row>
    <row r="60" spans="1:2" x14ac:dyDescent="0.2">
      <c r="A60" s="139"/>
      <c r="B60" s="139"/>
    </row>
    <row r="61" spans="1:2" x14ac:dyDescent="0.2">
      <c r="A61" s="587" t="s">
        <v>185</v>
      </c>
      <c r="B61" s="588"/>
    </row>
    <row r="62" spans="1:2" x14ac:dyDescent="0.2">
      <c r="A62" s="163" t="s">
        <v>39</v>
      </c>
      <c r="B62" s="164"/>
    </row>
    <row r="63" spans="1:2" x14ac:dyDescent="0.2">
      <c r="A63" s="623" t="s">
        <v>317</v>
      </c>
      <c r="B63" s="638">
        <f>'Useful Life &amp; SG&amp;A Build'!B94</f>
        <v>3.5743806571660416E-2</v>
      </c>
    </row>
    <row r="64" spans="1:2" x14ac:dyDescent="0.2">
      <c r="A64" s="623" t="s">
        <v>316</v>
      </c>
      <c r="B64" s="377">
        <f>'Useful Life &amp; SG&amp;A Build'!B95</f>
        <v>0.30713111628533613</v>
      </c>
    </row>
    <row r="65" spans="1:2" x14ac:dyDescent="0.2">
      <c r="A65" s="163" t="s">
        <v>37</v>
      </c>
      <c r="B65" s="164"/>
    </row>
    <row r="66" spans="1:2" x14ac:dyDescent="0.2">
      <c r="A66" s="623" t="s">
        <v>318</v>
      </c>
      <c r="B66" s="373">
        <f>'Useful Life &amp; SG&amp;A Build'!B100</f>
        <v>0.17959377504064836</v>
      </c>
    </row>
    <row r="67" spans="1:2" x14ac:dyDescent="0.2">
      <c r="A67" s="623" t="s">
        <v>509</v>
      </c>
      <c r="B67" s="377">
        <v>-0.03</v>
      </c>
    </row>
    <row r="68" spans="1:2" x14ac:dyDescent="0.2">
      <c r="A68" s="623" t="s">
        <v>510</v>
      </c>
      <c r="B68" s="638">
        <f>'Useful Life &amp; SG&amp;A Build'!B101</f>
        <v>-9.1804019970436468E-3</v>
      </c>
    </row>
    <row r="69" spans="1:2" x14ac:dyDescent="0.2">
      <c r="A69" s="163" t="s">
        <v>38</v>
      </c>
      <c r="B69" s="164"/>
    </row>
    <row r="70" spans="1:2" x14ac:dyDescent="0.2">
      <c r="A70" s="623" t="s">
        <v>320</v>
      </c>
      <c r="B70" s="638">
        <f>'Useful Life &amp; SG&amp;A Build'!B97</f>
        <v>7.5593521458563843E-4</v>
      </c>
    </row>
    <row r="71" spans="1:2" x14ac:dyDescent="0.2">
      <c r="A71" s="623" t="s">
        <v>422</v>
      </c>
      <c r="B71" s="406">
        <f>'Useful Life &amp; SG&amp;A Build'!B98</f>
        <v>0</v>
      </c>
    </row>
    <row r="72" spans="1:2" x14ac:dyDescent="0.2">
      <c r="A72" s="139"/>
      <c r="B72" s="139"/>
    </row>
    <row r="73" spans="1:2" x14ac:dyDescent="0.2">
      <c r="A73" s="587" t="s">
        <v>321</v>
      </c>
      <c r="B73" s="588"/>
    </row>
    <row r="74" spans="1:2" x14ac:dyDescent="0.2">
      <c r="A74" s="163" t="s">
        <v>39</v>
      </c>
      <c r="B74" s="164"/>
    </row>
    <row r="75" spans="1:2" x14ac:dyDescent="0.2">
      <c r="A75" s="145" t="s">
        <v>339</v>
      </c>
      <c r="B75" s="639">
        <f>'Useful Life &amp; SG&amp;A Build'!B12</f>
        <v>4.5</v>
      </c>
    </row>
    <row r="76" spans="1:2" x14ac:dyDescent="0.2">
      <c r="A76" s="163" t="s">
        <v>37</v>
      </c>
      <c r="B76" s="164"/>
    </row>
    <row r="77" spans="1:2" x14ac:dyDescent="0.2">
      <c r="A77" s="145" t="s">
        <v>339</v>
      </c>
      <c r="B77" s="639">
        <f>'Useful Life &amp; SG&amp;A Build'!B10</f>
        <v>3.5</v>
      </c>
    </row>
    <row r="78" spans="1:2" x14ac:dyDescent="0.2">
      <c r="A78" s="163" t="s">
        <v>38</v>
      </c>
      <c r="B78" s="164"/>
    </row>
    <row r="79" spans="1:2" x14ac:dyDescent="0.2">
      <c r="A79" s="145" t="s">
        <v>339</v>
      </c>
      <c r="B79" s="639">
        <f>'Useful Life &amp; SG&amp;A Build'!B11</f>
        <v>7.5</v>
      </c>
    </row>
    <row r="81" spans="1:2" x14ac:dyDescent="0.2">
      <c r="A81" s="587" t="s">
        <v>370</v>
      </c>
      <c r="B81" s="588"/>
    </row>
    <row r="82" spans="1:2" x14ac:dyDescent="0.2">
      <c r="A82" s="163" t="s">
        <v>499</v>
      </c>
      <c r="B82" s="164"/>
    </row>
    <row r="83" spans="1:2" x14ac:dyDescent="0.2">
      <c r="A83" s="145" t="s">
        <v>503</v>
      </c>
      <c r="B83" s="630">
        <f>'Three Statement Model'!K23</f>
        <v>6.736449670203613</v>
      </c>
    </row>
    <row r="84" spans="1:2" x14ac:dyDescent="0.2">
      <c r="A84" s="145" t="s">
        <v>505</v>
      </c>
      <c r="B84" s="630">
        <f>AVERAGE('Three Statement Model'!D23:'Three Statement Model'!G23,'Three Statement Model'!L23)</f>
        <v>8.3201547089770234</v>
      </c>
    </row>
    <row r="85" spans="1:2" x14ac:dyDescent="0.2">
      <c r="A85" s="163" t="s">
        <v>99</v>
      </c>
      <c r="B85" s="164"/>
    </row>
    <row r="86" spans="1:2" x14ac:dyDescent="0.2">
      <c r="A86" s="145" t="s">
        <v>506</v>
      </c>
      <c r="B86" s="640">
        <f>'Three Statement Model'!K24</f>
        <v>41.491387126019944</v>
      </c>
    </row>
    <row r="87" spans="1:2" x14ac:dyDescent="0.2">
      <c r="A87" s="145" t="s">
        <v>507</v>
      </c>
      <c r="B87" s="630">
        <f>AVERAGE('Three Statement Model'!D24:'Three Statement Model'!G24,'Three Statement Model'!L24)</f>
        <v>54.57283644513435</v>
      </c>
    </row>
    <row r="88" spans="1:2" x14ac:dyDescent="0.2">
      <c r="A88" s="163" t="s">
        <v>500</v>
      </c>
      <c r="B88" s="619"/>
    </row>
    <row r="89" spans="1:2" x14ac:dyDescent="0.2">
      <c r="A89" s="145" t="s">
        <v>504</v>
      </c>
      <c r="B89" s="640">
        <f>'Three Statement Model'!K25</f>
        <v>40.634632819582954</v>
      </c>
    </row>
    <row r="90" spans="1:2" x14ac:dyDescent="0.2">
      <c r="A90" s="145" t="s">
        <v>508</v>
      </c>
      <c r="B90" s="630">
        <f>AVERAGE('Three Statement Model'!D25:'Three Statement Model'!G25,'Three Statement Model'!L25)</f>
        <v>58.98417171816336</v>
      </c>
    </row>
    <row r="92" spans="1:2" x14ac:dyDescent="0.2">
      <c r="A92" s="587" t="s">
        <v>515</v>
      </c>
      <c r="B92" s="588"/>
    </row>
    <row r="93" spans="1:2" x14ac:dyDescent="0.2">
      <c r="A93" s="163" t="s">
        <v>517</v>
      </c>
      <c r="B93" s="164"/>
    </row>
    <row r="94" spans="1:2" x14ac:dyDescent="0.2">
      <c r="A94" s="145" t="s">
        <v>524</v>
      </c>
      <c r="B94" s="621">
        <f>'Three Statement Model'!L32</f>
        <v>0.34698275862068967</v>
      </c>
    </row>
    <row r="95" spans="1:2" x14ac:dyDescent="0.2">
      <c r="A95" s="163" t="s">
        <v>518</v>
      </c>
      <c r="B95" s="164"/>
    </row>
    <row r="96" spans="1:2" ht="16" hidden="1" customHeight="1" outlineLevel="1" x14ac:dyDescent="0.2">
      <c r="A96" s="145" t="s">
        <v>546</v>
      </c>
      <c r="B96" s="621">
        <f>B97/'Three Statement Model'!L33-1</f>
        <v>-2.1120422642215142E-2</v>
      </c>
    </row>
    <row r="97" spans="1:2" ht="16" hidden="1" customHeight="1" outlineLevel="1" x14ac:dyDescent="0.2">
      <c r="A97" s="144" t="s">
        <v>527</v>
      </c>
      <c r="B97" s="626">
        <f>B98/B99</f>
        <v>212.02531645569618</v>
      </c>
    </row>
    <row r="98" spans="1:2" ht="16" hidden="1" customHeight="1" outlineLevel="1" x14ac:dyDescent="0.2">
      <c r="A98" s="622" t="s">
        <v>519</v>
      </c>
      <c r="B98" s="628">
        <v>1340</v>
      </c>
    </row>
    <row r="99" spans="1:2" collapsed="1" x14ac:dyDescent="0.2">
      <c r="A99" s="622" t="s">
        <v>520</v>
      </c>
      <c r="B99" s="629">
        <v>6.32</v>
      </c>
    </row>
    <row r="100" spans="1:2" ht="16" hidden="1" customHeight="1" outlineLevel="1" x14ac:dyDescent="0.2">
      <c r="A100" s="145" t="s">
        <v>526</v>
      </c>
      <c r="B100" s="621">
        <f>B101/'Three Statement Model'!Q33-1</f>
        <v>-1.525539723375624E-2</v>
      </c>
    </row>
    <row r="101" spans="1:2" ht="16" hidden="1" customHeight="1" outlineLevel="1" x14ac:dyDescent="0.2">
      <c r="A101" s="144" t="s">
        <v>528</v>
      </c>
      <c r="B101" s="626">
        <f>B102/B103</f>
        <v>208.75370919881306</v>
      </c>
    </row>
    <row r="102" spans="1:2" ht="16" hidden="1" customHeight="1" outlineLevel="1" x14ac:dyDescent="0.2">
      <c r="A102" s="622" t="s">
        <v>519</v>
      </c>
      <c r="B102" s="630">
        <v>1407</v>
      </c>
    </row>
    <row r="103" spans="1:2" collapsed="1" x14ac:dyDescent="0.2">
      <c r="A103" s="622" t="s">
        <v>520</v>
      </c>
      <c r="B103" s="629">
        <v>6.74</v>
      </c>
    </row>
    <row r="104" spans="1:2" ht="16" hidden="1" customHeight="1" outlineLevel="1" x14ac:dyDescent="0.2">
      <c r="A104" s="145" t="s">
        <v>529</v>
      </c>
      <c r="B104" s="621">
        <f>B105/'Three Statement Model'!R33-1</f>
        <v>-3.0296752213484268E-2</v>
      </c>
    </row>
    <row r="105" spans="1:2" ht="16" hidden="1" customHeight="1" outlineLevel="1" x14ac:dyDescent="0.2">
      <c r="A105" s="144" t="s">
        <v>525</v>
      </c>
      <c r="B105" s="626">
        <f>B106/B107</f>
        <v>202.42914979757086</v>
      </c>
    </row>
    <row r="106" spans="1:2" ht="16" hidden="1" customHeight="1" outlineLevel="1" x14ac:dyDescent="0.2">
      <c r="A106" s="622" t="s">
        <v>519</v>
      </c>
      <c r="B106" s="630">
        <v>1500</v>
      </c>
    </row>
    <row r="107" spans="1:2" collapsed="1" x14ac:dyDescent="0.2">
      <c r="A107" s="622" t="s">
        <v>520</v>
      </c>
      <c r="B107" s="632">
        <v>7.41</v>
      </c>
    </row>
    <row r="108" spans="1:2" x14ac:dyDescent="0.2">
      <c r="A108" s="631" t="s">
        <v>530</v>
      </c>
      <c r="B108" s="634">
        <f>AVERAGE(B96,B100,B104)</f>
        <v>-2.2224190696485218E-2</v>
      </c>
    </row>
    <row r="109" spans="1:2" x14ac:dyDescent="0.2">
      <c r="A109" s="624" t="s">
        <v>521</v>
      </c>
      <c r="B109" s="633"/>
    </row>
    <row r="110" spans="1:2" x14ac:dyDescent="0.2">
      <c r="A110" s="627" t="s">
        <v>522</v>
      </c>
      <c r="B110" s="625">
        <v>0</v>
      </c>
    </row>
  </sheetData>
  <mergeCells count="6">
    <mergeCell ref="D28:E28"/>
    <mergeCell ref="D1:E1"/>
    <mergeCell ref="A1:B1"/>
    <mergeCell ref="A4:B4"/>
    <mergeCell ref="D8:E8"/>
    <mergeCell ref="D18:E18"/>
  </mergeCells>
  <phoneticPr fontId="73" type="noConversion"/>
  <conditionalFormatting sqref="E4:E6">
    <cfRule type="cellIs" dxfId="18" priority="28" operator="between">
      <formula>0</formula>
      <formula>0.1</formula>
    </cfRule>
    <cfRule type="cellIs" dxfId="17" priority="29" operator="greaterThan">
      <formula>0</formula>
    </cfRule>
    <cfRule type="cellIs" dxfId="16" priority="30" operator="lessThan">
      <formula>0</formula>
    </cfRule>
    <cfRule type="colorScale" priority="31">
      <colorScale>
        <cfvo type="percent" val="&quot;&quot;&quot;&lt;&quot;&quot;*0&quot;"/>
        <cfvo type="max"/>
        <color rgb="FFFF0000"/>
        <color rgb="FFFFEF9C"/>
      </colorScale>
    </cfRule>
    <cfRule type="colorScale" priority="32">
      <colorScale>
        <cfvo type="formula" val="&quot;&lt;&quot;&amp;0%"/>
        <cfvo type="max"/>
        <color rgb="FFFF7128"/>
        <color rgb="FFFFEF9C"/>
      </colorScale>
    </cfRule>
    <cfRule type="colorScale" priority="33">
      <colorScale>
        <cfvo type="formula" val="&quot;&lt;0%&quot;"/>
        <cfvo type="max"/>
        <color rgb="FFFF0000"/>
        <color rgb="FFFFEF9C"/>
      </colorScale>
    </cfRule>
    <cfRule type="cellIs" dxfId="15" priority="34" operator="equal">
      <formula>0</formula>
    </cfRule>
    <cfRule type="cellIs" dxfId="14" priority="35" operator="equal">
      <formula>-1</formula>
    </cfRule>
    <cfRule type="colorScale" priority="36">
      <colorScale>
        <cfvo type="min"/>
        <cfvo type="max"/>
        <color rgb="FF63BE7B"/>
        <color rgb="FFFCFCFF"/>
      </colorScale>
    </cfRule>
    <cfRule type="cellIs" dxfId="13" priority="37" operator="equal">
      <formula>0</formula>
    </cfRule>
    <cfRule type="cellIs" dxfId="12" priority="48" operator="greaterThan">
      <formula>0.1</formula>
    </cfRule>
    <cfRule type="cellIs" dxfId="11" priority="49" operator="lessThan">
      <formula>-0.1</formula>
    </cfRule>
    <cfRule type="cellIs" dxfId="10" priority="50" operator="between">
      <formula>-0.1</formula>
      <formula>0.1</formula>
    </cfRule>
    <cfRule type="cellIs" dxfId="9" priority="51" operator="lessThan">
      <formula>0.075</formula>
    </cfRule>
    <cfRule type="cellIs" dxfId="8" priority="52" operator="equal">
      <formula>0</formula>
    </cfRule>
    <cfRule type="cellIs" dxfId="7" priority="53" operator="equal">
      <formula>-1</formula>
    </cfRule>
    <cfRule type="colorScale" priority="54">
      <colorScale>
        <cfvo type="min"/>
        <cfvo type="max"/>
        <color rgb="FF63BE7B"/>
        <color rgb="FFFCFCFF"/>
      </colorScale>
    </cfRule>
  </conditionalFormatting>
  <conditionalFormatting sqref="E6">
    <cfRule type="cellIs" dxfId="6" priority="1" operator="greaterThan">
      <formula>0.1</formula>
    </cfRule>
    <cfRule type="cellIs" dxfId="5" priority="2" operator="between">
      <formula>-0.1</formula>
      <formula>0.1</formula>
    </cfRule>
    <cfRule type="cellIs" dxfId="4" priority="3" operator="lessThan">
      <formula>-0.1</formula>
    </cfRule>
  </conditionalFormatting>
  <dataValidations count="1">
    <dataValidation type="list" allowBlank="1" showInputMessage="1" showErrorMessage="1" sqref="B2" xr:uid="{C0C149C0-1615-1544-A81F-B021E02FBED5}">
      <formula1>"Bull,Base,Bear"</formula1>
    </dataValidation>
  </dataValidations>
  <pageMargins left="0.7" right="0.7" top="0.75" bottom="0.75" header="0.3" footer="0.3"/>
  <pageSetup orientation="portrait" horizontalDpi="0" verticalDpi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64A14-23A1-194B-82BE-280C5C5B1E02}">
  <sheetPr>
    <tabColor rgb="FFE7F2FF"/>
  </sheetPr>
  <dimension ref="A1"/>
  <sheetViews>
    <sheetView workbookViewId="0">
      <selection activeCell="E25" sqref="E25:E26"/>
    </sheetView>
  </sheetViews>
  <sheetFormatPr baseColWidth="10" defaultRowHeight="15" x14ac:dyDescent="0.2"/>
  <cols>
    <col min="1" max="16384" width="10.83203125" style="100"/>
  </cols>
  <sheetData/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E1DEA-CCEE-A344-9FE6-34CF41976A80}">
  <sheetPr>
    <tabColor rgb="FF0000FF"/>
    <outlinePr summaryBelow="0"/>
  </sheetPr>
  <dimension ref="A1:T110"/>
  <sheetViews>
    <sheetView showGridLines="0" zoomScale="156" zoomScaleNormal="133" workbookViewId="0">
      <pane xSplit="1" topLeftCell="B1" activePane="topRight" state="frozen"/>
      <selection activeCell="D42" sqref="D42"/>
      <selection pane="topRight" activeCell="B48" sqref="B48"/>
    </sheetView>
  </sheetViews>
  <sheetFormatPr baseColWidth="10" defaultColWidth="10.83203125" defaultRowHeight="15" outlineLevelRow="2" x14ac:dyDescent="0.2"/>
  <cols>
    <col min="1" max="1" width="60.83203125" style="7" bestFit="1" customWidth="1"/>
    <col min="2" max="2" width="11" style="7" customWidth="1"/>
    <col min="3" max="14" width="10.83203125" style="7" customWidth="1"/>
    <col min="15" max="15" width="12.33203125" style="7" customWidth="1"/>
    <col min="16" max="16" width="13.5" style="7" bestFit="1" customWidth="1"/>
    <col min="17" max="17" width="10.6640625" style="7" customWidth="1"/>
    <col min="18" max="19" width="10.83203125" style="7"/>
    <col min="20" max="20" width="255.6640625" style="166" bestFit="1" customWidth="1"/>
    <col min="21" max="16384" width="10.83203125" style="7"/>
  </cols>
  <sheetData>
    <row r="1" spans="1:20" ht="14" customHeight="1" x14ac:dyDescent="0.2">
      <c r="A1" s="238"/>
      <c r="P1" s="188"/>
      <c r="Q1" s="188"/>
      <c r="R1" s="188"/>
      <c r="S1" s="188"/>
    </row>
    <row r="2" spans="1:20" outlineLevel="1" x14ac:dyDescent="0.2">
      <c r="A2" s="445" t="s">
        <v>343</v>
      </c>
      <c r="B2" s="295">
        <v>2017</v>
      </c>
      <c r="C2" s="295">
        <v>2018</v>
      </c>
      <c r="D2" s="295">
        <v>2019</v>
      </c>
      <c r="E2" s="295">
        <v>2020</v>
      </c>
      <c r="F2" s="295">
        <v>2021</v>
      </c>
      <c r="G2" s="295">
        <v>2022</v>
      </c>
      <c r="H2" s="295">
        <v>2023</v>
      </c>
      <c r="I2" s="295">
        <v>2024</v>
      </c>
      <c r="J2" s="295"/>
      <c r="K2" s="295"/>
      <c r="L2" s="295"/>
      <c r="M2" s="295"/>
      <c r="N2" s="295">
        <v>2025</v>
      </c>
      <c r="P2" s="168"/>
      <c r="Q2" s="168"/>
      <c r="R2" s="168"/>
      <c r="S2" s="168"/>
    </row>
    <row r="3" spans="1:20" s="13" customFormat="1" outlineLevel="1" x14ac:dyDescent="0.2">
      <c r="A3" s="196" t="s">
        <v>1</v>
      </c>
      <c r="B3" s="194">
        <v>17826</v>
      </c>
      <c r="C3" s="194">
        <v>18998</v>
      </c>
      <c r="D3" s="194">
        <v>19064</v>
      </c>
      <c r="E3" s="194">
        <v>18769</v>
      </c>
      <c r="F3" s="194">
        <v>21653</v>
      </c>
      <c r="G3" s="194">
        <v>22478</v>
      </c>
      <c r="H3" s="194">
        <v>19766</v>
      </c>
      <c r="I3" s="194">
        <v>18482</v>
      </c>
      <c r="J3" s="194"/>
      <c r="K3" s="194"/>
      <c r="L3" s="194"/>
      <c r="M3" s="194"/>
      <c r="N3" s="194">
        <v>18681</v>
      </c>
      <c r="O3" s="187" t="s">
        <v>358</v>
      </c>
      <c r="Q3" s="172"/>
      <c r="R3" s="172"/>
      <c r="S3" s="172"/>
      <c r="T3" s="171"/>
    </row>
    <row r="4" spans="1:20" s="13" customFormat="1" outlineLevel="2" x14ac:dyDescent="0.2">
      <c r="A4" s="205" t="s">
        <v>354</v>
      </c>
      <c r="B4" s="209">
        <f>C4/(1+C8)</f>
        <v>49778.453694106087</v>
      </c>
      <c r="C4" s="209">
        <f>D4/(1+D8)</f>
        <v>47636.090722158937</v>
      </c>
      <c r="D4" s="194">
        <v>47510</v>
      </c>
      <c r="E4" s="194">
        <v>47180</v>
      </c>
      <c r="F4" s="194">
        <v>52590</v>
      </c>
      <c r="G4" s="194">
        <v>51040</v>
      </c>
      <c r="H4" s="194">
        <v>47660</v>
      </c>
      <c r="I4" s="194">
        <v>47350</v>
      </c>
      <c r="J4" s="194"/>
      <c r="K4" s="194"/>
      <c r="L4" s="194"/>
      <c r="M4" s="194"/>
      <c r="N4" s="194">
        <v>46730</v>
      </c>
      <c r="S4" s="172"/>
      <c r="T4" s="171"/>
    </row>
    <row r="5" spans="1:20" s="13" customFormat="1" outlineLevel="2" x14ac:dyDescent="0.2">
      <c r="A5" s="211" t="s">
        <v>11</v>
      </c>
      <c r="B5" s="212">
        <f>B6*B7</f>
        <v>36722.699999999997</v>
      </c>
      <c r="C5" s="212">
        <f>C6*C7</f>
        <v>35142.230000000003</v>
      </c>
      <c r="D5" s="212">
        <f>D6*D7</f>
        <v>35049.21</v>
      </c>
      <c r="E5" s="203"/>
      <c r="F5" s="203"/>
      <c r="G5" s="203"/>
      <c r="H5" s="203"/>
      <c r="I5" s="203"/>
      <c r="J5" s="203"/>
      <c r="K5" s="203"/>
      <c r="L5" s="203"/>
      <c r="M5" s="203"/>
      <c r="N5" s="203"/>
      <c r="S5" s="172"/>
      <c r="T5" s="171"/>
    </row>
    <row r="6" spans="1:20" s="13" customFormat="1" outlineLevel="2" x14ac:dyDescent="0.2">
      <c r="A6" s="213" t="s">
        <v>12</v>
      </c>
      <c r="B6" s="214">
        <v>60.3</v>
      </c>
      <c r="C6" s="214">
        <v>55.870000000000005</v>
      </c>
      <c r="D6" s="214">
        <v>55.37</v>
      </c>
      <c r="E6" s="190"/>
      <c r="F6" s="190"/>
      <c r="G6" s="190"/>
      <c r="H6" s="190"/>
      <c r="I6" s="190"/>
      <c r="J6" s="190"/>
      <c r="K6" s="190"/>
      <c r="L6" s="190"/>
      <c r="M6" s="190"/>
      <c r="N6" s="190"/>
      <c r="S6" s="172"/>
      <c r="T6" s="171"/>
    </row>
    <row r="7" spans="1:20" s="13" customFormat="1" outlineLevel="2" x14ac:dyDescent="0.2">
      <c r="A7" s="213" t="s">
        <v>13</v>
      </c>
      <c r="B7" s="194">
        <v>609</v>
      </c>
      <c r="C7" s="194">
        <v>629</v>
      </c>
      <c r="D7" s="194">
        <v>633</v>
      </c>
      <c r="E7" s="190"/>
      <c r="F7" s="190"/>
      <c r="G7" s="190"/>
      <c r="H7" s="190"/>
      <c r="I7" s="190"/>
      <c r="J7" s="190"/>
      <c r="K7" s="190"/>
      <c r="L7" s="190"/>
      <c r="M7" s="190"/>
      <c r="N7" s="190"/>
      <c r="R7" s="175"/>
      <c r="S7" s="172"/>
      <c r="T7" s="171"/>
    </row>
    <row r="8" spans="1:20" s="13" customFormat="1" outlineLevel="2" x14ac:dyDescent="0.2">
      <c r="A8" s="213" t="s">
        <v>9</v>
      </c>
      <c r="B8" s="203"/>
      <c r="C8" s="203">
        <f>C5/B5-1</f>
        <v>-4.3037957448662345E-2</v>
      </c>
      <c r="D8" s="203">
        <f>D5/C5-1</f>
        <v>-2.6469578054666432E-3</v>
      </c>
      <c r="E8" s="190"/>
      <c r="F8" s="190"/>
      <c r="G8" s="190"/>
      <c r="H8" s="190"/>
      <c r="I8" s="190"/>
      <c r="J8" s="190"/>
      <c r="K8" s="190"/>
      <c r="L8" s="190"/>
      <c r="M8" s="190"/>
      <c r="N8" s="190"/>
      <c r="P8" s="174"/>
      <c r="Q8" s="174"/>
      <c r="R8" s="174"/>
      <c r="S8" s="174"/>
      <c r="T8" s="171"/>
    </row>
    <row r="9" spans="1:20" s="13" customFormat="1" outlineLevel="1" x14ac:dyDescent="0.2">
      <c r="A9" s="205" t="s">
        <v>346</v>
      </c>
      <c r="B9" s="203">
        <f t="shared" ref="B9:N9" si="0">B3/B4</f>
        <v>0.35810674452731445</v>
      </c>
      <c r="C9" s="203">
        <f t="shared" si="0"/>
        <v>0.39881526195772982</v>
      </c>
      <c r="D9" s="203">
        <f>D3/D4</f>
        <v>0.40126289202273208</v>
      </c>
      <c r="E9" s="203">
        <f t="shared" si="0"/>
        <v>0.39781687155574397</v>
      </c>
      <c r="F9" s="203">
        <f t="shared" si="0"/>
        <v>0.41173226849210875</v>
      </c>
      <c r="G9" s="203">
        <f t="shared" si="0"/>
        <v>0.4403996865203762</v>
      </c>
      <c r="H9" s="203">
        <f t="shared" si="0"/>
        <v>0.41472933277381452</v>
      </c>
      <c r="I9" s="203">
        <f t="shared" si="0"/>
        <v>0.39032734952481518</v>
      </c>
      <c r="J9" s="203"/>
      <c r="K9" s="203"/>
      <c r="L9" s="203"/>
      <c r="M9" s="203"/>
      <c r="N9" s="203">
        <f t="shared" si="0"/>
        <v>0.39976460517868606</v>
      </c>
      <c r="O9" s="167"/>
      <c r="Q9" s="176"/>
      <c r="R9" s="176"/>
      <c r="S9" s="176"/>
      <c r="T9" s="171"/>
    </row>
    <row r="10" spans="1:20" s="13" customFormat="1" outlineLevel="1" x14ac:dyDescent="0.2">
      <c r="A10" s="205"/>
      <c r="B10" s="370"/>
      <c r="C10" s="371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67"/>
      <c r="Q10" s="176"/>
      <c r="R10" s="176"/>
      <c r="S10" s="176"/>
      <c r="T10" s="171"/>
    </row>
    <row r="11" spans="1:20" s="13" customFormat="1" x14ac:dyDescent="0.2">
      <c r="A11" s="197" t="s">
        <v>367</v>
      </c>
      <c r="B11" s="198"/>
    </row>
    <row r="12" spans="1:20" s="13" customFormat="1" x14ac:dyDescent="0.2">
      <c r="A12" s="210" t="s">
        <v>16</v>
      </c>
      <c r="B12" s="200">
        <f>AVERAGE(I9:N9,C9:E9)</f>
        <v>0.39759739604794142</v>
      </c>
    </row>
    <row r="13" spans="1:20" s="13" customFormat="1" x14ac:dyDescent="0.2">
      <c r="A13" s="210" t="s">
        <v>17</v>
      </c>
      <c r="B13" s="215">
        <f>B14/B15</f>
        <v>0.72538417757087936</v>
      </c>
      <c r="N13" s="174"/>
      <c r="R13" s="175"/>
      <c r="S13" s="175"/>
      <c r="T13" s="171"/>
    </row>
    <row r="14" spans="1:20" s="13" customFormat="1" ht="16" x14ac:dyDescent="0.2">
      <c r="A14" s="237" t="s">
        <v>543</v>
      </c>
      <c r="B14" s="666">
        <f>(SUM(G3:H3)-2*AVERAGE(C3:E3,I3:N3)/AVERAGE(C4:E4,I4:N4)*AVERAGE(G4:H4))</f>
        <v>3001.3232497498175</v>
      </c>
      <c r="T14" s="171"/>
    </row>
    <row r="15" spans="1:20" s="13" customFormat="1" x14ac:dyDescent="0.2">
      <c r="A15" s="191" t="s">
        <v>542</v>
      </c>
      <c r="B15" s="666">
        <f>SUM(G4:H4)-2*AVERAGE(C4:E4,I4:N4)</f>
        <v>4137.563711136434</v>
      </c>
      <c r="T15" s="171"/>
    </row>
    <row r="16" spans="1:20" s="13" customFormat="1" x14ac:dyDescent="0.2">
      <c r="A16" s="210" t="s">
        <v>417</v>
      </c>
      <c r="B16" s="425">
        <v>0.31</v>
      </c>
      <c r="C16" s="171"/>
      <c r="T16" s="171"/>
    </row>
    <row r="17" spans="1:20" s="13" customFormat="1" x14ac:dyDescent="0.2">
      <c r="A17" s="210" t="s">
        <v>418</v>
      </c>
      <c r="B17" s="426">
        <v>2026</v>
      </c>
      <c r="C17" s="171"/>
      <c r="T17" s="171"/>
    </row>
    <row r="18" spans="1:20" s="13" customFormat="1" x14ac:dyDescent="0.2">
      <c r="A18" s="210" t="s">
        <v>14</v>
      </c>
      <c r="B18" s="425">
        <f>(30%+950/659-1)/2</f>
        <v>0.37078907435508346</v>
      </c>
      <c r="C18" s="171"/>
      <c r="D18" s="177"/>
      <c r="T18" s="171"/>
    </row>
    <row r="19" spans="1:20" s="13" customFormat="1" x14ac:dyDescent="0.2">
      <c r="A19" s="427" t="s">
        <v>15</v>
      </c>
      <c r="B19" s="428">
        <f>B20+B21</f>
        <v>0</v>
      </c>
      <c r="C19" s="185"/>
      <c r="D19" s="177"/>
      <c r="T19" s="171"/>
    </row>
    <row r="20" spans="1:20" s="13" customFormat="1" x14ac:dyDescent="0.2">
      <c r="A20" s="432" t="s">
        <v>534</v>
      </c>
      <c r="B20" s="431">
        <v>0</v>
      </c>
      <c r="C20" s="185"/>
      <c r="D20" s="177"/>
      <c r="T20" s="171"/>
    </row>
    <row r="21" spans="1:20" s="13" customFormat="1" x14ac:dyDescent="0.2">
      <c r="A21" s="429" t="s">
        <v>424</v>
      </c>
      <c r="B21" s="431">
        <f>_xlfn.RRI(A23-A22,B22,B23)</f>
        <v>0</v>
      </c>
      <c r="D21" s="177"/>
      <c r="T21" s="171"/>
    </row>
    <row r="22" spans="1:20" s="13" customFormat="1" x14ac:dyDescent="0.2">
      <c r="A22" s="649">
        <v>2018</v>
      </c>
      <c r="B22" s="430">
        <v>659</v>
      </c>
      <c r="C22" s="185"/>
      <c r="D22" s="177"/>
      <c r="T22" s="171"/>
    </row>
    <row r="23" spans="1:20" s="13" customFormat="1" x14ac:dyDescent="0.2">
      <c r="A23" s="649">
        <v>2024</v>
      </c>
      <c r="B23" s="430">
        <v>659</v>
      </c>
      <c r="C23" s="185"/>
      <c r="D23" s="177"/>
      <c r="T23" s="171"/>
    </row>
    <row r="24" spans="1:20" s="13" customFormat="1" x14ac:dyDescent="0.2">
      <c r="A24" s="183"/>
      <c r="B24" s="177"/>
      <c r="C24" s="185"/>
      <c r="D24" s="177"/>
      <c r="T24" s="171"/>
    </row>
    <row r="25" spans="1:20" s="13" customFormat="1" x14ac:dyDescent="0.2">
      <c r="A25" s="184"/>
      <c r="B25" s="173"/>
      <c r="D25" s="177"/>
      <c r="T25" s="171"/>
    </row>
    <row r="26" spans="1:20" s="13" customFormat="1" x14ac:dyDescent="0.2">
      <c r="A26" s="197" t="s">
        <v>368</v>
      </c>
      <c r="B26" s="198"/>
      <c r="C26" s="170"/>
      <c r="T26" s="171"/>
    </row>
    <row r="27" spans="1:20" s="13" customFormat="1" x14ac:dyDescent="0.2">
      <c r="A27" s="199" t="s">
        <v>362</v>
      </c>
      <c r="B27" s="200">
        <f>AVERAGE(B28:B30)</f>
        <v>4.7648399834040463E-2</v>
      </c>
      <c r="C27" s="171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T27" s="171"/>
    </row>
    <row r="28" spans="1:20" s="13" customFormat="1" x14ac:dyDescent="0.2">
      <c r="A28" s="191" t="s">
        <v>363</v>
      </c>
      <c r="B28" s="204">
        <v>4.5999999999999999E-2</v>
      </c>
      <c r="P28" s="173"/>
      <c r="Q28" s="173"/>
      <c r="R28" s="173"/>
      <c r="S28" s="173"/>
      <c r="T28" s="171"/>
    </row>
    <row r="29" spans="1:20" s="13" customFormat="1" x14ac:dyDescent="0.2">
      <c r="A29" s="191" t="s">
        <v>364</v>
      </c>
      <c r="B29" s="204">
        <v>5.2999999999999999E-2</v>
      </c>
      <c r="C29" s="171"/>
      <c r="P29" s="173"/>
      <c r="Q29" s="173"/>
      <c r="R29" s="173"/>
      <c r="S29" s="173"/>
      <c r="T29" s="171"/>
    </row>
    <row r="30" spans="1:20" s="13" customFormat="1" x14ac:dyDescent="0.2">
      <c r="A30" s="191" t="s">
        <v>358</v>
      </c>
      <c r="B30" s="204">
        <f>((206.57/188.38*22.9/19.4)^(1/6)-1)</f>
        <v>4.394519950212139E-2</v>
      </c>
      <c r="C30" s="171"/>
      <c r="P30" s="173"/>
      <c r="Q30" s="173"/>
      <c r="R30" s="173"/>
      <c r="S30" s="173"/>
      <c r="T30" s="171"/>
    </row>
    <row r="31" spans="1:20" s="13" customFormat="1" x14ac:dyDescent="0.2">
      <c r="A31" s="199" t="s">
        <v>359</v>
      </c>
      <c r="B31" s="200">
        <f>B35/B34</f>
        <v>9.9732899422817156E-2</v>
      </c>
      <c r="P31" s="173"/>
      <c r="Q31" s="173"/>
      <c r="R31" s="173"/>
      <c r="S31" s="173"/>
      <c r="T31" s="171"/>
    </row>
    <row r="32" spans="1:20" s="13" customFormat="1" x14ac:dyDescent="0.2">
      <c r="A32" s="191" t="s">
        <v>357</v>
      </c>
      <c r="B32" s="194">
        <v>191600</v>
      </c>
      <c r="P32" s="173"/>
      <c r="Q32" s="173"/>
      <c r="R32" s="173"/>
      <c r="S32" s="173"/>
    </row>
    <row r="33" spans="1:20" s="13" customFormat="1" x14ac:dyDescent="0.2">
      <c r="A33" s="191" t="s">
        <v>420</v>
      </c>
      <c r="B33" s="206">
        <v>0.32</v>
      </c>
      <c r="C33" s="202"/>
      <c r="P33" s="173"/>
      <c r="Q33" s="173"/>
      <c r="R33" s="173"/>
      <c r="S33" s="173"/>
      <c r="T33" s="171"/>
    </row>
    <row r="34" spans="1:20" s="13" customFormat="1" x14ac:dyDescent="0.2">
      <c r="A34" s="191" t="s">
        <v>419</v>
      </c>
      <c r="B34" s="193">
        <f>B32*(1-B33)</f>
        <v>130287.99999999999</v>
      </c>
      <c r="O34" s="167"/>
      <c r="Q34" s="175"/>
      <c r="R34" s="175"/>
      <c r="S34" s="175"/>
    </row>
    <row r="35" spans="1:20" s="13" customFormat="1" x14ac:dyDescent="0.2">
      <c r="A35" s="191" t="s">
        <v>19</v>
      </c>
      <c r="B35" s="209">
        <f>'Three Statement Model'!L155</f>
        <v>12994</v>
      </c>
      <c r="O35" s="186"/>
      <c r="Q35" s="176"/>
      <c r="R35" s="176"/>
      <c r="S35" s="175"/>
      <c r="T35" s="171"/>
    </row>
    <row r="36" spans="1:20" s="13" customFormat="1" x14ac:dyDescent="0.2">
      <c r="A36" s="191" t="s">
        <v>366</v>
      </c>
      <c r="B36" s="203">
        <f>B35/B32</f>
        <v>6.7818371607515651E-2</v>
      </c>
      <c r="P36" s="177"/>
      <c r="Q36" s="179"/>
      <c r="R36" s="179"/>
      <c r="S36" s="179"/>
      <c r="T36" s="171"/>
    </row>
    <row r="37" spans="1:20" s="13" customFormat="1" x14ac:dyDescent="0.2">
      <c r="A37" s="199" t="s">
        <v>20</v>
      </c>
      <c r="B37" s="200">
        <f>AVERAGE(B38:B39)</f>
        <v>0.08</v>
      </c>
      <c r="C37" s="201"/>
      <c r="P37" s="177"/>
      <c r="Q37" s="179"/>
      <c r="R37" s="179"/>
      <c r="S37" s="179"/>
      <c r="T37" s="171"/>
    </row>
    <row r="38" spans="1:20" s="13" customFormat="1" x14ac:dyDescent="0.2">
      <c r="A38" s="191" t="s">
        <v>397</v>
      </c>
      <c r="B38" s="204">
        <v>0.08</v>
      </c>
      <c r="O38" s="175"/>
      <c r="P38" s="177"/>
      <c r="Q38" s="179"/>
      <c r="R38" s="179"/>
      <c r="S38" s="179"/>
      <c r="T38" s="171"/>
    </row>
    <row r="39" spans="1:20" s="13" customFormat="1" x14ac:dyDescent="0.2">
      <c r="A39" s="191" t="s">
        <v>398</v>
      </c>
      <c r="B39" s="204">
        <v>0.08</v>
      </c>
      <c r="P39" s="177"/>
      <c r="R39" s="175"/>
      <c r="S39" s="175"/>
      <c r="T39" s="178"/>
    </row>
    <row r="40" spans="1:20" s="13" customFormat="1" x14ac:dyDescent="0.2">
      <c r="A40" s="180"/>
      <c r="B40" s="177"/>
      <c r="T40" s="171"/>
    </row>
    <row r="41" spans="1:20" s="13" customFormat="1" x14ac:dyDescent="0.2">
      <c r="A41" s="180"/>
      <c r="B41" s="177"/>
      <c r="T41" s="171"/>
    </row>
    <row r="42" spans="1:20" s="13" customFormat="1" x14ac:dyDescent="0.2">
      <c r="A42" s="207" t="s">
        <v>21</v>
      </c>
      <c r="B42" s="208"/>
      <c r="T42" s="171"/>
    </row>
    <row r="43" spans="1:20" s="13" customFormat="1" x14ac:dyDescent="0.2">
      <c r="A43" s="199" t="s">
        <v>22</v>
      </c>
      <c r="B43" s="200">
        <f>AVERAGE(B44:B46)</f>
        <v>6.1404965404965407E-2</v>
      </c>
      <c r="T43" s="171"/>
    </row>
    <row r="44" spans="1:20" s="13" customFormat="1" x14ac:dyDescent="0.2">
      <c r="A44" s="191" t="s">
        <v>365</v>
      </c>
      <c r="B44" s="192">
        <f>56/750</f>
        <v>7.4666666666666673E-2</v>
      </c>
      <c r="P44" s="177"/>
      <c r="R44" s="175"/>
      <c r="S44" s="175"/>
      <c r="T44" s="171"/>
    </row>
    <row r="45" spans="1:20" s="13" customFormat="1" x14ac:dyDescent="0.2">
      <c r="A45" s="191" t="s">
        <v>207</v>
      </c>
      <c r="B45" s="192">
        <f>4.4/93.6</f>
        <v>4.7008547008547015E-2</v>
      </c>
      <c r="P45" s="177"/>
      <c r="Q45" s="175"/>
      <c r="R45" s="175"/>
      <c r="S45" s="175"/>
      <c r="T45" s="171"/>
    </row>
    <row r="46" spans="1:20" s="13" customFormat="1" x14ac:dyDescent="0.2">
      <c r="A46" s="191" t="s">
        <v>402</v>
      </c>
      <c r="B46" s="192">
        <f>0.788/12.6</f>
        <v>6.2539682539682548E-2</v>
      </c>
      <c r="P46" s="177"/>
      <c r="Q46" s="175"/>
      <c r="R46" s="175"/>
      <c r="S46" s="175"/>
      <c r="T46" s="171"/>
    </row>
    <row r="47" spans="1:20" s="13" customFormat="1" x14ac:dyDescent="0.2">
      <c r="A47" s="199" t="s">
        <v>23</v>
      </c>
      <c r="B47" s="200">
        <f>B48/B51-1</f>
        <v>0.6600639652258109</v>
      </c>
      <c r="P47" s="177"/>
      <c r="Q47" s="175"/>
      <c r="R47" s="175"/>
      <c r="S47" s="175"/>
      <c r="T47" s="171"/>
    </row>
    <row r="48" spans="1:20" s="13" customFormat="1" x14ac:dyDescent="0.2">
      <c r="A48" s="191" t="s">
        <v>401</v>
      </c>
      <c r="B48" s="195">
        <f>B49/B50</f>
        <v>136.57</v>
      </c>
      <c r="P48" s="176"/>
      <c r="R48" s="175"/>
      <c r="S48" s="175"/>
      <c r="T48" s="171"/>
    </row>
    <row r="49" spans="1:20" s="13" customFormat="1" x14ac:dyDescent="0.2">
      <c r="A49" s="211" t="s">
        <v>414</v>
      </c>
      <c r="B49" s="193">
        <f>SUM('Three Statement Model'!F155:G155)</f>
        <v>27314</v>
      </c>
      <c r="P49" s="177"/>
      <c r="Q49" s="175"/>
      <c r="R49" s="175"/>
      <c r="S49" s="175"/>
      <c r="T49" s="171"/>
    </row>
    <row r="50" spans="1:20" s="13" customFormat="1" x14ac:dyDescent="0.2">
      <c r="A50" s="211" t="s">
        <v>415</v>
      </c>
      <c r="B50" s="194">
        <v>200</v>
      </c>
      <c r="P50" s="177"/>
      <c r="Q50" s="175"/>
      <c r="R50" s="175"/>
      <c r="S50" s="175"/>
      <c r="T50" s="171"/>
    </row>
    <row r="51" spans="1:20" s="13" customFormat="1" x14ac:dyDescent="0.2">
      <c r="A51" s="191" t="s">
        <v>416</v>
      </c>
      <c r="B51" s="195">
        <f>SUMPRODUCT(B53:B57,B59:B63)/SUM(B59:B63)</f>
        <v>82.267914285714284</v>
      </c>
      <c r="P51" s="177"/>
      <c r="Q51" s="175"/>
      <c r="R51" s="175"/>
      <c r="S51" s="175"/>
      <c r="T51" s="171"/>
    </row>
    <row r="52" spans="1:20" s="13" customFormat="1" outlineLevel="1" x14ac:dyDescent="0.2">
      <c r="A52" s="211" t="s">
        <v>369</v>
      </c>
      <c r="B52" s="195"/>
      <c r="P52" s="177"/>
      <c r="Q52" s="175"/>
      <c r="R52" s="175"/>
      <c r="S52" s="175"/>
      <c r="T52" s="171" t="s">
        <v>24</v>
      </c>
    </row>
    <row r="53" spans="1:20" s="13" customFormat="1" outlineLevel="1" x14ac:dyDescent="0.2">
      <c r="A53" s="239" t="s">
        <v>360</v>
      </c>
      <c r="B53" s="195">
        <v>90.56</v>
      </c>
      <c r="P53" s="177"/>
      <c r="Q53" s="175"/>
      <c r="R53" s="175"/>
      <c r="S53" s="175"/>
      <c r="T53" s="171"/>
    </row>
    <row r="54" spans="1:20" s="13" customFormat="1" outlineLevel="1" x14ac:dyDescent="0.2">
      <c r="A54" s="239" t="s">
        <v>27</v>
      </c>
      <c r="B54" s="195">
        <v>2.82</v>
      </c>
      <c r="P54" s="177"/>
      <c r="Q54" s="175"/>
      <c r="R54" s="175"/>
      <c r="S54" s="175"/>
      <c r="T54" s="171"/>
    </row>
    <row r="55" spans="1:20" s="13" customFormat="1" outlineLevel="1" x14ac:dyDescent="0.2">
      <c r="A55" s="239" t="s">
        <v>28</v>
      </c>
      <c r="B55" s="195">
        <v>21.01</v>
      </c>
      <c r="P55" s="177"/>
      <c r="Q55" s="175"/>
      <c r="R55" s="175"/>
      <c r="S55" s="175"/>
      <c r="T55" s="171"/>
    </row>
    <row r="56" spans="1:20" s="13" customFormat="1" outlineLevel="1" x14ac:dyDescent="0.2">
      <c r="A56" s="239" t="s">
        <v>29</v>
      </c>
      <c r="B56" s="195">
        <v>6.98</v>
      </c>
      <c r="P56" s="177"/>
      <c r="Q56" s="175"/>
      <c r="R56" s="175"/>
      <c r="S56" s="175"/>
      <c r="T56" s="171"/>
    </row>
    <row r="57" spans="1:20" s="13" customFormat="1" outlineLevel="1" x14ac:dyDescent="0.2">
      <c r="A57" s="239" t="s">
        <v>30</v>
      </c>
      <c r="B57" s="195">
        <v>95.69</v>
      </c>
      <c r="P57" s="177"/>
      <c r="Q57" s="175"/>
      <c r="R57" s="175"/>
      <c r="S57" s="175"/>
      <c r="T57" s="171"/>
    </row>
    <row r="58" spans="1:20" s="13" customFormat="1" outlineLevel="1" x14ac:dyDescent="0.2">
      <c r="A58" s="211" t="s">
        <v>410</v>
      </c>
      <c r="B58" s="195"/>
      <c r="P58" s="177"/>
      <c r="Q58" s="175"/>
      <c r="R58" s="175"/>
      <c r="S58" s="175"/>
      <c r="T58" s="171"/>
    </row>
    <row r="59" spans="1:20" s="13" customFormat="1" outlineLevel="1" x14ac:dyDescent="0.2">
      <c r="A59" s="239" t="s">
        <v>360</v>
      </c>
      <c r="B59" s="195">
        <v>46.73</v>
      </c>
      <c r="P59" s="177"/>
      <c r="Q59" s="175"/>
      <c r="R59" s="175"/>
      <c r="S59" s="175"/>
      <c r="T59" s="171"/>
    </row>
    <row r="60" spans="1:20" s="13" customFormat="1" outlineLevel="1" x14ac:dyDescent="0.2">
      <c r="A60" s="239" t="s">
        <v>27</v>
      </c>
      <c r="B60" s="195">
        <v>1.45</v>
      </c>
      <c r="P60" s="177"/>
      <c r="Q60" s="175"/>
      <c r="R60" s="175"/>
      <c r="S60" s="175"/>
      <c r="T60" s="171"/>
    </row>
    <row r="61" spans="1:20" s="13" customFormat="1" outlineLevel="1" x14ac:dyDescent="0.2">
      <c r="A61" s="239" t="s">
        <v>28</v>
      </c>
      <c r="B61" s="195">
        <v>10.84</v>
      </c>
      <c r="P61" s="177"/>
      <c r="Q61" s="175"/>
      <c r="R61" s="175"/>
      <c r="S61" s="175"/>
      <c r="T61" s="171"/>
    </row>
    <row r="62" spans="1:20" s="13" customFormat="1" outlineLevel="1" x14ac:dyDescent="0.2">
      <c r="A62" s="239" t="s">
        <v>29</v>
      </c>
      <c r="B62" s="195">
        <v>3.6</v>
      </c>
      <c r="P62" s="177"/>
      <c r="Q62" s="175"/>
      <c r="R62" s="175"/>
      <c r="S62" s="175"/>
      <c r="T62" s="171"/>
    </row>
    <row r="63" spans="1:20" s="13" customFormat="1" outlineLevel="1" x14ac:dyDescent="0.2">
      <c r="A63" s="239" t="s">
        <v>30</v>
      </c>
      <c r="B63" s="195">
        <v>49.38</v>
      </c>
      <c r="P63" s="177"/>
      <c r="Q63" s="175"/>
      <c r="R63" s="175"/>
      <c r="S63" s="175"/>
      <c r="T63" s="171"/>
    </row>
    <row r="64" spans="1:20" s="13" customFormat="1" x14ac:dyDescent="0.2">
      <c r="A64" s="199" t="s">
        <v>25</v>
      </c>
      <c r="B64" s="200">
        <f>AVERAGE(B65:B67)</f>
        <v>0.71666666666666667</v>
      </c>
      <c r="P64" s="177"/>
      <c r="Q64" s="175"/>
      <c r="R64" s="175"/>
      <c r="S64" s="175"/>
      <c r="T64" s="171"/>
    </row>
    <row r="65" spans="1:20" s="13" customFormat="1" x14ac:dyDescent="0.2">
      <c r="A65" s="191" t="s">
        <v>361</v>
      </c>
      <c r="B65" s="204">
        <v>0.7</v>
      </c>
      <c r="Q65" s="174"/>
      <c r="R65" s="174"/>
      <c r="S65" s="174"/>
      <c r="T65" s="171" t="s">
        <v>26</v>
      </c>
    </row>
    <row r="66" spans="1:20" s="13" customFormat="1" x14ac:dyDescent="0.2">
      <c r="A66" s="191" t="s">
        <v>207</v>
      </c>
      <c r="B66" s="204">
        <v>0.75</v>
      </c>
      <c r="P66" s="177"/>
      <c r="Q66" s="175"/>
      <c r="R66" s="175"/>
      <c r="S66" s="175"/>
      <c r="T66" s="171"/>
    </row>
    <row r="67" spans="1:20" s="13" customFormat="1" x14ac:dyDescent="0.2">
      <c r="A67" s="191" t="s">
        <v>413</v>
      </c>
      <c r="B67" s="204">
        <v>0.7</v>
      </c>
      <c r="P67" s="177"/>
      <c r="Q67" s="175"/>
      <c r="R67" s="175"/>
      <c r="S67" s="175"/>
      <c r="T67" s="171"/>
    </row>
    <row r="68" spans="1:20" s="13" customFormat="1" x14ac:dyDescent="0.2">
      <c r="A68" s="180"/>
      <c r="B68" s="179"/>
      <c r="P68" s="177"/>
      <c r="Q68" s="175"/>
      <c r="R68" s="175"/>
      <c r="S68" s="175"/>
      <c r="T68" s="171"/>
    </row>
    <row r="69" spans="1:20" s="13" customFormat="1" x14ac:dyDescent="0.2">
      <c r="N69" s="170"/>
      <c r="T69" s="171"/>
    </row>
    <row r="70" spans="1:20" s="13" customFormat="1" x14ac:dyDescent="0.2">
      <c r="A70" s="617" t="s">
        <v>387</v>
      </c>
      <c r="B70" s="618"/>
      <c r="N70" s="170"/>
      <c r="T70" s="171"/>
    </row>
    <row r="71" spans="1:20" s="13" customFormat="1" x14ac:dyDescent="0.2">
      <c r="A71" s="219" t="s">
        <v>386</v>
      </c>
      <c r="B71" s="590">
        <f>N77</f>
        <v>6.8224250596411157E-2</v>
      </c>
      <c r="N71" s="170"/>
      <c r="T71" s="171"/>
    </row>
    <row r="72" spans="1:20" x14ac:dyDescent="0.2">
      <c r="A72" s="170"/>
      <c r="B72" s="216"/>
    </row>
    <row r="73" spans="1:20" x14ac:dyDescent="0.2">
      <c r="A73" s="170"/>
      <c r="B73" s="216"/>
    </row>
    <row r="74" spans="1:20" s="13" customFormat="1" outlineLevel="1" x14ac:dyDescent="0.2">
      <c r="A74" s="189" t="s">
        <v>343</v>
      </c>
      <c r="B74" s="117">
        <f t="shared" ref="B74:H74" si="1">C74-1</f>
        <v>2017</v>
      </c>
      <c r="C74" s="117">
        <f t="shared" si="1"/>
        <v>2018</v>
      </c>
      <c r="D74" s="117">
        <f t="shared" si="1"/>
        <v>2019</v>
      </c>
      <c r="E74" s="117">
        <f t="shared" si="1"/>
        <v>2020</v>
      </c>
      <c r="F74" s="117">
        <f t="shared" si="1"/>
        <v>2021</v>
      </c>
      <c r="G74" s="117">
        <f t="shared" si="1"/>
        <v>2022</v>
      </c>
      <c r="H74" s="117">
        <f t="shared" si="1"/>
        <v>2023</v>
      </c>
      <c r="I74" s="117">
        <f>N74-1</f>
        <v>2024</v>
      </c>
      <c r="J74" s="591">
        <v>1</v>
      </c>
      <c r="K74" s="591">
        <v>2</v>
      </c>
      <c r="L74" s="591">
        <v>3</v>
      </c>
      <c r="M74" s="591">
        <v>4</v>
      </c>
      <c r="N74" s="117">
        <v>2025</v>
      </c>
      <c r="O74" s="592">
        <v>1</v>
      </c>
      <c r="P74" s="592">
        <v>2</v>
      </c>
      <c r="Q74" s="592">
        <v>3</v>
      </c>
      <c r="T74" s="171"/>
    </row>
    <row r="75" spans="1:20" s="13" customFormat="1" outlineLevel="1" x14ac:dyDescent="0.2">
      <c r="A75" s="181" t="s">
        <v>353</v>
      </c>
      <c r="B75" s="167">
        <v>37338.199999999997</v>
      </c>
      <c r="C75" s="167">
        <v>40090</v>
      </c>
      <c r="D75" s="167">
        <v>40680</v>
      </c>
      <c r="E75" s="167">
        <v>40468</v>
      </c>
      <c r="F75" s="167">
        <v>44816</v>
      </c>
      <c r="G75" s="167">
        <v>49123</v>
      </c>
      <c r="H75" s="167">
        <v>43649</v>
      </c>
      <c r="I75" s="167">
        <v>40618</v>
      </c>
      <c r="J75" s="167">
        <v>8269</v>
      </c>
      <c r="K75" s="167">
        <v>8698</v>
      </c>
      <c r="L75" s="167">
        <v>8844</v>
      </c>
      <c r="M75" s="167">
        <v>7029</v>
      </c>
      <c r="N75" s="167">
        <v>38564</v>
      </c>
      <c r="O75" s="167">
        <v>8188</v>
      </c>
      <c r="P75" s="167">
        <v>8857</v>
      </c>
      <c r="Q75" s="167">
        <v>9081</v>
      </c>
      <c r="T75" s="171"/>
    </row>
    <row r="76" spans="1:20" s="13" customFormat="1" outlineLevel="1" x14ac:dyDescent="0.2">
      <c r="A76" s="103" t="s">
        <v>6</v>
      </c>
      <c r="B76" s="167">
        <v>2033.25</v>
      </c>
      <c r="C76" s="167">
        <v>1848</v>
      </c>
      <c r="D76" s="167">
        <v>1967</v>
      </c>
      <c r="E76" s="167">
        <v>2325</v>
      </c>
      <c r="F76" s="167">
        <v>2252</v>
      </c>
      <c r="G76" s="167">
        <v>2380</v>
      </c>
      <c r="H76" s="167">
        <v>2332</v>
      </c>
      <c r="I76" s="167">
        <v>2530</v>
      </c>
      <c r="J76" s="167">
        <v>578</v>
      </c>
      <c r="K76" s="167">
        <v>590</v>
      </c>
      <c r="L76" s="167">
        <v>601</v>
      </c>
      <c r="M76" s="167">
        <v>862</v>
      </c>
      <c r="N76" s="167">
        <v>2631</v>
      </c>
      <c r="O76" s="167">
        <v>579</v>
      </c>
      <c r="P76" s="167">
        <v>581</v>
      </c>
      <c r="Q76" s="167">
        <v>591</v>
      </c>
      <c r="T76" s="171"/>
    </row>
    <row r="77" spans="1:20" s="13" customFormat="1" outlineLevel="1" x14ac:dyDescent="0.2">
      <c r="A77" s="182" t="s">
        <v>7</v>
      </c>
      <c r="B77" s="169">
        <f>B76/B75</f>
        <v>5.4454954979083085E-2</v>
      </c>
      <c r="C77" s="169">
        <f t="shared" ref="C77:N77" si="2">C76/C75</f>
        <v>4.6096283362434522E-2</v>
      </c>
      <c r="D77" s="169">
        <f t="shared" si="2"/>
        <v>4.8352999016715831E-2</v>
      </c>
      <c r="E77" s="169">
        <f t="shared" si="2"/>
        <v>5.7452802214095086E-2</v>
      </c>
      <c r="F77" s="169">
        <f t="shared" si="2"/>
        <v>5.0249910746162085E-2</v>
      </c>
      <c r="G77" s="169">
        <f t="shared" si="2"/>
        <v>4.8449809661462041E-2</v>
      </c>
      <c r="H77" s="169">
        <f t="shared" si="2"/>
        <v>5.3426195330935414E-2</v>
      </c>
      <c r="I77" s="169">
        <f t="shared" si="2"/>
        <v>6.2287655719139301E-2</v>
      </c>
      <c r="J77" s="169">
        <f>J76/J75</f>
        <v>6.9899625105816904E-2</v>
      </c>
      <c r="K77" s="169">
        <f>K76/K75</f>
        <v>6.7831685444929873E-2</v>
      </c>
      <c r="L77" s="169">
        <f>L76/L75</f>
        <v>6.7955676164631384E-2</v>
      </c>
      <c r="M77" s="169">
        <f>M76/M75</f>
        <v>0.12263479869113672</v>
      </c>
      <c r="N77" s="169">
        <f t="shared" si="2"/>
        <v>6.8224250596411157E-2</v>
      </c>
      <c r="O77" s="174">
        <f>O76/O75</f>
        <v>7.0713238886174895E-2</v>
      </c>
      <c r="P77" s="174">
        <f>P76/P75</f>
        <v>6.5597832223100366E-2</v>
      </c>
      <c r="Q77" s="174">
        <f>Q76/Q75</f>
        <v>6.5080938222662699E-2</v>
      </c>
      <c r="T77" s="171"/>
    </row>
    <row r="78" spans="1:20" s="13" customFormat="1" outlineLevel="1" x14ac:dyDescent="0.2">
      <c r="A78" s="182" t="s">
        <v>478</v>
      </c>
      <c r="B78" s="169"/>
      <c r="C78" s="169">
        <f t="shared" ref="C78:I78" si="3">C77-B77</f>
        <v>-8.3586716166485636E-3</v>
      </c>
      <c r="D78" s="169">
        <f t="shared" si="3"/>
        <v>2.2567156542813091E-3</v>
      </c>
      <c r="E78" s="169">
        <f t="shared" si="3"/>
        <v>9.0998031973792554E-3</v>
      </c>
      <c r="F78" s="169">
        <f t="shared" si="3"/>
        <v>-7.2028914679330008E-3</v>
      </c>
      <c r="G78" s="169">
        <f t="shared" si="3"/>
        <v>-1.800101084700044E-3</v>
      </c>
      <c r="H78" s="169">
        <f t="shared" si="3"/>
        <v>4.9763856694733724E-3</v>
      </c>
      <c r="I78" s="169">
        <f t="shared" si="3"/>
        <v>8.8614603882038873E-3</v>
      </c>
      <c r="J78" s="593"/>
      <c r="K78" s="593"/>
      <c r="L78" s="593"/>
      <c r="M78" s="593"/>
      <c r="N78" s="169">
        <f>N77-I77</f>
        <v>5.9365948772718558E-3</v>
      </c>
      <c r="O78" s="174">
        <f>O77-J77</f>
        <v>8.1361378035799126E-4</v>
      </c>
      <c r="P78" s="174">
        <f>P77-K77</f>
        <v>-2.2338532218295071E-3</v>
      </c>
      <c r="Q78" s="174">
        <f>Q77-L77</f>
        <v>-2.8747379419686858E-3</v>
      </c>
      <c r="T78" s="171"/>
    </row>
    <row r="79" spans="1:20" s="13" customFormat="1" outlineLevel="1" x14ac:dyDescent="0.2">
      <c r="A79" s="182"/>
      <c r="B79" s="169"/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T79" s="171"/>
    </row>
    <row r="80" spans="1:20" ht="16" x14ac:dyDescent="0.2">
      <c r="A80" s="163" t="s">
        <v>2</v>
      </c>
      <c r="B80" s="162"/>
    </row>
    <row r="81" spans="1:2" ht="16" x14ac:dyDescent="0.2">
      <c r="A81" s="241" t="s">
        <v>323</v>
      </c>
      <c r="B81" s="242">
        <f>_xlfn.RRI(A83-A82,B82,B83)</f>
        <v>-1.1432953250602673E-2</v>
      </c>
    </row>
    <row r="82" spans="1:2" ht="16" x14ac:dyDescent="0.2">
      <c r="A82" s="421">
        <v>2018</v>
      </c>
      <c r="B82" s="401">
        <v>181.5</v>
      </c>
    </row>
    <row r="83" spans="1:2" ht="16" x14ac:dyDescent="0.2">
      <c r="A83" s="421">
        <v>2024</v>
      </c>
      <c r="B83" s="401">
        <v>169.4</v>
      </c>
    </row>
    <row r="84" spans="1:2" ht="16" x14ac:dyDescent="0.2">
      <c r="A84" s="241" t="s">
        <v>327</v>
      </c>
      <c r="B84" s="402">
        <v>0</v>
      </c>
    </row>
    <row r="85" spans="1:2" ht="16" x14ac:dyDescent="0.2">
      <c r="A85" s="241" t="s">
        <v>412</v>
      </c>
      <c r="B85" s="242">
        <f>_xlfn.RRI(A87-A86,B86,B87)</f>
        <v>-5.5673608582633149E-2</v>
      </c>
    </row>
    <row r="86" spans="1:2" ht="16" x14ac:dyDescent="0.2">
      <c r="A86" s="413">
        <v>2024</v>
      </c>
      <c r="B86" s="240">
        <v>0.66500000000000004</v>
      </c>
    </row>
    <row r="87" spans="1:2" ht="16" x14ac:dyDescent="0.2">
      <c r="A87" s="414">
        <v>2027</v>
      </c>
      <c r="B87" s="240">
        <v>0.56000000000000005</v>
      </c>
    </row>
    <row r="88" spans="1:2" ht="16" x14ac:dyDescent="0.2">
      <c r="A88" s="243"/>
      <c r="B88" s="245"/>
    </row>
    <row r="90" spans="1:2" ht="16" x14ac:dyDescent="0.2">
      <c r="A90" s="163" t="s">
        <v>4</v>
      </c>
      <c r="B90" s="164"/>
    </row>
    <row r="91" spans="1:2" ht="16" x14ac:dyDescent="0.2">
      <c r="A91" s="241" t="s">
        <v>323</v>
      </c>
      <c r="B91" s="403">
        <f>_xlfn.RRI(A93-A92,B92,B93)</f>
        <v>1.6697498806923283E-2</v>
      </c>
    </row>
    <row r="92" spans="1:2" ht="16" x14ac:dyDescent="0.2">
      <c r="A92" s="422">
        <v>2018</v>
      </c>
      <c r="B92" s="404">
        <v>91.9</v>
      </c>
    </row>
    <row r="93" spans="1:2" ht="16" x14ac:dyDescent="0.2">
      <c r="A93" s="422">
        <v>2024</v>
      </c>
      <c r="B93" s="404">
        <v>101.5</v>
      </c>
    </row>
    <row r="94" spans="1:2" ht="16" x14ac:dyDescent="0.2">
      <c r="A94" s="241" t="s">
        <v>336</v>
      </c>
      <c r="B94" s="403">
        <f>B98-B95</f>
        <v>3.2729152534520356E-2</v>
      </c>
    </row>
    <row r="95" spans="1:2" ht="16" x14ac:dyDescent="0.2">
      <c r="A95" s="146" t="s">
        <v>385</v>
      </c>
      <c r="B95" s="405">
        <f>_xlfn.RRI(A97-A96,B96,B97)</f>
        <v>3.5140933023827259E-2</v>
      </c>
    </row>
    <row r="96" spans="1:2" ht="16" x14ac:dyDescent="0.2">
      <c r="A96" s="415">
        <v>2008</v>
      </c>
      <c r="B96" s="142">
        <v>21.6</v>
      </c>
    </row>
    <row r="97" spans="1:2" ht="16" x14ac:dyDescent="0.2">
      <c r="A97" s="415">
        <v>2012</v>
      </c>
      <c r="B97" s="142">
        <v>24.8</v>
      </c>
    </row>
    <row r="98" spans="1:2" ht="16" x14ac:dyDescent="0.2">
      <c r="A98" s="146" t="s">
        <v>396</v>
      </c>
      <c r="B98" s="405">
        <f>_xlfn.RRI(A100-A99,B99,B100)</f>
        <v>6.7870085558347615E-2</v>
      </c>
    </row>
    <row r="99" spans="1:2" ht="16" x14ac:dyDescent="0.2">
      <c r="A99" s="415">
        <v>2012</v>
      </c>
      <c r="B99" s="142">
        <f>B97</f>
        <v>24.8</v>
      </c>
    </row>
    <row r="100" spans="1:2" ht="16" x14ac:dyDescent="0.2">
      <c r="A100" s="415">
        <v>2015</v>
      </c>
      <c r="B100" s="142">
        <v>30.2</v>
      </c>
    </row>
    <row r="101" spans="1:2" ht="16" x14ac:dyDescent="0.2">
      <c r="A101" s="241" t="s">
        <v>412</v>
      </c>
      <c r="B101" s="403">
        <f>_xlfn.RRI(A103-A102,B102,B103)</f>
        <v>-4.1772308846655948E-2</v>
      </c>
    </row>
    <row r="102" spans="1:2" ht="16" x14ac:dyDescent="0.2">
      <c r="A102" s="413">
        <v>2024</v>
      </c>
      <c r="B102" s="143">
        <v>0.51600000000000001</v>
      </c>
    </row>
    <row r="103" spans="1:2" ht="16" x14ac:dyDescent="0.2">
      <c r="A103" s="414">
        <v>2027</v>
      </c>
      <c r="B103" s="143">
        <v>0.45400000000000001</v>
      </c>
    </row>
    <row r="104" spans="1:2" ht="16" x14ac:dyDescent="0.2">
      <c r="A104" s="243"/>
      <c r="B104" s="244"/>
    </row>
    <row r="106" spans="1:2" ht="16" x14ac:dyDescent="0.2">
      <c r="A106" s="163" t="s">
        <v>3</v>
      </c>
      <c r="B106" s="164"/>
    </row>
    <row r="107" spans="1:2" ht="16" x14ac:dyDescent="0.2">
      <c r="A107" s="241" t="s">
        <v>399</v>
      </c>
      <c r="B107" s="403">
        <f>AVERAGE(B108:B110)</f>
        <v>4.0333333333333332E-2</v>
      </c>
    </row>
    <row r="108" spans="1:2" ht="16" x14ac:dyDescent="0.2">
      <c r="A108" s="412" t="s">
        <v>363</v>
      </c>
      <c r="B108" s="143">
        <v>3.7999999999999999E-2</v>
      </c>
    </row>
    <row r="109" spans="1:2" ht="16" x14ac:dyDescent="0.2">
      <c r="A109" s="412" t="s">
        <v>400</v>
      </c>
      <c r="B109" s="143">
        <v>4.2000000000000003E-2</v>
      </c>
    </row>
    <row r="110" spans="1:2" ht="16" x14ac:dyDescent="0.2">
      <c r="A110" s="412" t="s">
        <v>358</v>
      </c>
      <c r="B110" s="143">
        <v>4.1000000000000002E-2</v>
      </c>
    </row>
  </sheetData>
  <phoneticPr fontId="73" type="noConversion"/>
  <dataValidations disablePrompts="1" count="1">
    <dataValidation type="list" allowBlank="1" showInputMessage="1" showErrorMessage="1" sqref="A1" xr:uid="{8E42219F-1187-2148-BB9C-68F428E9873C}">
      <formula1>"Bull ($MM), Base ($MM), Bear ($MM)"</formula1>
    </dataValidation>
  </dataValidations>
  <pageMargins left="0.7" right="0.7" top="0.75" bottom="0.75" header="0.3" footer="0.3"/>
  <pageSetup orientation="portrait" horizontalDpi="0" verticalDpi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F0D2C-E1B7-274B-8202-CCFF3470F094}">
  <sheetPr>
    <tabColor rgb="FF0000FF"/>
  </sheetPr>
  <dimension ref="A1:AB119"/>
  <sheetViews>
    <sheetView showGridLines="0" zoomScale="109" zoomScaleNormal="150" workbookViewId="0">
      <selection activeCell="K88" sqref="K88"/>
    </sheetView>
  </sheetViews>
  <sheetFormatPr baseColWidth="10" defaultColWidth="11.5" defaultRowHeight="15" outlineLevelRow="1" x14ac:dyDescent="0.2"/>
  <cols>
    <col min="1" max="1" width="43" style="7" bestFit="1" customWidth="1"/>
    <col min="2" max="3" width="11" style="7" bestFit="1" customWidth="1"/>
    <col min="4" max="4" width="18.33203125" style="7" bestFit="1" customWidth="1"/>
    <col min="5" max="6" width="13.1640625" style="7" bestFit="1" customWidth="1"/>
    <col min="7" max="7" width="16.33203125" style="7" bestFit="1" customWidth="1"/>
    <col min="8" max="8" width="18.83203125" style="7" bestFit="1" customWidth="1"/>
    <col min="9" max="10" width="19.83203125" style="7" bestFit="1" customWidth="1"/>
    <col min="11" max="11" width="18.83203125" style="7" bestFit="1" customWidth="1"/>
    <col min="12" max="13" width="17.83203125" style="7" bestFit="1" customWidth="1"/>
    <col min="14" max="14" width="14.1640625" style="7" bestFit="1" customWidth="1"/>
    <col min="15" max="16384" width="11.5" style="7"/>
  </cols>
  <sheetData>
    <row r="1" spans="1:12" x14ac:dyDescent="0.2">
      <c r="A1" s="734" t="s">
        <v>493</v>
      </c>
      <c r="B1" s="734"/>
      <c r="C1" s="734"/>
      <c r="D1" s="734"/>
      <c r="E1" s="734"/>
      <c r="F1" s="734"/>
      <c r="G1" s="734"/>
      <c r="H1" s="734"/>
      <c r="I1" s="734"/>
      <c r="J1" s="734"/>
      <c r="K1" s="734"/>
      <c r="L1" s="734"/>
    </row>
    <row r="2" spans="1:12" s="218" customFormat="1" x14ac:dyDescent="0.2">
      <c r="A2" s="423" t="s">
        <v>411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1:12" x14ac:dyDescent="0.2">
      <c r="A3" s="236" t="s">
        <v>31</v>
      </c>
      <c r="B3" s="219">
        <v>2016</v>
      </c>
      <c r="C3" s="219">
        <f t="shared" ref="C3:J3" si="0">B3+1</f>
        <v>2017</v>
      </c>
      <c r="D3" s="219">
        <f t="shared" si="0"/>
        <v>2018</v>
      </c>
      <c r="E3" s="219">
        <f t="shared" si="0"/>
        <v>2019</v>
      </c>
      <c r="F3" s="219">
        <f t="shared" si="0"/>
        <v>2020</v>
      </c>
      <c r="G3" s="219">
        <f t="shared" si="0"/>
        <v>2021</v>
      </c>
      <c r="H3" s="219">
        <f t="shared" si="0"/>
        <v>2022</v>
      </c>
      <c r="I3" s="219">
        <f t="shared" si="0"/>
        <v>2023</v>
      </c>
      <c r="J3" s="219">
        <f t="shared" si="0"/>
        <v>2024</v>
      </c>
      <c r="K3" s="219">
        <v>2025</v>
      </c>
      <c r="L3" s="103"/>
    </row>
    <row r="4" spans="1:12" ht="16" x14ac:dyDescent="0.2">
      <c r="A4" s="220" t="s">
        <v>32</v>
      </c>
      <c r="B4" s="221">
        <v>246</v>
      </c>
      <c r="C4" s="221">
        <v>211</v>
      </c>
      <c r="D4" s="221">
        <v>197</v>
      </c>
      <c r="E4" s="221">
        <v>264</v>
      </c>
      <c r="F4" s="221">
        <v>238</v>
      </c>
      <c r="G4" s="221" cm="1">
        <f t="array" ref="G4:J4">'Three Statement Model'!D161:G161</f>
        <v>117</v>
      </c>
      <c r="H4" s="221">
        <v>178</v>
      </c>
      <c r="I4" s="221">
        <v>355</v>
      </c>
      <c r="J4" s="221">
        <v>278</v>
      </c>
      <c r="K4" s="221">
        <f>0.4*'Three Statement Model'!L161</f>
        <v>92</v>
      </c>
    </row>
    <row r="5" spans="1:12" ht="16" x14ac:dyDescent="0.2">
      <c r="A5" s="220" t="s">
        <v>33</v>
      </c>
      <c r="B5" s="221">
        <v>47</v>
      </c>
      <c r="C5" s="221">
        <v>40</v>
      </c>
      <c r="D5" s="221">
        <v>66</v>
      </c>
      <c r="E5" s="221">
        <v>107</v>
      </c>
      <c r="F5" s="221">
        <v>74</v>
      </c>
      <c r="G5" s="221">
        <v>57</v>
      </c>
      <c r="H5" s="221">
        <v>10</v>
      </c>
      <c r="I5" s="221">
        <v>35</v>
      </c>
      <c r="J5" s="221">
        <v>21</v>
      </c>
      <c r="K5" s="221">
        <f>0.4*'Three Statement Model'!L166</f>
        <v>15.200000000000001</v>
      </c>
    </row>
    <row r="6" spans="1:12" ht="16" x14ac:dyDescent="0.2">
      <c r="A6" s="220" t="s">
        <v>34</v>
      </c>
      <c r="B6" s="221">
        <v>356</v>
      </c>
      <c r="C6" s="221">
        <v>347</v>
      </c>
      <c r="D6" s="221">
        <v>425</v>
      </c>
      <c r="E6" s="221">
        <v>448</v>
      </c>
      <c r="F6" s="221">
        <v>431</v>
      </c>
      <c r="G6" s="221">
        <v>539</v>
      </c>
      <c r="H6" s="221">
        <v>549</v>
      </c>
      <c r="I6" s="221">
        <v>540</v>
      </c>
      <c r="J6" s="221">
        <v>496</v>
      </c>
      <c r="K6" s="221">
        <f>0.4*'Three Statement Model'!L156</f>
        <v>175.20000000000002</v>
      </c>
    </row>
    <row r="7" spans="1:12" ht="16" hidden="1" outlineLevel="1" x14ac:dyDescent="0.2">
      <c r="A7" s="105" t="s">
        <v>35</v>
      </c>
      <c r="B7" s="222">
        <f t="shared" ref="B7:J7" si="1">C7+1</f>
        <v>10</v>
      </c>
      <c r="C7" s="222">
        <f t="shared" si="1"/>
        <v>9</v>
      </c>
      <c r="D7" s="222">
        <f t="shared" si="1"/>
        <v>8</v>
      </c>
      <c r="E7" s="222">
        <f t="shared" si="1"/>
        <v>7</v>
      </c>
      <c r="F7" s="222">
        <f t="shared" si="1"/>
        <v>6</v>
      </c>
      <c r="G7" s="222">
        <f t="shared" si="1"/>
        <v>5</v>
      </c>
      <c r="H7" s="222">
        <f t="shared" si="1"/>
        <v>4</v>
      </c>
      <c r="I7" s="222">
        <f t="shared" si="1"/>
        <v>3</v>
      </c>
      <c r="J7" s="222">
        <f t="shared" si="1"/>
        <v>2</v>
      </c>
      <c r="K7" s="222">
        <v>1</v>
      </c>
    </row>
    <row r="8" spans="1:12" collapsed="1" x14ac:dyDescent="0.2">
      <c r="C8" s="102"/>
      <c r="F8" s="223"/>
      <c r="G8" s="223"/>
      <c r="H8" s="223"/>
      <c r="I8" s="223"/>
      <c r="K8" s="223"/>
    </row>
    <row r="9" spans="1:12" x14ac:dyDescent="0.2">
      <c r="A9" s="197" t="s">
        <v>36</v>
      </c>
      <c r="B9" s="197"/>
      <c r="C9" s="102"/>
      <c r="F9" s="223"/>
      <c r="G9" s="223"/>
      <c r="H9" s="223"/>
      <c r="I9" s="223"/>
      <c r="K9" s="223"/>
    </row>
    <row r="10" spans="1:12" ht="16" x14ac:dyDescent="0.2">
      <c r="A10" s="296" t="s">
        <v>37</v>
      </c>
      <c r="B10" s="297">
        <v>3.5</v>
      </c>
      <c r="C10" s="102"/>
    </row>
    <row r="11" spans="1:12" ht="16" x14ac:dyDescent="0.2">
      <c r="A11" s="219" t="s">
        <v>38</v>
      </c>
      <c r="B11" s="224">
        <v>7.5</v>
      </c>
      <c r="E11" s="102"/>
      <c r="F11" s="223"/>
      <c r="G11" s="223"/>
      <c r="H11" s="223"/>
      <c r="I11" s="223"/>
    </row>
    <row r="12" spans="1:12" ht="16" x14ac:dyDescent="0.2">
      <c r="A12" s="219" t="s">
        <v>39</v>
      </c>
      <c r="B12" s="224">
        <v>4.5</v>
      </c>
    </row>
    <row r="13" spans="1:12" x14ac:dyDescent="0.2">
      <c r="D13" s="102"/>
    </row>
    <row r="14" spans="1:12" x14ac:dyDescent="0.2">
      <c r="A14" s="295" t="s">
        <v>40</v>
      </c>
      <c r="B14" s="197"/>
    </row>
    <row r="15" spans="1:12" x14ac:dyDescent="0.2">
      <c r="A15" s="219" t="s">
        <v>41</v>
      </c>
      <c r="B15" s="298">
        <f>SUM(F43:F56)</f>
        <v>248.42857142857144</v>
      </c>
    </row>
    <row r="16" spans="1:12" ht="16" x14ac:dyDescent="0.2">
      <c r="A16" s="219" t="s">
        <v>42</v>
      </c>
      <c r="B16" s="225">
        <f>SUM(F25:F38)</f>
        <v>52</v>
      </c>
      <c r="C16" s="226"/>
      <c r="D16" s="227"/>
    </row>
    <row r="17" spans="1:28" ht="16" x14ac:dyDescent="0.2">
      <c r="A17" s="219" t="s">
        <v>43</v>
      </c>
      <c r="B17" s="225">
        <f>SUM(F61:F74)</f>
        <v>519.88888888888891</v>
      </c>
      <c r="C17" s="226"/>
      <c r="D17" s="227"/>
    </row>
    <row r="18" spans="1:28" ht="16" x14ac:dyDescent="0.2">
      <c r="A18" s="219" t="s">
        <v>44</v>
      </c>
      <c r="B18" s="225">
        <f>SUM(B15:B17)</f>
        <v>820.31746031746036</v>
      </c>
      <c r="C18" s="226"/>
    </row>
    <row r="19" spans="1:28" ht="16" x14ac:dyDescent="0.2">
      <c r="A19" s="219" t="s">
        <v>492</v>
      </c>
      <c r="B19" s="225">
        <f>('Three Statement Model'!L49*-1)-'Three Statement Model'!L21</f>
        <v>845</v>
      </c>
      <c r="C19" s="226"/>
    </row>
    <row r="20" spans="1:28" ht="16" x14ac:dyDescent="0.2">
      <c r="A20" s="219" t="s">
        <v>45</v>
      </c>
      <c r="B20" s="228">
        <f>B18/B19-1</f>
        <v>-2.9210106133182978E-2</v>
      </c>
      <c r="C20" s="226"/>
    </row>
    <row r="21" spans="1:28" ht="16" x14ac:dyDescent="0.2">
      <c r="B21" s="226"/>
      <c r="C21" s="226"/>
    </row>
    <row r="22" spans="1:28" ht="16" customHeight="1" x14ac:dyDescent="0.2"/>
    <row r="23" spans="1:28" ht="19" x14ac:dyDescent="0.25">
      <c r="A23" s="580" t="s">
        <v>48</v>
      </c>
      <c r="B23" s="581"/>
      <c r="C23" s="581"/>
      <c r="D23" s="581"/>
      <c r="E23" s="581"/>
      <c r="F23" s="581"/>
      <c r="G23" s="581"/>
      <c r="H23" s="581"/>
      <c r="I23" s="581"/>
      <c r="J23" s="581"/>
      <c r="K23" s="581"/>
      <c r="L23" s="581"/>
      <c r="M23" s="559"/>
      <c r="N23" s="559"/>
      <c r="O23" s="559"/>
      <c r="P23" s="559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</row>
    <row r="24" spans="1:28" ht="17" x14ac:dyDescent="0.2">
      <c r="A24" s="582" t="s">
        <v>38</v>
      </c>
      <c r="B24" s="560">
        <v>2021</v>
      </c>
      <c r="C24" s="560">
        <v>2022</v>
      </c>
      <c r="D24" s="560">
        <v>2023</v>
      </c>
      <c r="E24" s="560">
        <v>2024</v>
      </c>
      <c r="F24" s="560">
        <v>2025</v>
      </c>
      <c r="G24" s="560">
        <v>2026</v>
      </c>
      <c r="H24" s="560">
        <v>2027</v>
      </c>
      <c r="I24" s="560">
        <v>2028</v>
      </c>
      <c r="J24" s="560">
        <v>2029</v>
      </c>
      <c r="K24" s="560">
        <v>2030</v>
      </c>
      <c r="L24" s="560">
        <v>2031</v>
      </c>
      <c r="M24" s="367"/>
      <c r="N24" s="367"/>
      <c r="O24" s="367"/>
      <c r="P24" s="367"/>
      <c r="Q24" s="263"/>
      <c r="R24" s="263"/>
      <c r="S24" s="263"/>
      <c r="T24" s="263"/>
      <c r="U24" s="263"/>
      <c r="V24" s="263"/>
      <c r="W24" s="263"/>
      <c r="X24" s="263"/>
      <c r="Y24" s="263"/>
      <c r="Z24" s="561"/>
      <c r="AA24" s="263"/>
      <c r="AB24" s="263"/>
    </row>
    <row r="25" spans="1:28" ht="17" x14ac:dyDescent="0.2">
      <c r="A25" s="583">
        <v>2017</v>
      </c>
      <c r="B25" s="563">
        <f>IF($A25+1&gt;B$24,0,IF(ROUND(INDEX('Useful Life &amp; SG&amp;A Build'!$A$9:$B$12,3,2),0)+$A25&lt;B$24,0,IF(ROUND(INDEX('Useful Life &amp; SG&amp;A Build'!$A$9:$B$12,3,2),0)+$A25=B$24,0.5*IFERROR(INDEX('Useful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5.333333333333333</v>
      </c>
      <c r="C25" s="563">
        <f>IF($A25+1&gt;C$24,0,IF(ROUND(INDEX('Useful Life &amp; SG&amp;A Build'!$A$9:$B$12,3,2),0)+$A25&lt;C$24,0,IF(ROUND(INDEX('Useful Life &amp; SG&amp;A Build'!$A$9:$B$12,3,2),0)+$A25=C$24,0.5*IFERROR(INDEX('Useful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5.333333333333333</v>
      </c>
      <c r="D25" s="563">
        <f>IF($A25+1&gt;D$24,0,IF(ROUND(INDEX('Useful Life &amp; SG&amp;A Build'!$A$9:$B$12,3,2),0)+$A25&lt;D$24,0,IF(ROUND(INDEX('Useful Life &amp; SG&amp;A Build'!$A$9:$B$12,3,2),0)+$A25=D$24,0.5*IFERROR(INDEX('Useful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5.333333333333333</v>
      </c>
      <c r="E25" s="563">
        <f>IF($A25+1&gt;E$24,0,IF(ROUND(INDEX('Useful Life &amp; SG&amp;A Build'!$A$9:$B$12,3,2),0)+$A25&lt;E$24,0,IF(ROUND(INDEX('Useful Life &amp; SG&amp;A Build'!$A$9:$B$12,3,2),0)+$A25=E$24,0.5*IFERROR(INDEX('Useful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5.333333333333333</v>
      </c>
      <c r="F25" s="563">
        <f>IF($A25+1&gt;F$24,0,IF(ROUND(INDEX('Useful Life &amp; SG&amp;A Build'!$A$9:$B$12,3,2),0)+$A25&lt;F$24,0,IF(ROUND(INDEX('Useful Life &amp; SG&amp;A Build'!$A$9:$B$12,3,2),0)+$A25=F$24,0.5*IFERROR(INDEX('Useful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2.6666666666666665</v>
      </c>
      <c r="G25" s="563">
        <f>IF($A25+1&gt;G$24,0,IF(ROUND(INDEX('Useful Life &amp; SG&amp;A Build'!$A$9:$B$12,3,2),0)+$A25&lt;G$24,0,IF(ROUND(INDEX('Useful Life &amp; SG&amp;A Build'!$A$9:$B$12,3,2),0)+$A25=G$24,0.5*IFERROR(INDEX('Useful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H25" s="563">
        <f>IF($A25+1&gt;H$24,0,IF(ROUND(INDEX('Useful Life &amp; SG&amp;A Build'!$A$9:$B$12,3,2),0)+$A25&lt;H$24,0,IF(ROUND(INDEX('Useful Life &amp; SG&amp;A Build'!$A$9:$B$12,3,2),0)+$A25=H$24,0.5*IFERROR(INDEX('Useful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I25" s="563">
        <f>IF($A25+1&gt;I$24,0,IF(ROUND(INDEX('Useful Life &amp; SG&amp;A Build'!$A$9:$B$12,3,2),0)+$A25&lt;I$24,0,IF(ROUND(INDEX('Useful Life &amp; SG&amp;A Build'!$A$9:$B$12,3,2),0)+$A25=I$24,0.5*IFERROR(INDEX('Useful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J25" s="563">
        <f>IF($A25+1&gt;J$24,0,IF(ROUND(INDEX('Useful Life &amp; SG&amp;A Build'!$A$9:$B$12,3,2),0)+$A25&lt;J$24,0,IF(ROUND(INDEX('Useful Life &amp; SG&amp;A Build'!$A$9:$B$12,3,2),0)+$A25=J$24,0.5*IFERROR(INDEX('Useful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K25" s="563">
        <f>IF($A25+1&gt;K$24,0,IF(ROUND(INDEX('Useful Life &amp; SG&amp;A Build'!$A$9:$B$12,3,2),0)+$A25&lt;K$24,0,IF(ROUND(INDEX('Useful Life &amp; SG&amp;A Build'!$A$9:$B$12,3,2),0)+$A25=K$24,0.5*IFERROR(INDEX('Useful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L25" s="563">
        <f>IF($A25+1&gt;L$24,0,IF(ROUND(INDEX('Useful Life &amp; SG&amp;A Build'!$A$9:$B$12,3,2),0)+$A25&lt;L$24,0,IF(ROUND(INDEX('Useful Life &amp; SG&amp;A Build'!$A$9:$B$12,3,2),0)+$A25=L$24,0.5*IFERROR(INDEX('Useful Life &amp; SG&amp;A Build'!$A$3:$K$6,3,MATCH($A25,'Useful Life &amp; SG&amp;A Build'!$A$3:$K$3,0))/INDEX('Useful Life &amp; SG&amp;A Build'!$A$9:$B$12,3,2),0),IFERROR(INDEX('Useful Life &amp; SG&amp;A Build'!$A$3:$K$6,3,MATCH($A25,'Useful Life &amp; SG&amp;A Build'!$A$3:$K$3,0))/INDEX('Useful Life &amp; SG&amp;A Build'!$A$9:$B$12,3,2),0))))</f>
        <v>0</v>
      </c>
      <c r="M25" s="367"/>
      <c r="N25" s="367"/>
      <c r="O25" s="367"/>
      <c r="P25" s="367"/>
      <c r="Q25" s="263"/>
      <c r="R25" s="263"/>
      <c r="S25" s="263"/>
      <c r="T25" s="263"/>
      <c r="U25" s="263"/>
      <c r="V25" s="263"/>
      <c r="W25" s="263"/>
      <c r="X25" s="263"/>
      <c r="Y25" s="263"/>
      <c r="Z25" s="561"/>
      <c r="AA25" s="263"/>
      <c r="AB25" s="263"/>
    </row>
    <row r="26" spans="1:28" ht="17" x14ac:dyDescent="0.2">
      <c r="A26" s="583">
        <f>A25+1</f>
        <v>2018</v>
      </c>
      <c r="B26" s="563">
        <f>IF($A26+1&gt;B$24,0,IF(ROUND(INDEX('Useful Life &amp; SG&amp;A Build'!$A$9:$B$12,3,2),0)+$A26&lt;B$24,0,IF(ROUND(INDEX('Useful Life &amp; SG&amp;A Build'!$A$9:$B$12,3,2),0)+$A26=B$24,0.5*IFERROR(INDEX('Useful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8.8000000000000007</v>
      </c>
      <c r="C26" s="563">
        <f>IF($A26+1&gt;C$24,0,IF(ROUND(INDEX('Useful Life &amp; SG&amp;A Build'!$A$9:$B$12,3,2),0)+$A26&lt;C$24,0,IF(ROUND(INDEX('Useful Life &amp; SG&amp;A Build'!$A$9:$B$12,3,2),0)+$A26=C$24,0.5*IFERROR(INDEX('Useful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8.8000000000000007</v>
      </c>
      <c r="D26" s="563">
        <f>IF($A26+1&gt;D$24,0,IF(ROUND(INDEX('Useful Life &amp; SG&amp;A Build'!$A$9:$B$12,3,2),0)+$A26&lt;D$24,0,IF(ROUND(INDEX('Useful Life &amp; SG&amp;A Build'!$A$9:$B$12,3,2),0)+$A26=D$24,0.5*IFERROR(INDEX('Useful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8.8000000000000007</v>
      </c>
      <c r="E26" s="563">
        <f>IF($A26+1&gt;E$24,0,IF(ROUND(INDEX('Useful Life &amp; SG&amp;A Build'!$A$9:$B$12,3,2),0)+$A26&lt;E$24,0,IF(ROUND(INDEX('Useful Life &amp; SG&amp;A Build'!$A$9:$B$12,3,2),0)+$A26=E$24,0.5*IFERROR(INDEX('Useful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8.8000000000000007</v>
      </c>
      <c r="F26" s="563">
        <f>IF($A26+1&gt;F$24,0,IF(ROUND(INDEX('Useful Life &amp; SG&amp;A Build'!$A$9:$B$12,3,2),0)+$A26&lt;F$24,0,IF(ROUND(INDEX('Useful Life &amp; SG&amp;A Build'!$A$9:$B$12,3,2),0)+$A26=F$24,0.5*IFERROR(INDEX('Useful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8.8000000000000007</v>
      </c>
      <c r="G26" s="563">
        <f>IF($A26+1&gt;G$24,0,IF(ROUND(INDEX('Useful Life &amp; SG&amp;A Build'!$A$9:$B$12,3,2),0)+$A26&lt;G$24,0,IF(ROUND(INDEX('Useful Life &amp; SG&amp;A Build'!$A$9:$B$12,3,2),0)+$A26=G$24,0.5*IFERROR(INDEX('Useful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4.4000000000000004</v>
      </c>
      <c r="H26" s="563">
        <f>IF($A26+1&gt;H$24,0,IF(ROUND(INDEX('Useful Life &amp; SG&amp;A Build'!$A$9:$B$12,3,2),0)+$A26&lt;H$24,0,IF(ROUND(INDEX('Useful Life &amp; SG&amp;A Build'!$A$9:$B$12,3,2),0)+$A26=H$24,0.5*IFERROR(INDEX('Useful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0</v>
      </c>
      <c r="I26" s="563">
        <f>IF($A26+1&gt;I$24,0,IF(ROUND(INDEX('Useful Life &amp; SG&amp;A Build'!$A$9:$B$12,3,2),0)+$A26&lt;I$24,0,IF(ROUND(INDEX('Useful Life &amp; SG&amp;A Build'!$A$9:$B$12,3,2),0)+$A26=I$24,0.5*IFERROR(INDEX('Useful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0</v>
      </c>
      <c r="J26" s="563">
        <f>IF($A26+1&gt;J$24,0,IF(ROUND(INDEX('Useful Life &amp; SG&amp;A Build'!$A$9:$B$12,3,2),0)+$A26&lt;J$24,0,IF(ROUND(INDEX('Useful Life &amp; SG&amp;A Build'!$A$9:$B$12,3,2),0)+$A26=J$24,0.5*IFERROR(INDEX('Useful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0</v>
      </c>
      <c r="K26" s="563">
        <f>IF($A26+1&gt;K$24,0,IF(ROUND(INDEX('Useful Life &amp; SG&amp;A Build'!$A$9:$B$12,3,2),0)+$A26&lt;K$24,0,IF(ROUND(INDEX('Useful Life &amp; SG&amp;A Build'!$A$9:$B$12,3,2),0)+$A26=K$24,0.5*IFERROR(INDEX('Useful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0</v>
      </c>
      <c r="L26" s="563">
        <f>IF($A26+1&gt;L$24,0,IF(ROUND(INDEX('Useful Life &amp; SG&amp;A Build'!$A$9:$B$12,3,2),0)+$A26&lt;L$24,0,IF(ROUND(INDEX('Useful Life &amp; SG&amp;A Build'!$A$9:$B$12,3,2),0)+$A26=L$24,0.5*IFERROR(INDEX('Useful Life &amp; SG&amp;A Build'!$A$3:$K$6,3,MATCH($A26,'Useful Life &amp; SG&amp;A Build'!$A$3:$K$3,0))/INDEX('Useful Life &amp; SG&amp;A Build'!$A$9:$B$12,3,2),0),IFERROR(INDEX('Useful Life &amp; SG&amp;A Build'!$A$3:$K$6,3,MATCH($A26,'Useful Life &amp; SG&amp;A Build'!$A$3:$K$3,0))/INDEX('Useful Life &amp; SG&amp;A Build'!$A$9:$B$12,3,2),0))))</f>
        <v>0</v>
      </c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561"/>
      <c r="AA26" s="263"/>
      <c r="AB26" s="263"/>
    </row>
    <row r="27" spans="1:28" ht="17" x14ac:dyDescent="0.2">
      <c r="A27" s="583">
        <v>2019</v>
      </c>
      <c r="B27" s="563">
        <f>IF($A27+1&gt;B$24,0,IF(ROUND(INDEX('Useful Life &amp; SG&amp;A Build'!$A$9:$B$12,3,2),0)+$A27&lt;B$24,0,IF(ROUND(INDEX('Useful Life &amp; SG&amp;A Build'!$A$9:$B$12,3,2),0)+$A27=B$24,0.5*IFERROR(INDEX('Useful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C27" s="563">
        <f>IF($A27+1&gt;C$24,0,IF(ROUND(INDEX('Useful Life &amp; SG&amp;A Build'!$A$9:$B$12,3,2),0)+$A27&lt;C$24,0,IF(ROUND(INDEX('Useful Life &amp; SG&amp;A Build'!$A$9:$B$12,3,2),0)+$A27=C$24,0.5*IFERROR(INDEX('Useful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D27" s="563">
        <f>IF($A27+1&gt;D$24,0,IF(ROUND(INDEX('Useful Life &amp; SG&amp;A Build'!$A$9:$B$12,3,2),0)+$A27&lt;D$24,0,IF(ROUND(INDEX('Useful Life &amp; SG&amp;A Build'!$A$9:$B$12,3,2),0)+$A27=D$24,0.5*IFERROR(INDEX('Useful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E27" s="563">
        <f>IF($A27+1&gt;E$24,0,IF(ROUND(INDEX('Useful Life &amp; SG&amp;A Build'!$A$9:$B$12,3,2),0)+$A27&lt;E$24,0,IF(ROUND(INDEX('Useful Life &amp; SG&amp;A Build'!$A$9:$B$12,3,2),0)+$A27=E$24,0.5*IFERROR(INDEX('Useful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F27" s="563">
        <f>IF($A27+1&gt;F$24,0,IF(ROUND(INDEX('Useful Life &amp; SG&amp;A Build'!$A$9:$B$12,3,2),0)+$A27&lt;F$24,0,IF(ROUND(INDEX('Useful Life &amp; SG&amp;A Build'!$A$9:$B$12,3,2),0)+$A27=F$24,0.5*IFERROR(INDEX('Useful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G27" s="563">
        <f>IF($A27+1&gt;G$24,0,IF(ROUND(INDEX('Useful Life &amp; SG&amp;A Build'!$A$9:$B$12,3,2),0)+$A27&lt;G$24,0,IF(ROUND(INDEX('Useful Life &amp; SG&amp;A Build'!$A$9:$B$12,3,2),0)+$A27=G$24,0.5*IFERROR(INDEX('Useful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14.266666666666667</v>
      </c>
      <c r="H27" s="563">
        <f>IF($A27+1&gt;H$24,0,IF(ROUND(INDEX('Useful Life &amp; SG&amp;A Build'!$A$9:$B$12,3,2),0)+$A27&lt;H$24,0,IF(ROUND(INDEX('Useful Life &amp; SG&amp;A Build'!$A$9:$B$12,3,2),0)+$A27=H$24,0.5*IFERROR(INDEX('Useful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7.1333333333333337</v>
      </c>
      <c r="I27" s="563">
        <f>IF($A27+1&gt;I$24,0,IF(ROUND(INDEX('Useful Life &amp; SG&amp;A Build'!$A$9:$B$12,3,2),0)+$A27&lt;I$24,0,IF(ROUND(INDEX('Useful Life &amp; SG&amp;A Build'!$A$9:$B$12,3,2),0)+$A27=I$24,0.5*IFERROR(INDEX('Useful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0</v>
      </c>
      <c r="J27" s="563">
        <f>IF($A27+1&gt;J$24,0,IF(ROUND(INDEX('Useful Life &amp; SG&amp;A Build'!$A$9:$B$12,3,2),0)+$A27&lt;J$24,0,IF(ROUND(INDEX('Useful Life &amp; SG&amp;A Build'!$A$9:$B$12,3,2),0)+$A27=J$24,0.5*IFERROR(INDEX('Useful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0</v>
      </c>
      <c r="K27" s="563">
        <f>IF($A27+1&gt;K$24,0,IF(ROUND(INDEX('Useful Life &amp; SG&amp;A Build'!$A$9:$B$12,3,2),0)+$A27&lt;K$24,0,IF(ROUND(INDEX('Useful Life &amp; SG&amp;A Build'!$A$9:$B$12,3,2),0)+$A27=K$24,0.5*IFERROR(INDEX('Useful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0</v>
      </c>
      <c r="L27" s="563">
        <f>IF($A27+1&gt;L$24,0,IF(ROUND(INDEX('Useful Life &amp; SG&amp;A Build'!$A$9:$B$12,3,2),0)+$A27&lt;L$24,0,IF(ROUND(INDEX('Useful Life &amp; SG&amp;A Build'!$A$9:$B$12,3,2),0)+$A27=L$24,0.5*IFERROR(INDEX('Useful Life &amp; SG&amp;A Build'!$A$3:$K$6,3,MATCH($A27,'Useful Life &amp; SG&amp;A Build'!$A$3:$K$3,0))/INDEX('Useful Life &amp; SG&amp;A Build'!$A$9:$B$12,3,2),0),IFERROR(INDEX('Useful Life &amp; SG&amp;A Build'!$A$3:$K$6,3,MATCH($A27,'Useful Life &amp; SG&amp;A Build'!$A$3:$K$3,0))/INDEX('Useful Life &amp; SG&amp;A Build'!$A$9:$B$12,3,2),0))))</f>
        <v>0</v>
      </c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561"/>
      <c r="AA27" s="263"/>
      <c r="AB27" s="263"/>
    </row>
    <row r="28" spans="1:28" ht="17" x14ac:dyDescent="0.2">
      <c r="A28" s="583">
        <f t="shared" ref="A28:A38" si="2">A27+1</f>
        <v>2020</v>
      </c>
      <c r="B28" s="563">
        <f>IF($A28+1&gt;B$24,0,IF(ROUND(INDEX('Useful Life &amp; SG&amp;A Build'!$A$9:$B$12,3,2),0)+$A28&lt;B$24,0,IF(ROUND(INDEX('Useful Life &amp; SG&amp;A Build'!$A$9:$B$12,3,2),0)+$A28=B$24,0.5*IFERROR(INDEX('Useful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C28" s="563">
        <f>IF($A28+1&gt;C$24,0,IF(ROUND(INDEX('Useful Life &amp; SG&amp;A Build'!$A$9:$B$12,3,2),0)+$A28&lt;C$24,0,IF(ROUND(INDEX('Useful Life &amp; SG&amp;A Build'!$A$9:$B$12,3,2),0)+$A28=C$24,0.5*IFERROR(INDEX('Useful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D28" s="563">
        <f>IF($A28+1&gt;D$24,0,IF(ROUND(INDEX('Useful Life &amp; SG&amp;A Build'!$A$9:$B$12,3,2),0)+$A28&lt;D$24,0,IF(ROUND(INDEX('Useful Life &amp; SG&amp;A Build'!$A$9:$B$12,3,2),0)+$A28=D$24,0.5*IFERROR(INDEX('Useful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E28" s="563">
        <f>IF($A28+1&gt;E$24,0,IF(ROUND(INDEX('Useful Life &amp; SG&amp;A Build'!$A$9:$B$12,3,2),0)+$A28&lt;E$24,0,IF(ROUND(INDEX('Useful Life &amp; SG&amp;A Build'!$A$9:$B$12,3,2),0)+$A28=E$24,0.5*IFERROR(INDEX('Useful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F28" s="563">
        <f>IF($A28+1&gt;F$24,0,IF(ROUND(INDEX('Useful Life &amp; SG&amp;A Build'!$A$9:$B$12,3,2),0)+$A28&lt;F$24,0,IF(ROUND(INDEX('Useful Life &amp; SG&amp;A Build'!$A$9:$B$12,3,2),0)+$A28=F$24,0.5*IFERROR(INDEX('Useful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G28" s="563">
        <f>IF($A28+1&gt;G$24,0,IF(ROUND(INDEX('Useful Life &amp; SG&amp;A Build'!$A$9:$B$12,3,2),0)+$A28&lt;G$24,0,IF(ROUND(INDEX('Useful Life &amp; SG&amp;A Build'!$A$9:$B$12,3,2),0)+$A28=G$24,0.5*IFERROR(INDEX('Useful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H28" s="563">
        <f>IF($A28+1&gt;H$24,0,IF(ROUND(INDEX('Useful Life &amp; SG&amp;A Build'!$A$9:$B$12,3,2),0)+$A28&lt;H$24,0,IF(ROUND(INDEX('Useful Life &amp; SG&amp;A Build'!$A$9:$B$12,3,2),0)+$A28=H$24,0.5*IFERROR(INDEX('Useful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9.8666666666666671</v>
      </c>
      <c r="I28" s="563">
        <f>IF($A28+1&gt;I$24,0,IF(ROUND(INDEX('Useful Life &amp; SG&amp;A Build'!$A$9:$B$12,3,2),0)+$A28&lt;I$24,0,IF(ROUND(INDEX('Useful Life &amp; SG&amp;A Build'!$A$9:$B$12,3,2),0)+$A28=I$24,0.5*IFERROR(INDEX('Useful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4.9333333333333336</v>
      </c>
      <c r="J28" s="563">
        <f>IF($A28+1&gt;J$24,0,IF(ROUND(INDEX('Useful Life &amp; SG&amp;A Build'!$A$9:$B$12,3,2),0)+$A28&lt;J$24,0,IF(ROUND(INDEX('Useful Life &amp; SG&amp;A Build'!$A$9:$B$12,3,2),0)+$A28=J$24,0.5*IFERROR(INDEX('Useful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0</v>
      </c>
      <c r="K28" s="563">
        <f>IF($A28+1&gt;K$24,0,IF(ROUND(INDEX('Useful Life &amp; SG&amp;A Build'!$A$9:$B$12,3,2),0)+$A28&lt;K$24,0,IF(ROUND(INDEX('Useful Life &amp; SG&amp;A Build'!$A$9:$B$12,3,2),0)+$A28=K$24,0.5*IFERROR(INDEX('Useful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0</v>
      </c>
      <c r="L28" s="563">
        <f>IF($A28+1&gt;L$24,0,IF(ROUND(INDEX('Useful Life &amp; SG&amp;A Build'!$A$9:$B$12,3,2),0)+$A28&lt;L$24,0,IF(ROUND(INDEX('Useful Life &amp; SG&amp;A Build'!$A$9:$B$12,3,2),0)+$A28=L$24,0.5*IFERROR(INDEX('Useful Life &amp; SG&amp;A Build'!$A$3:$K$6,3,MATCH($A28,'Useful Life &amp; SG&amp;A Build'!$A$3:$K$3,0))/INDEX('Useful Life &amp; SG&amp;A Build'!$A$9:$B$12,3,2),0),IFERROR(INDEX('Useful Life &amp; SG&amp;A Build'!$A$3:$K$6,3,MATCH($A28,'Useful Life &amp; SG&amp;A Build'!$A$3:$K$3,0))/INDEX('Useful Life &amp; SG&amp;A Build'!$A$9:$B$12,3,2),0))))</f>
        <v>0</v>
      </c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561"/>
      <c r="AA28" s="263"/>
      <c r="AB28" s="263"/>
    </row>
    <row r="29" spans="1:28" ht="17" x14ac:dyDescent="0.2">
      <c r="A29" s="583">
        <f t="shared" si="2"/>
        <v>2021</v>
      </c>
      <c r="B29" s="563">
        <f>IF($A29+1&gt;B$24,0,IF(ROUND(INDEX('Useful Life &amp; SG&amp;A Build'!$A$9:$B$12,3,2),0)+$A29&lt;B$24,0,IF(ROUND(INDEX('Useful Life &amp; SG&amp;A Build'!$A$9:$B$12,3,2),0)+$A29=B$24,0.5*IFERROR(INDEX('Useful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0</v>
      </c>
      <c r="C29" s="563">
        <f>IF($A29+1&gt;C$24,0,IF(ROUND(INDEX('Useful Life &amp; SG&amp;A Build'!$A$9:$B$12,3,2),0)+$A29&lt;C$24,0,IF(ROUND(INDEX('Useful Life &amp; SG&amp;A Build'!$A$9:$B$12,3,2),0)+$A29=C$24,0.5*IFERROR(INDEX('Useful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D29" s="563">
        <f>IF($A29+1&gt;D$24,0,IF(ROUND(INDEX('Useful Life &amp; SG&amp;A Build'!$A$9:$B$12,3,2),0)+$A29&lt;D$24,0,IF(ROUND(INDEX('Useful Life &amp; SG&amp;A Build'!$A$9:$B$12,3,2),0)+$A29=D$24,0.5*IFERROR(INDEX('Useful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E29" s="563">
        <f>IF($A29+1&gt;E$24,0,IF(ROUND(INDEX('Useful Life &amp; SG&amp;A Build'!$A$9:$B$12,3,2),0)+$A29&lt;E$24,0,IF(ROUND(INDEX('Useful Life &amp; SG&amp;A Build'!$A$9:$B$12,3,2),0)+$A29=E$24,0.5*IFERROR(INDEX('Useful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F29" s="563">
        <f>IF($A29+1&gt;F$24,0,IF(ROUND(INDEX('Useful Life &amp; SG&amp;A Build'!$A$9:$B$12,3,2),0)+$A29&lt;F$24,0,IF(ROUND(INDEX('Useful Life &amp; SG&amp;A Build'!$A$9:$B$12,3,2),0)+$A29=F$24,0.5*IFERROR(INDEX('Useful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G29" s="563">
        <f>IF($A29+1&gt;G$24,0,IF(ROUND(INDEX('Useful Life &amp; SG&amp;A Build'!$A$9:$B$12,3,2),0)+$A29&lt;G$24,0,IF(ROUND(INDEX('Useful Life &amp; SG&amp;A Build'!$A$9:$B$12,3,2),0)+$A29=G$24,0.5*IFERROR(INDEX('Useful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H29" s="563">
        <f>IF($A29+1&gt;H$24,0,IF(ROUND(INDEX('Useful Life &amp; SG&amp;A Build'!$A$9:$B$12,3,2),0)+$A29&lt;H$24,0,IF(ROUND(INDEX('Useful Life &amp; SG&amp;A Build'!$A$9:$B$12,3,2),0)+$A29=H$24,0.5*IFERROR(INDEX('Useful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I29" s="563">
        <f>IF($A29+1&gt;I$24,0,IF(ROUND(INDEX('Useful Life &amp; SG&amp;A Build'!$A$9:$B$12,3,2),0)+$A29&lt;I$24,0,IF(ROUND(INDEX('Useful Life &amp; SG&amp;A Build'!$A$9:$B$12,3,2),0)+$A29=I$24,0.5*IFERROR(INDEX('Useful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7.6</v>
      </c>
      <c r="J29" s="563">
        <f>IF($A29+1&gt;J$24,0,IF(ROUND(INDEX('Useful Life &amp; SG&amp;A Build'!$A$9:$B$12,3,2),0)+$A29&lt;J$24,0,IF(ROUND(INDEX('Useful Life &amp; SG&amp;A Build'!$A$9:$B$12,3,2),0)+$A29=J$24,0.5*IFERROR(INDEX('Useful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3.8</v>
      </c>
      <c r="K29" s="563">
        <f>IF($A29+1&gt;K$24,0,IF(ROUND(INDEX('Useful Life &amp; SG&amp;A Build'!$A$9:$B$12,3,2),0)+$A29&lt;K$24,0,IF(ROUND(INDEX('Useful Life &amp; SG&amp;A Build'!$A$9:$B$12,3,2),0)+$A29=K$24,0.5*IFERROR(INDEX('Useful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0</v>
      </c>
      <c r="L29" s="563">
        <f>IF($A29+1&gt;L$24,0,IF(ROUND(INDEX('Useful Life &amp; SG&amp;A Build'!$A$9:$B$12,3,2),0)+$A29&lt;L$24,0,IF(ROUND(INDEX('Useful Life &amp; SG&amp;A Build'!$A$9:$B$12,3,2),0)+$A29=L$24,0.5*IFERROR(INDEX('Useful Life &amp; SG&amp;A Build'!$A$3:$K$6,3,MATCH($A29,'Useful Life &amp; SG&amp;A Build'!$A$3:$K$3,0))/INDEX('Useful Life &amp; SG&amp;A Build'!$A$9:$B$12,3,2),0),IFERROR(INDEX('Useful Life &amp; SG&amp;A Build'!$A$3:$K$6,3,MATCH($A29,'Useful Life &amp; SG&amp;A Build'!$A$3:$K$3,0))/INDEX('Useful Life &amp; SG&amp;A Build'!$A$9:$B$12,3,2),0))))</f>
        <v>0</v>
      </c>
      <c r="M29" s="564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561"/>
      <c r="AA29" s="263"/>
      <c r="AB29" s="263"/>
    </row>
    <row r="30" spans="1:28" ht="17" x14ac:dyDescent="0.2">
      <c r="A30" s="583">
        <f t="shared" si="2"/>
        <v>2022</v>
      </c>
      <c r="B30" s="563">
        <f>IF($A30+1&gt;B$24,0,IF(ROUND(INDEX('Useful Life &amp; SG&amp;A Build'!$A$9:$B$12,3,2),0)+$A30&lt;B$24,0,IF(ROUND(INDEX('Useful Life &amp; SG&amp;A Build'!$A$9:$B$12,3,2),0)+$A30=B$24,0.5*IFERROR(INDEX('Useful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0</v>
      </c>
      <c r="C30" s="563">
        <f>IF($A30+1&gt;C$24,0,IF(ROUND(INDEX('Useful Life &amp; SG&amp;A Build'!$A$9:$B$12,3,2),0)+$A30&lt;C$24,0,IF(ROUND(INDEX('Useful Life &amp; SG&amp;A Build'!$A$9:$B$12,3,2),0)+$A30=C$24,0.5*IFERROR(INDEX('Useful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0</v>
      </c>
      <c r="D30" s="563">
        <f>IF($A30+1&gt;D$24,0,IF(ROUND(INDEX('Useful Life &amp; SG&amp;A Build'!$A$9:$B$12,3,2),0)+$A30&lt;D$24,0,IF(ROUND(INDEX('Useful Life &amp; SG&amp;A Build'!$A$9:$B$12,3,2),0)+$A30=D$24,0.5*IFERROR(INDEX('Useful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E30" s="563">
        <f>IF($A30+1&gt;E$24,0,IF(ROUND(INDEX('Useful Life &amp; SG&amp;A Build'!$A$9:$B$12,3,2),0)+$A30&lt;E$24,0,IF(ROUND(INDEX('Useful Life &amp; SG&amp;A Build'!$A$9:$B$12,3,2),0)+$A30=E$24,0.5*IFERROR(INDEX('Useful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F30" s="563">
        <f>IF($A30+1&gt;F$24,0,IF(ROUND(INDEX('Useful Life &amp; SG&amp;A Build'!$A$9:$B$12,3,2),0)+$A30&lt;F$24,0,IF(ROUND(INDEX('Useful Life &amp; SG&amp;A Build'!$A$9:$B$12,3,2),0)+$A30=F$24,0.5*IFERROR(INDEX('Useful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G30" s="563">
        <f>IF($A30+1&gt;G$24,0,IF(ROUND(INDEX('Useful Life &amp; SG&amp;A Build'!$A$9:$B$12,3,2),0)+$A30&lt;G$24,0,IF(ROUND(INDEX('Useful Life &amp; SG&amp;A Build'!$A$9:$B$12,3,2),0)+$A30=G$24,0.5*IFERROR(INDEX('Useful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H30" s="563">
        <f>IF($A30+1&gt;H$24,0,IF(ROUND(INDEX('Useful Life &amp; SG&amp;A Build'!$A$9:$B$12,3,2),0)+$A30&lt;H$24,0,IF(ROUND(INDEX('Useful Life &amp; SG&amp;A Build'!$A$9:$B$12,3,2),0)+$A30=H$24,0.5*IFERROR(INDEX('Useful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I30" s="563">
        <f>IF($A30+1&gt;I$24,0,IF(ROUND(INDEX('Useful Life &amp; SG&amp;A Build'!$A$9:$B$12,3,2),0)+$A30&lt;I$24,0,IF(ROUND(INDEX('Useful Life &amp; SG&amp;A Build'!$A$9:$B$12,3,2),0)+$A30=I$24,0.5*IFERROR(INDEX('Useful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J30" s="563">
        <f>IF($A30+1&gt;J$24,0,IF(ROUND(INDEX('Useful Life &amp; SG&amp;A Build'!$A$9:$B$12,3,2),0)+$A30&lt;J$24,0,IF(ROUND(INDEX('Useful Life &amp; SG&amp;A Build'!$A$9:$B$12,3,2),0)+$A30=J$24,0.5*IFERROR(INDEX('Useful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1.3333333333333333</v>
      </c>
      <c r="K30" s="563">
        <f>IF($A30+1&gt;K$24,0,IF(ROUND(INDEX('Useful Life &amp; SG&amp;A Build'!$A$9:$B$12,3,2),0)+$A30&lt;K$24,0,IF(ROUND(INDEX('Useful Life &amp; SG&amp;A Build'!$A$9:$B$12,3,2),0)+$A30=K$24,0.5*IFERROR(INDEX('Useful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0.66666666666666663</v>
      </c>
      <c r="L30" s="563">
        <f>IF($A30+1&gt;L$24,0,IF(ROUND(INDEX('Useful Life &amp; SG&amp;A Build'!$A$9:$B$12,3,2),0)+$A30&lt;L$24,0,IF(ROUND(INDEX('Useful Life &amp; SG&amp;A Build'!$A$9:$B$12,3,2),0)+$A30=L$24,0.5*IFERROR(INDEX('Useful Life &amp; SG&amp;A Build'!$A$3:$K$6,3,MATCH($A30,'Useful Life &amp; SG&amp;A Build'!$A$3:$K$3,0))/INDEX('Useful Life &amp; SG&amp;A Build'!$A$9:$B$12,3,2),0),IFERROR(INDEX('Useful Life &amp; SG&amp;A Build'!$A$3:$K$6,3,MATCH($A30,'Useful Life &amp; SG&amp;A Build'!$A$3:$K$3,0))/INDEX('Useful Life &amp; SG&amp;A Build'!$A$9:$B$12,3,2),0))))</f>
        <v>0</v>
      </c>
      <c r="M30" s="564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561"/>
      <c r="AA30" s="263"/>
      <c r="AB30" s="263"/>
    </row>
    <row r="31" spans="1:28" ht="17" x14ac:dyDescent="0.2">
      <c r="A31" s="583">
        <f t="shared" si="2"/>
        <v>2023</v>
      </c>
      <c r="B31" s="563">
        <f>IF($A31+1&gt;B$24,0,IF(ROUND(INDEX('Useful Life &amp; SG&amp;A Build'!$A$9:$B$12,3,2),0)+$A31&lt;B$24,0,IF(ROUND(INDEX('Useful Life &amp; SG&amp;A Build'!$A$9:$B$12,3,2),0)+$A31=B$24,0.5*IFERROR(INDEX('Useful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0</v>
      </c>
      <c r="C31" s="563">
        <f>IF($A31+1&gt;C$24,0,IF(ROUND(INDEX('Useful Life &amp; SG&amp;A Build'!$A$9:$B$12,3,2),0)+$A31&lt;C$24,0,IF(ROUND(INDEX('Useful Life &amp; SG&amp;A Build'!$A$9:$B$12,3,2),0)+$A31=C$24,0.5*IFERROR(INDEX('Useful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0</v>
      </c>
      <c r="D31" s="563">
        <f>IF($A31+1&gt;D$24,0,IF(ROUND(INDEX('Useful Life &amp; SG&amp;A Build'!$A$9:$B$12,3,2),0)+$A31&lt;D$24,0,IF(ROUND(INDEX('Useful Life &amp; SG&amp;A Build'!$A$9:$B$12,3,2),0)+$A31=D$24,0.5*IFERROR(INDEX('Useful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0</v>
      </c>
      <c r="E31" s="563">
        <f>IF($A31+1&gt;E$24,0,IF(ROUND(INDEX('Useful Life &amp; SG&amp;A Build'!$A$9:$B$12,3,2),0)+$A31&lt;E$24,0,IF(ROUND(INDEX('Useful Life &amp; SG&amp;A Build'!$A$9:$B$12,3,2),0)+$A31=E$24,0.5*IFERROR(INDEX('Useful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F31" s="563">
        <f>IF($A31+1&gt;F$24,0,IF(ROUND(INDEX('Useful Life &amp; SG&amp;A Build'!$A$9:$B$12,3,2),0)+$A31&lt;F$24,0,IF(ROUND(INDEX('Useful Life &amp; SG&amp;A Build'!$A$9:$B$12,3,2),0)+$A31=F$24,0.5*IFERROR(INDEX('Useful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G31" s="563">
        <f>IF($A31+1&gt;G$24,0,IF(ROUND(INDEX('Useful Life &amp; SG&amp;A Build'!$A$9:$B$12,3,2),0)+$A31&lt;G$24,0,IF(ROUND(INDEX('Useful Life &amp; SG&amp;A Build'!$A$9:$B$12,3,2),0)+$A31=G$24,0.5*IFERROR(INDEX('Useful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H31" s="563">
        <f>IF($A31+1&gt;H$24,0,IF(ROUND(INDEX('Useful Life &amp; SG&amp;A Build'!$A$9:$B$12,3,2),0)+$A31&lt;H$24,0,IF(ROUND(INDEX('Useful Life &amp; SG&amp;A Build'!$A$9:$B$12,3,2),0)+$A31=H$24,0.5*IFERROR(INDEX('Useful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I31" s="563">
        <f>IF($A31+1&gt;I$24,0,IF(ROUND(INDEX('Useful Life &amp; SG&amp;A Build'!$A$9:$B$12,3,2),0)+$A31&lt;I$24,0,IF(ROUND(INDEX('Useful Life &amp; SG&amp;A Build'!$A$9:$B$12,3,2),0)+$A31=I$24,0.5*IFERROR(INDEX('Useful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J31" s="563">
        <f>IF($A31+1&gt;J$24,0,IF(ROUND(INDEX('Useful Life &amp; SG&amp;A Build'!$A$9:$B$12,3,2),0)+$A31&lt;J$24,0,IF(ROUND(INDEX('Useful Life &amp; SG&amp;A Build'!$A$9:$B$12,3,2),0)+$A31=J$24,0.5*IFERROR(INDEX('Useful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K31" s="563">
        <f>IF($A31+1&gt;K$24,0,IF(ROUND(INDEX('Useful Life &amp; SG&amp;A Build'!$A$9:$B$12,3,2),0)+$A31&lt;K$24,0,IF(ROUND(INDEX('Useful Life &amp; SG&amp;A Build'!$A$9:$B$12,3,2),0)+$A31=K$24,0.5*IFERROR(INDEX('Useful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4.666666666666667</v>
      </c>
      <c r="L31" s="563">
        <f>IF($A31+1&gt;L$24,0,IF(ROUND(INDEX('Useful Life &amp; SG&amp;A Build'!$A$9:$B$12,3,2),0)+$A31&lt;L$24,0,IF(ROUND(INDEX('Useful Life &amp; SG&amp;A Build'!$A$9:$B$12,3,2),0)+$A31=L$24,0.5*IFERROR(INDEX('Useful Life &amp; SG&amp;A Build'!$A$3:$K$6,3,MATCH($A31,'Useful Life &amp; SG&amp;A Build'!$A$3:$K$3,0))/INDEX('Useful Life &amp; SG&amp;A Build'!$A$9:$B$12,3,2),0),IFERROR(INDEX('Useful Life &amp; SG&amp;A Build'!$A$3:$K$6,3,MATCH($A31,'Useful Life &amp; SG&amp;A Build'!$A$3:$K$3,0))/INDEX('Useful Life &amp; SG&amp;A Build'!$A$9:$B$12,3,2),0))))</f>
        <v>2.3333333333333335</v>
      </c>
      <c r="M31" s="564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561"/>
      <c r="AA31" s="263"/>
      <c r="AB31" s="263"/>
    </row>
    <row r="32" spans="1:28" ht="17" x14ac:dyDescent="0.2">
      <c r="A32" s="583">
        <f t="shared" si="2"/>
        <v>2024</v>
      </c>
      <c r="B32" s="563">
        <f>IF($A32+1&gt;B$24,0,IF(ROUND(INDEX('Useful Life &amp; SG&amp;A Build'!$A$9:$B$12,3,2),0)+$A32&lt;B$24,0,IF(ROUND(INDEX('Useful Life &amp; SG&amp;A Build'!$A$9:$B$12,3,2),0)+$A32=B$24,0.5*IFERROR(INDEX('Useful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0</v>
      </c>
      <c r="C32" s="563">
        <f>IF($A32+1&gt;C$24,0,IF(ROUND(INDEX('Useful Life &amp; SG&amp;A Build'!$A$9:$B$12,3,2),0)+$A32&lt;C$24,0,IF(ROUND(INDEX('Useful Life &amp; SG&amp;A Build'!$A$9:$B$12,3,2),0)+$A32=C$24,0.5*IFERROR(INDEX('Useful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0</v>
      </c>
      <c r="D32" s="563">
        <f>IF($A32+1&gt;D$24,0,IF(ROUND(INDEX('Useful Life &amp; SG&amp;A Build'!$A$9:$B$12,3,2),0)+$A32&lt;D$24,0,IF(ROUND(INDEX('Useful Life &amp; SG&amp;A Build'!$A$9:$B$12,3,2),0)+$A32=D$24,0.5*IFERROR(INDEX('Useful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0</v>
      </c>
      <c r="E32" s="563">
        <f>IF($A32+1&gt;E$24,0,IF(ROUND(INDEX('Useful Life &amp; SG&amp;A Build'!$A$9:$B$12,3,2),0)+$A32&lt;E$24,0,IF(ROUND(INDEX('Useful Life &amp; SG&amp;A Build'!$A$9:$B$12,3,2),0)+$A32=E$24,0.5*IFERROR(INDEX('Useful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0</v>
      </c>
      <c r="F32" s="563">
        <f>IF($A32+1&gt;F$24,0,IF(ROUND(INDEX('Useful Life &amp; SG&amp;A Build'!$A$9:$B$12,3,2),0)+$A32&lt;F$24,0,IF(ROUND(INDEX('Useful Life &amp; SG&amp;A Build'!$A$9:$B$12,3,2),0)+$A32=F$24,0.5*IFERROR(INDEX('Useful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G32" s="563">
        <f>IF($A32+1&gt;G$24,0,IF(ROUND(INDEX('Useful Life &amp; SG&amp;A Build'!$A$9:$B$12,3,2),0)+$A32&lt;G$24,0,IF(ROUND(INDEX('Useful Life &amp; SG&amp;A Build'!$A$9:$B$12,3,2),0)+$A32=G$24,0.5*IFERROR(INDEX('Useful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H32" s="563">
        <f>IF($A32+1&gt;H$24,0,IF(ROUND(INDEX('Useful Life &amp; SG&amp;A Build'!$A$9:$B$12,3,2),0)+$A32&lt;H$24,0,IF(ROUND(INDEX('Useful Life &amp; SG&amp;A Build'!$A$9:$B$12,3,2),0)+$A32=H$24,0.5*IFERROR(INDEX('Useful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I32" s="563">
        <f>IF($A32+1&gt;I$24,0,IF(ROUND(INDEX('Useful Life &amp; SG&amp;A Build'!$A$9:$B$12,3,2),0)+$A32&lt;I$24,0,IF(ROUND(INDEX('Useful Life &amp; SG&amp;A Build'!$A$9:$B$12,3,2),0)+$A32=I$24,0.5*IFERROR(INDEX('Useful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J32" s="563">
        <f>IF($A32+1&gt;J$24,0,IF(ROUND(INDEX('Useful Life &amp; SG&amp;A Build'!$A$9:$B$12,3,2),0)+$A32&lt;J$24,0,IF(ROUND(INDEX('Useful Life &amp; SG&amp;A Build'!$A$9:$B$12,3,2),0)+$A32=J$24,0.5*IFERROR(INDEX('Useful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K32" s="563">
        <f>IF($A32+1&gt;K$24,0,IF(ROUND(INDEX('Useful Life &amp; SG&amp;A Build'!$A$9:$B$12,3,2),0)+$A32&lt;K$24,0,IF(ROUND(INDEX('Useful Life &amp; SG&amp;A Build'!$A$9:$B$12,3,2),0)+$A32=K$24,0.5*IFERROR(INDEX('Useful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L32" s="563">
        <f>IF($A32+1&gt;L$24,0,IF(ROUND(INDEX('Useful Life &amp; SG&amp;A Build'!$A$9:$B$12,3,2),0)+$A32&lt;L$24,0,IF(ROUND(INDEX('Useful Life &amp; SG&amp;A Build'!$A$9:$B$12,3,2),0)+$A32=L$24,0.5*IFERROR(INDEX('Useful Life &amp; SG&amp;A Build'!$A$3:$K$6,3,MATCH($A32,'Useful Life &amp; SG&amp;A Build'!$A$3:$K$3,0))/INDEX('Useful Life &amp; SG&amp;A Build'!$A$9:$B$12,3,2),0),IFERROR(INDEX('Useful Life &amp; SG&amp;A Build'!$A$3:$K$6,3,MATCH($A32,'Useful Life &amp; SG&amp;A Build'!$A$3:$K$3,0))/INDEX('Useful Life &amp; SG&amp;A Build'!$A$9:$B$12,3,2),0))))</f>
        <v>2.8</v>
      </c>
      <c r="M32" s="564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561"/>
      <c r="AA32" s="263"/>
      <c r="AB32" s="263"/>
    </row>
    <row r="33" spans="1:28" ht="17" x14ac:dyDescent="0.2">
      <c r="A33" s="583">
        <f t="shared" si="2"/>
        <v>2025</v>
      </c>
      <c r="B33" s="563">
        <f>IF($A33+1&gt;B$24,0,IF(ROUND(INDEX('Useful Life &amp; SG&amp;A Build'!$A$9:$B$12,3,2),0)+$A33&lt;B$24,0,IF(ROUND(INDEX('Useful Life &amp; SG&amp;A Build'!$A$9:$B$12,3,2),0)+$A33=B$24,0.5*IFERROR(INDEX('Useful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0</v>
      </c>
      <c r="C33" s="563">
        <f>IF($A33+1&gt;C$24,0,IF(ROUND(INDEX('Useful Life &amp; SG&amp;A Build'!$A$9:$B$12,3,2),0)+$A33&lt;C$24,0,IF(ROUND(INDEX('Useful Life &amp; SG&amp;A Build'!$A$9:$B$12,3,2),0)+$A33=C$24,0.5*IFERROR(INDEX('Useful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0</v>
      </c>
      <c r="D33" s="563">
        <f>IF($A33+1&gt;D$24,0,IF(ROUND(INDEX('Useful Life &amp; SG&amp;A Build'!$A$9:$B$12,3,2),0)+$A33&lt;D$24,0,IF(ROUND(INDEX('Useful Life &amp; SG&amp;A Build'!$A$9:$B$12,3,2),0)+$A33=D$24,0.5*IFERROR(INDEX('Useful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0</v>
      </c>
      <c r="E33" s="563">
        <f>IF($A33+1&gt;E$24,0,IF(ROUND(INDEX('Useful Life &amp; SG&amp;A Build'!$A$9:$B$12,3,2),0)+$A33&lt;E$24,0,IF(ROUND(INDEX('Useful Life &amp; SG&amp;A Build'!$A$9:$B$12,3,2),0)+$A33=E$24,0.5*IFERROR(INDEX('Useful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0</v>
      </c>
      <c r="F33" s="563">
        <f>IF($A33+1&gt;F$24,0,IF(ROUND(INDEX('Useful Life &amp; SG&amp;A Build'!$A$9:$B$12,3,2),0)+$A33&lt;F$24,0,IF(ROUND(INDEX('Useful Life &amp; SG&amp;A Build'!$A$9:$B$12,3,2),0)+$A33=F$24,0.5*IFERROR(INDEX('Useful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0</v>
      </c>
      <c r="G33" s="563">
        <f>IF($A33+1&gt;G$24,0,IF(ROUND(INDEX('Useful Life &amp; SG&amp;A Build'!$A$9:$B$12,3,2),0)+$A33&lt;G$24,0,IF(ROUND(INDEX('Useful Life &amp; SG&amp;A Build'!$A$9:$B$12,3,2),0)+$A33=G$24,0.5*IFERROR(INDEX('Useful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H33" s="563">
        <f>IF($A33+1&gt;H$24,0,IF(ROUND(INDEX('Useful Life &amp; SG&amp;A Build'!$A$9:$B$12,3,2),0)+$A33&lt;H$24,0,IF(ROUND(INDEX('Useful Life &amp; SG&amp;A Build'!$A$9:$B$12,3,2),0)+$A33=H$24,0.5*IFERROR(INDEX('Useful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I33" s="563">
        <f>IF($A33+1&gt;I$24,0,IF(ROUND(INDEX('Useful Life &amp; SG&amp;A Build'!$A$9:$B$12,3,2),0)+$A33&lt;I$24,0,IF(ROUND(INDEX('Useful Life &amp; SG&amp;A Build'!$A$9:$B$12,3,2),0)+$A33=I$24,0.5*IFERROR(INDEX('Useful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J33" s="563">
        <f>IF($A33+1&gt;J$24,0,IF(ROUND(INDEX('Useful Life &amp; SG&amp;A Build'!$A$9:$B$12,3,2),0)+$A33&lt;J$24,0,IF(ROUND(INDEX('Useful Life &amp; SG&amp;A Build'!$A$9:$B$12,3,2),0)+$A33=J$24,0.5*IFERROR(INDEX('Useful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K33" s="563">
        <f>IF($A33+1&gt;K$24,0,IF(ROUND(INDEX('Useful Life &amp; SG&amp;A Build'!$A$9:$B$12,3,2),0)+$A33&lt;K$24,0,IF(ROUND(INDEX('Useful Life &amp; SG&amp;A Build'!$A$9:$B$12,3,2),0)+$A33=K$24,0.5*IFERROR(INDEX('Useful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L33" s="563">
        <f>IF($A33+1&gt;L$24,0,IF(ROUND(INDEX('Useful Life &amp; SG&amp;A Build'!$A$9:$B$12,3,2),0)+$A33&lt;L$24,0,IF(ROUND(INDEX('Useful Life &amp; SG&amp;A Build'!$A$9:$B$12,3,2),0)+$A33=L$24,0.5*IFERROR(INDEX('Useful Life &amp; SG&amp;A Build'!$A$3:$K$6,3,MATCH($A33,'Useful Life &amp; SG&amp;A Build'!$A$3:$K$3,0))/INDEX('Useful Life &amp; SG&amp;A Build'!$A$9:$B$12,3,2),0),IFERROR(INDEX('Useful Life &amp; SG&amp;A Build'!$A$3:$K$6,3,MATCH($A33,'Useful Life &amp; SG&amp;A Build'!$A$3:$K$3,0))/INDEX('Useful Life &amp; SG&amp;A Build'!$A$9:$B$12,3,2),0))))</f>
        <v>2.0266666666666668</v>
      </c>
      <c r="M33" s="564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561"/>
      <c r="AA33" s="263"/>
      <c r="AB33" s="263"/>
    </row>
    <row r="34" spans="1:28" ht="17" x14ac:dyDescent="0.2">
      <c r="A34" s="583">
        <f t="shared" si="2"/>
        <v>2026</v>
      </c>
      <c r="B34" s="563">
        <f>-IF($A34+1&gt;B$24,0,IF(ROUND(INDEX('Useful Life &amp; SG&amp;A Build'!$A$9:$B$12,3,2),0)+$A34&lt;B$24,0,IF(ROUND(INDEX('Useful Life &amp; SG&amp;A Build'!$A$9:$B$12,3,2),0)+$A34=B$24,0.5*IFERROR(#REF!/INDEX('Useful Life &amp; SG&amp;A Build'!$A$9:$B$12,3,2),0),IFERROR(#REF!/INDEX('Useful Life &amp; SG&amp;A Build'!$A$9:$B$12,3,2),0))))</f>
        <v>0</v>
      </c>
      <c r="C34" s="563">
        <f>-IF($A34+1&gt;C$24,0,IF(ROUND(INDEX('Useful Life &amp; SG&amp;A Build'!$A$9:$B$12,3,2),0)+$A34&lt;C$24,0,IF(ROUND(INDEX('Useful Life &amp; SG&amp;A Build'!$A$9:$B$12,3,2),0)+$A34=C$24,0.5*IFERROR(#REF!/INDEX('Useful Life &amp; SG&amp;A Build'!$A$9:$B$12,3,2),0),IFERROR(#REF!/INDEX('Useful Life &amp; SG&amp;A Build'!$A$9:$B$12,3,2),0))))</f>
        <v>0</v>
      </c>
      <c r="D34" s="563">
        <f>-IF($A34+1&gt;D$24,0,IF(ROUND(INDEX('Useful Life &amp; SG&amp;A Build'!$A$9:$B$12,3,2),0)+$A34&lt;D$24,0,IF(ROUND(INDEX('Useful Life &amp; SG&amp;A Build'!$A$9:$B$12,3,2),0)+$A34=D$24,0.5*IFERROR(#REF!/INDEX('Useful Life &amp; SG&amp;A Build'!$A$9:$B$12,3,2),0),IFERROR(#REF!/INDEX('Useful Life &amp; SG&amp;A Build'!$A$9:$B$12,3,2),0))))</f>
        <v>0</v>
      </c>
      <c r="E34" s="563">
        <f>-IF($A34+1&gt;E$24,0,IF(ROUND(INDEX('Useful Life &amp; SG&amp;A Build'!$A$9:$B$12,3,2),0)+$A34&lt;E$24,0,IF(ROUND(INDEX('Useful Life &amp; SG&amp;A Build'!$A$9:$B$12,3,2),0)+$A34=E$24,0.5*IFERROR(#REF!/INDEX('Useful Life &amp; SG&amp;A Build'!$A$9:$B$12,3,2),0),IFERROR(#REF!/INDEX('Useful Life &amp; SG&amp;A Build'!$A$9:$B$12,3,2),0))))</f>
        <v>0</v>
      </c>
      <c r="F34" s="563">
        <f>-IF($A34+1&gt;F$24,0,IF(ROUND(INDEX('Useful Life &amp; SG&amp;A Build'!$A$9:$B$12,3,2),0)+$A34&lt;F$24,0,IF(ROUND(INDEX('Useful Life &amp; SG&amp;A Build'!$A$9:$B$12,3,2),0)+$A34=F$24,0.5*IFERROR(#REF!/INDEX('Useful Life &amp; SG&amp;A Build'!$A$9:$B$12,3,2),0),IFERROR(#REF!/INDEX('Useful Life &amp; SG&amp;A Build'!$A$9:$B$12,3,2),0))))</f>
        <v>0</v>
      </c>
      <c r="G34" s="563">
        <f>-IF($A34+1&gt;G$24,0,IF(ROUND(INDEX('Useful Life &amp; SG&amp;A Build'!$A$9:$B$12,3,2),0)+$A34&lt;G$24,0,IF(ROUND(INDEX('Useful Life &amp; SG&amp;A Build'!$A$9:$B$12,3,2),0)+$A34=G$24,0.5*IFERROR(#REF!/INDEX('Useful Life &amp; SG&amp;A Build'!$A$9:$B$12,3,2),0),IFERROR(#REF!/INDEX('Useful Life &amp; SG&amp;A Build'!$A$9:$B$12,3,2),0))))</f>
        <v>0</v>
      </c>
      <c r="H34" s="563">
        <f>-IF($A34+1&gt;H$24,0,IF(ROUND(INDEX('Useful Life &amp; SG&amp;A Build'!$A$9:$B$12,3,2),0)+$A34&lt;H$24,0,IF(ROUND(INDEX('Useful Life &amp; SG&amp;A Build'!$A$9:$B$12,3,2),0)+$A34=H$24,0.5*IFERROR(#REF!/INDEX('Useful Life &amp; SG&amp;A Build'!$A$9:$B$12,3,2),0),IFERROR(#REF!/INDEX('Useful Life &amp; SG&amp;A Build'!$A$9:$B$12,3,2),0))))</f>
        <v>0</v>
      </c>
      <c r="I34" s="563">
        <f>-IF($A34+1&gt;I$24,0,IF(ROUND(INDEX('Useful Life &amp; SG&amp;A Build'!$A$9:$B$12,3,2),0)+$A34&lt;I$24,0,IF(ROUND(INDEX('Useful Life &amp; SG&amp;A Build'!$A$9:$B$12,3,2),0)+$A34=I$24,0.5*IFERROR(#REF!/INDEX('Useful Life &amp; SG&amp;A Build'!$A$9:$B$12,3,2),0),IFERROR(#REF!/INDEX('Useful Life &amp; SG&amp;A Build'!$A$9:$B$12,3,2),0))))</f>
        <v>0</v>
      </c>
      <c r="J34" s="563">
        <f>-IF($A34+1&gt;J$24,0,IF(ROUND(INDEX('Useful Life &amp; SG&amp;A Build'!$A$9:$B$12,3,2),0)+$A34&lt;J$24,0,IF(ROUND(INDEX('Useful Life &amp; SG&amp;A Build'!$A$9:$B$12,3,2),0)+$A34=J$24,0.5*IFERROR(#REF!/INDEX('Useful Life &amp; SG&amp;A Build'!$A$9:$B$12,3,2),0),IFERROR(#REF!/INDEX('Useful Life &amp; SG&amp;A Build'!$A$9:$B$12,3,2),0))))</f>
        <v>0</v>
      </c>
      <c r="K34" s="563">
        <f>-IF($A34+1&gt;K$24,0,IF(ROUND(INDEX('Useful Life &amp; SG&amp;A Build'!$A$9:$B$12,3,2),0)+$A34&lt;K$24,0,IF(ROUND(INDEX('Useful Life &amp; SG&amp;A Build'!$A$9:$B$12,3,2),0)+$A34=K$24,0.5*IFERROR(#REF!/INDEX('Useful Life &amp; SG&amp;A Build'!$A$9:$B$12,3,2),0),IFERROR(#REF!/INDEX('Useful Life &amp; SG&amp;A Build'!$A$9:$B$12,3,2),0))))</f>
        <v>0</v>
      </c>
      <c r="L34" s="563">
        <f>-IF($A34+1&gt;L$24,0,IF(ROUND(INDEX('Useful Life &amp; SG&amp;A Build'!$A$9:$B$12,3,2),0)+$A34&lt;L$24,0,IF(ROUND(INDEX('Useful Life &amp; SG&amp;A Build'!$A$9:$B$12,3,2),0)+$A34=L$24,0.5*IFERROR(#REF!/INDEX('Useful Life &amp; SG&amp;A Build'!$A$9:$B$12,3,2),0),IFERROR(#REF!/INDEX('Useful Life &amp; SG&amp;A Build'!$A$9:$B$12,3,2),0))))</f>
        <v>0</v>
      </c>
      <c r="M34" s="564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561"/>
      <c r="AA34" s="263"/>
      <c r="AB34" s="263"/>
    </row>
    <row r="35" spans="1:28" ht="17" x14ac:dyDescent="0.2">
      <c r="A35" s="583">
        <f t="shared" si="2"/>
        <v>2027</v>
      </c>
      <c r="B35" s="563">
        <f>-IF($A35+1&gt;B$24,0,IF(ROUND(INDEX('Useful Life &amp; SG&amp;A Build'!$A$9:$B$12,3,2),0)+$A35&lt;B$24,0,IF(ROUND(INDEX('Useful Life &amp; SG&amp;A Build'!$A$9:$B$12,3,2),0)+$A35=B$24,0.5*IFERROR(#REF!/INDEX('Useful Life &amp; SG&amp;A Build'!$A$9:$B$12,3,2),0),IFERROR(#REF!/INDEX('Useful Life &amp; SG&amp;A Build'!$A$9:$B$12,3,2),0))))</f>
        <v>0</v>
      </c>
      <c r="C35" s="563">
        <f>-IF($A35+1&gt;C$24,0,IF(ROUND(INDEX('Useful Life &amp; SG&amp;A Build'!$A$9:$B$12,3,2),0)+$A35&lt;C$24,0,IF(ROUND(INDEX('Useful Life &amp; SG&amp;A Build'!$A$9:$B$12,3,2),0)+$A35=C$24,0.5*IFERROR(#REF!/INDEX('Useful Life &amp; SG&amp;A Build'!$A$9:$B$12,3,2),0),IFERROR(#REF!/INDEX('Useful Life &amp; SG&amp;A Build'!$A$9:$B$12,3,2),0))))</f>
        <v>0</v>
      </c>
      <c r="D35" s="563">
        <f>-IF($A35+1&gt;D$24,0,IF(ROUND(INDEX('Useful Life &amp; SG&amp;A Build'!$A$9:$B$12,3,2),0)+$A35&lt;D$24,0,IF(ROUND(INDEX('Useful Life &amp; SG&amp;A Build'!$A$9:$B$12,3,2),0)+$A35=D$24,0.5*IFERROR(#REF!/INDEX('Useful Life &amp; SG&amp;A Build'!$A$9:$B$12,3,2),0),IFERROR(#REF!/INDEX('Useful Life &amp; SG&amp;A Build'!$A$9:$B$12,3,2),0))))</f>
        <v>0</v>
      </c>
      <c r="E35" s="563">
        <f>-IF($A35+1&gt;E$24,0,IF(ROUND(INDEX('Useful Life &amp; SG&amp;A Build'!$A$9:$B$12,3,2),0)+$A35&lt;E$24,0,IF(ROUND(INDEX('Useful Life &amp; SG&amp;A Build'!$A$9:$B$12,3,2),0)+$A35=E$24,0.5*IFERROR(#REF!/INDEX('Useful Life &amp; SG&amp;A Build'!$A$9:$B$12,3,2),0),IFERROR(#REF!/INDEX('Useful Life &amp; SG&amp;A Build'!$A$9:$B$12,3,2),0))))</f>
        <v>0</v>
      </c>
      <c r="F35" s="563">
        <f>-IF($A35+1&gt;F$24,0,IF(ROUND(INDEX('Useful Life &amp; SG&amp;A Build'!$A$9:$B$12,3,2),0)+$A35&lt;F$24,0,IF(ROUND(INDEX('Useful Life &amp; SG&amp;A Build'!$A$9:$B$12,3,2),0)+$A35=F$24,0.5*IFERROR(#REF!/INDEX('Useful Life &amp; SG&amp;A Build'!$A$9:$B$12,3,2),0),IFERROR(#REF!/INDEX('Useful Life &amp; SG&amp;A Build'!$A$9:$B$12,3,2),0))))</f>
        <v>0</v>
      </c>
      <c r="G35" s="563">
        <f>-IF($A35+1&gt;G$24,0,IF(ROUND(INDEX('Useful Life &amp; SG&amp;A Build'!$A$9:$B$12,3,2),0)+$A35&lt;G$24,0,IF(ROUND(INDEX('Useful Life &amp; SG&amp;A Build'!$A$9:$B$12,3,2),0)+$A35=G$24,0.5*IFERROR(#REF!/INDEX('Useful Life &amp; SG&amp;A Build'!$A$9:$B$12,3,2),0),IFERROR(#REF!/INDEX('Useful Life &amp; SG&amp;A Build'!$A$9:$B$12,3,2),0))))</f>
        <v>0</v>
      </c>
      <c r="H35" s="563">
        <f>-IF($A35+1&gt;H$24,0,IF(ROUND(INDEX('Useful Life &amp; SG&amp;A Build'!$A$9:$B$12,3,2),0)+$A35&lt;H$24,0,IF(ROUND(INDEX('Useful Life &amp; SG&amp;A Build'!$A$9:$B$12,3,2),0)+$A35=H$24,0.5*IFERROR(#REF!/INDEX('Useful Life &amp; SG&amp;A Build'!$A$9:$B$12,3,2),0),IFERROR(#REF!/INDEX('Useful Life &amp; SG&amp;A Build'!$A$9:$B$12,3,2),0))))</f>
        <v>0</v>
      </c>
      <c r="I35" s="563">
        <f>-IF($A35+1&gt;I$24,0,IF(ROUND(INDEX('Useful Life &amp; SG&amp;A Build'!$A$9:$B$12,3,2),0)+$A35&lt;I$24,0,IF(ROUND(INDEX('Useful Life &amp; SG&amp;A Build'!$A$9:$B$12,3,2),0)+$A35=I$24,0.5*IFERROR(#REF!/INDEX('Useful Life &amp; SG&amp;A Build'!$A$9:$B$12,3,2),0),IFERROR(#REF!/INDEX('Useful Life &amp; SG&amp;A Build'!$A$9:$B$12,3,2),0))))</f>
        <v>0</v>
      </c>
      <c r="J35" s="563">
        <f>-IF($A35+1&gt;J$24,0,IF(ROUND(INDEX('Useful Life &amp; SG&amp;A Build'!$A$9:$B$12,3,2),0)+$A35&lt;J$24,0,IF(ROUND(INDEX('Useful Life &amp; SG&amp;A Build'!$A$9:$B$12,3,2),0)+$A35=J$24,0.5*IFERROR(#REF!/INDEX('Useful Life &amp; SG&amp;A Build'!$A$9:$B$12,3,2),0),IFERROR(#REF!/INDEX('Useful Life &amp; SG&amp;A Build'!$A$9:$B$12,3,2),0))))</f>
        <v>0</v>
      </c>
      <c r="K35" s="563">
        <f>-IF($A35+1&gt;K$24,0,IF(ROUND(INDEX('Useful Life &amp; SG&amp;A Build'!$A$9:$B$12,3,2),0)+$A35&lt;K$24,0,IF(ROUND(INDEX('Useful Life &amp; SG&amp;A Build'!$A$9:$B$12,3,2),0)+$A35=K$24,0.5*IFERROR(#REF!/INDEX('Useful Life &amp; SG&amp;A Build'!$A$9:$B$12,3,2),0),IFERROR(#REF!/INDEX('Useful Life &amp; SG&amp;A Build'!$A$9:$B$12,3,2),0))))</f>
        <v>0</v>
      </c>
      <c r="L35" s="563">
        <f>-IF($A35+1&gt;L$24,0,IF(ROUND(INDEX('Useful Life &amp; SG&amp;A Build'!$A$9:$B$12,3,2),0)+$A35&lt;L$24,0,IF(ROUND(INDEX('Useful Life &amp; SG&amp;A Build'!$A$9:$B$12,3,2),0)+$A35=L$24,0.5*IFERROR(#REF!/INDEX('Useful Life &amp; SG&amp;A Build'!$A$9:$B$12,3,2),0),IFERROR(#REF!/INDEX('Useful Life &amp; SG&amp;A Build'!$A$9:$B$12,3,2),0))))</f>
        <v>0</v>
      </c>
      <c r="M35" s="564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561"/>
      <c r="AA35" s="263"/>
      <c r="AB35" s="263"/>
    </row>
    <row r="36" spans="1:28" ht="17" x14ac:dyDescent="0.2">
      <c r="A36" s="583">
        <f t="shared" si="2"/>
        <v>2028</v>
      </c>
      <c r="B36" s="563">
        <f>-IF($A36+1&gt;B$24,0,IF(ROUND(INDEX('Useful Life &amp; SG&amp;A Build'!$A$9:$B$12,3,2),0)+$A36&lt;B$24,0,IF(ROUND(INDEX('Useful Life &amp; SG&amp;A Build'!$A$9:$B$12,3,2),0)+$A36=B$24,0.5*IFERROR(#REF!/INDEX('Useful Life &amp; SG&amp;A Build'!$A$9:$B$12,3,2),0),IFERROR(#REF!/INDEX('Useful Life &amp; SG&amp;A Build'!$A$9:$B$12,3,2),0))))</f>
        <v>0</v>
      </c>
      <c r="C36" s="563">
        <f>-IF($A36+1&gt;C$24,0,IF(ROUND(INDEX('Useful Life &amp; SG&amp;A Build'!$A$9:$B$12,3,2),0)+$A36&lt;C$24,0,IF(ROUND(INDEX('Useful Life &amp; SG&amp;A Build'!$A$9:$B$12,3,2),0)+$A36=C$24,0.5*IFERROR(#REF!/INDEX('Useful Life &amp; SG&amp;A Build'!$A$9:$B$12,3,2),0),IFERROR(#REF!/INDEX('Useful Life &amp; SG&amp;A Build'!$A$9:$B$12,3,2),0))))</f>
        <v>0</v>
      </c>
      <c r="D36" s="563">
        <f>-IF($A36+1&gt;D$24,0,IF(ROUND(INDEX('Useful Life &amp; SG&amp;A Build'!$A$9:$B$12,3,2),0)+$A36&lt;D$24,0,IF(ROUND(INDEX('Useful Life &amp; SG&amp;A Build'!$A$9:$B$12,3,2),0)+$A36=D$24,0.5*IFERROR(#REF!/INDEX('Useful Life &amp; SG&amp;A Build'!$A$9:$B$12,3,2),0),IFERROR(#REF!/INDEX('Useful Life &amp; SG&amp;A Build'!$A$9:$B$12,3,2),0))))</f>
        <v>0</v>
      </c>
      <c r="E36" s="563">
        <f>-IF($A36+1&gt;E$24,0,IF(ROUND(INDEX('Useful Life &amp; SG&amp;A Build'!$A$9:$B$12,3,2),0)+$A36&lt;E$24,0,IF(ROUND(INDEX('Useful Life &amp; SG&amp;A Build'!$A$9:$B$12,3,2),0)+$A36=E$24,0.5*IFERROR(#REF!/INDEX('Useful Life &amp; SG&amp;A Build'!$A$9:$B$12,3,2),0),IFERROR(#REF!/INDEX('Useful Life &amp; SG&amp;A Build'!$A$9:$B$12,3,2),0))))</f>
        <v>0</v>
      </c>
      <c r="F36" s="563">
        <f>-IF($A36+1&gt;F$24,0,IF(ROUND(INDEX('Useful Life &amp; SG&amp;A Build'!$A$9:$B$12,3,2),0)+$A36&lt;F$24,0,IF(ROUND(INDEX('Useful Life &amp; SG&amp;A Build'!$A$9:$B$12,3,2),0)+$A36=F$24,0.5*IFERROR(#REF!/INDEX('Useful Life &amp; SG&amp;A Build'!$A$9:$B$12,3,2),0),IFERROR(#REF!/INDEX('Useful Life &amp; SG&amp;A Build'!$A$9:$B$12,3,2),0))))</f>
        <v>0</v>
      </c>
      <c r="G36" s="563">
        <f>-IF($A36+1&gt;G$24,0,IF(ROUND(INDEX('Useful Life &amp; SG&amp;A Build'!$A$9:$B$12,3,2),0)+$A36&lt;G$24,0,IF(ROUND(INDEX('Useful Life &amp; SG&amp;A Build'!$A$9:$B$12,3,2),0)+$A36=G$24,0.5*IFERROR(#REF!/INDEX('Useful Life &amp; SG&amp;A Build'!$A$9:$B$12,3,2),0),IFERROR(#REF!/INDEX('Useful Life &amp; SG&amp;A Build'!$A$9:$B$12,3,2),0))))</f>
        <v>0</v>
      </c>
      <c r="H36" s="563">
        <f>-IF($A36+1&gt;H$24,0,IF(ROUND(INDEX('Useful Life &amp; SG&amp;A Build'!$A$9:$B$12,3,2),0)+$A36&lt;H$24,0,IF(ROUND(INDEX('Useful Life &amp; SG&amp;A Build'!$A$9:$B$12,3,2),0)+$A36=H$24,0.5*IFERROR(#REF!/INDEX('Useful Life &amp; SG&amp;A Build'!$A$9:$B$12,3,2),0),IFERROR(#REF!/INDEX('Useful Life &amp; SG&amp;A Build'!$A$9:$B$12,3,2),0))))</f>
        <v>0</v>
      </c>
      <c r="I36" s="563">
        <f>-IF($A36+1&gt;I$24,0,IF(ROUND(INDEX('Useful Life &amp; SG&amp;A Build'!$A$9:$B$12,3,2),0)+$A36&lt;I$24,0,IF(ROUND(INDEX('Useful Life &amp; SG&amp;A Build'!$A$9:$B$12,3,2),0)+$A36=I$24,0.5*IFERROR(#REF!/INDEX('Useful Life &amp; SG&amp;A Build'!$A$9:$B$12,3,2),0),IFERROR(#REF!/INDEX('Useful Life &amp; SG&amp;A Build'!$A$9:$B$12,3,2),0))))</f>
        <v>0</v>
      </c>
      <c r="J36" s="563">
        <f>-IF($A36+1&gt;J$24,0,IF(ROUND(INDEX('Useful Life &amp; SG&amp;A Build'!$A$9:$B$12,3,2),0)+$A36&lt;J$24,0,IF(ROUND(INDEX('Useful Life &amp; SG&amp;A Build'!$A$9:$B$12,3,2),0)+$A36=J$24,0.5*IFERROR(#REF!/INDEX('Useful Life &amp; SG&amp;A Build'!$A$9:$B$12,3,2),0),IFERROR(#REF!/INDEX('Useful Life &amp; SG&amp;A Build'!$A$9:$B$12,3,2),0))))</f>
        <v>0</v>
      </c>
      <c r="K36" s="563">
        <f>-IF($A36+1&gt;K$24,0,IF(ROUND(INDEX('Useful Life &amp; SG&amp;A Build'!$A$9:$B$12,3,2),0)+$A36&lt;K$24,0,IF(ROUND(INDEX('Useful Life &amp; SG&amp;A Build'!$A$9:$B$12,3,2),0)+$A36=K$24,0.5*IFERROR(#REF!/INDEX('Useful Life &amp; SG&amp;A Build'!$A$9:$B$12,3,2),0),IFERROR(#REF!/INDEX('Useful Life &amp; SG&amp;A Build'!$A$9:$B$12,3,2),0))))</f>
        <v>0</v>
      </c>
      <c r="L36" s="563">
        <f>-IF($A36+1&gt;L$24,0,IF(ROUND(INDEX('Useful Life &amp; SG&amp;A Build'!$A$9:$B$12,3,2),0)+$A36&lt;L$24,0,IF(ROUND(INDEX('Useful Life &amp; SG&amp;A Build'!$A$9:$B$12,3,2),0)+$A36=L$24,0.5*IFERROR(#REF!/INDEX('Useful Life &amp; SG&amp;A Build'!$A$9:$B$12,3,2),0),IFERROR(#REF!/INDEX('Useful Life &amp; SG&amp;A Build'!$A$9:$B$12,3,2),0))))</f>
        <v>0</v>
      </c>
      <c r="M36" s="564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561"/>
      <c r="AA36" s="263"/>
      <c r="AB36" s="263"/>
    </row>
    <row r="37" spans="1:28" ht="16" x14ac:dyDescent="0.2">
      <c r="A37" s="583">
        <f t="shared" si="2"/>
        <v>2029</v>
      </c>
      <c r="B37" s="563">
        <f>-IF($A37+1&gt;B$24,0,IF(ROUND(INDEX('Useful Life &amp; SG&amp;A Build'!$A$9:$B$12,3,2),0)+$A37&lt;B$24,0,IF(ROUND(INDEX('Useful Life &amp; SG&amp;A Build'!$A$9:$B$12,3,2),0)+$A37=B$24,0.5*IFERROR(#REF!/INDEX('Useful Life &amp; SG&amp;A Build'!$A$9:$B$12,3,2),0),IFERROR(#REF!/INDEX('Useful Life &amp; SG&amp;A Build'!$A$9:$B$12,3,2),0))))</f>
        <v>0</v>
      </c>
      <c r="C37" s="563">
        <f>-IF($A37+1&gt;C$24,0,IF(ROUND(INDEX('Useful Life &amp; SG&amp;A Build'!$A$9:$B$12,3,2),0)+$A37&lt;C$24,0,IF(ROUND(INDEX('Useful Life &amp; SG&amp;A Build'!$A$9:$B$12,3,2),0)+$A37=C$24,0.5*IFERROR(#REF!/INDEX('Useful Life &amp; SG&amp;A Build'!$A$9:$B$12,3,2),0),IFERROR(#REF!/INDEX('Useful Life &amp; SG&amp;A Build'!$A$9:$B$12,3,2),0))))</f>
        <v>0</v>
      </c>
      <c r="D37" s="563">
        <f>-IF($A37+1&gt;D$24,0,IF(ROUND(INDEX('Useful Life &amp; SG&amp;A Build'!$A$9:$B$12,3,2),0)+$A37&lt;D$24,0,IF(ROUND(INDEX('Useful Life &amp; SG&amp;A Build'!$A$9:$B$12,3,2),0)+$A37=D$24,0.5*IFERROR(#REF!/INDEX('Useful Life &amp; SG&amp;A Build'!$A$9:$B$12,3,2),0),IFERROR(#REF!/INDEX('Useful Life &amp; SG&amp;A Build'!$A$9:$B$12,3,2),0))))</f>
        <v>0</v>
      </c>
      <c r="E37" s="563">
        <f>-IF($A37+1&gt;E$24,0,IF(ROUND(INDEX('Useful Life &amp; SG&amp;A Build'!$A$9:$B$12,3,2),0)+$A37&lt;E$24,0,IF(ROUND(INDEX('Useful Life &amp; SG&amp;A Build'!$A$9:$B$12,3,2),0)+$A37=E$24,0.5*IFERROR(#REF!/INDEX('Useful Life &amp; SG&amp;A Build'!$A$9:$B$12,3,2),0),IFERROR(#REF!/INDEX('Useful Life &amp; SG&amp;A Build'!$A$9:$B$12,3,2),0))))</f>
        <v>0</v>
      </c>
      <c r="F37" s="563">
        <f>-IF($A37+1&gt;F$24,0,IF(ROUND(INDEX('Useful Life &amp; SG&amp;A Build'!$A$9:$B$12,3,2),0)+$A37&lt;F$24,0,IF(ROUND(INDEX('Useful Life &amp; SG&amp;A Build'!$A$9:$B$12,3,2),0)+$A37=F$24,0.5*IFERROR(#REF!/INDEX('Useful Life &amp; SG&amp;A Build'!$A$9:$B$12,3,2),0),IFERROR(#REF!/INDEX('Useful Life &amp; SG&amp;A Build'!$A$9:$B$12,3,2),0))))</f>
        <v>0</v>
      </c>
      <c r="G37" s="563">
        <f>-IF($A37+1&gt;G$24,0,IF(ROUND(INDEX('Useful Life &amp; SG&amp;A Build'!$A$9:$B$12,3,2),0)+$A37&lt;G$24,0,IF(ROUND(INDEX('Useful Life &amp; SG&amp;A Build'!$A$9:$B$12,3,2),0)+$A37=G$24,0.5*IFERROR(#REF!/INDEX('Useful Life &amp; SG&amp;A Build'!$A$9:$B$12,3,2),0),IFERROR(#REF!/INDEX('Useful Life &amp; SG&amp;A Build'!$A$9:$B$12,3,2),0))))</f>
        <v>0</v>
      </c>
      <c r="H37" s="563">
        <f>-IF($A37+1&gt;H$24,0,IF(ROUND(INDEX('Useful Life &amp; SG&amp;A Build'!$A$9:$B$12,3,2),0)+$A37&lt;H$24,0,IF(ROUND(INDEX('Useful Life &amp; SG&amp;A Build'!$A$9:$B$12,3,2),0)+$A37=H$24,0.5*IFERROR(#REF!/INDEX('Useful Life &amp; SG&amp;A Build'!$A$9:$B$12,3,2),0),IFERROR(#REF!/INDEX('Useful Life &amp; SG&amp;A Build'!$A$9:$B$12,3,2),0))))</f>
        <v>0</v>
      </c>
      <c r="I37" s="563">
        <f>-IF($A37+1&gt;I$24,0,IF(ROUND(INDEX('Useful Life &amp; SG&amp;A Build'!$A$9:$B$12,3,2),0)+$A37&lt;I$24,0,IF(ROUND(INDEX('Useful Life &amp; SG&amp;A Build'!$A$9:$B$12,3,2),0)+$A37=I$24,0.5*IFERROR(#REF!/INDEX('Useful Life &amp; SG&amp;A Build'!$A$9:$B$12,3,2),0),IFERROR(#REF!/INDEX('Useful Life &amp; SG&amp;A Build'!$A$9:$B$12,3,2),0))))</f>
        <v>0</v>
      </c>
      <c r="J37" s="563">
        <f>-IF($A37+1&gt;J$24,0,IF(ROUND(INDEX('Useful Life &amp; SG&amp;A Build'!$A$9:$B$12,3,2),0)+$A37&lt;J$24,0,IF(ROUND(INDEX('Useful Life &amp; SG&amp;A Build'!$A$9:$B$12,3,2),0)+$A37=J$24,0.5*IFERROR(#REF!/INDEX('Useful Life &amp; SG&amp;A Build'!$A$9:$B$12,3,2),0),IFERROR(#REF!/INDEX('Useful Life &amp; SG&amp;A Build'!$A$9:$B$12,3,2),0))))</f>
        <v>0</v>
      </c>
      <c r="K37" s="563">
        <f>-IF($A37+1&gt;K$24,0,IF(ROUND(INDEX('Useful Life &amp; SG&amp;A Build'!$A$9:$B$12,3,2),0)+$A37&lt;K$24,0,IF(ROUND(INDEX('Useful Life &amp; SG&amp;A Build'!$A$9:$B$12,3,2),0)+$A37=K$24,0.5*IFERROR(#REF!/INDEX('Useful Life &amp; SG&amp;A Build'!$A$9:$B$12,3,2),0),IFERROR(#REF!/INDEX('Useful Life &amp; SG&amp;A Build'!$A$9:$B$12,3,2),0))))</f>
        <v>0</v>
      </c>
      <c r="L37" s="563">
        <f>-IF($A37+1&gt;L$24,0,IF(ROUND(INDEX('Useful Life &amp; SG&amp;A Build'!$A$9:$B$12,3,2),0)+$A37&lt;L$24,0,IF(ROUND(INDEX('Useful Life &amp; SG&amp;A Build'!$A$9:$B$12,3,2),0)+$A37=L$24,0.5*IFERROR(#REF!/INDEX('Useful Life &amp; SG&amp;A Build'!$A$9:$B$12,3,2),0),IFERROR(#REF!/INDEX('Useful Life &amp; SG&amp;A Build'!$A$9:$B$12,3,2),0))))</f>
        <v>0</v>
      </c>
      <c r="M37" s="564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565"/>
      <c r="AA37" s="263"/>
      <c r="AB37" s="263"/>
    </row>
    <row r="38" spans="1:28" ht="16" x14ac:dyDescent="0.2">
      <c r="A38" s="583">
        <f t="shared" si="2"/>
        <v>2030</v>
      </c>
      <c r="B38" s="563">
        <f>-IF($A38+1&gt;B$24,0,IF(ROUND(INDEX('Useful Life &amp; SG&amp;A Build'!$A$9:$B$12,3,2),0)+$A38&lt;B$24,0,IF(ROUND(INDEX('Useful Life &amp; SG&amp;A Build'!$A$9:$B$12,3,2),0)+$A38=B$24,0.5*IFERROR(#REF!/INDEX('Useful Life &amp; SG&amp;A Build'!$A$9:$B$12,3,2),0),IFERROR(#REF!/INDEX('Useful Life &amp; SG&amp;A Build'!$A$9:$B$12,3,2),0))))</f>
        <v>0</v>
      </c>
      <c r="C38" s="563">
        <f>-IF($A38+1&gt;C$24,0,IF(ROUND(INDEX('Useful Life &amp; SG&amp;A Build'!$A$9:$B$12,3,2),0)+$A38&lt;C$24,0,IF(ROUND(INDEX('Useful Life &amp; SG&amp;A Build'!$A$9:$B$12,3,2),0)+$A38=C$24,0.5*IFERROR(#REF!/INDEX('Useful Life &amp; SG&amp;A Build'!$A$9:$B$12,3,2),0),IFERROR(#REF!/INDEX('Useful Life &amp; SG&amp;A Build'!$A$9:$B$12,3,2),0))))</f>
        <v>0</v>
      </c>
      <c r="D38" s="563">
        <f>-IF($A38+1&gt;D$24,0,IF(ROUND(INDEX('Useful Life &amp; SG&amp;A Build'!$A$9:$B$12,3,2),0)+$A38&lt;D$24,0,IF(ROUND(INDEX('Useful Life &amp; SG&amp;A Build'!$A$9:$B$12,3,2),0)+$A38=D$24,0.5*IFERROR(#REF!/INDEX('Useful Life &amp; SG&amp;A Build'!$A$9:$B$12,3,2),0),IFERROR(#REF!/INDEX('Useful Life &amp; SG&amp;A Build'!$A$9:$B$12,3,2),0))))</f>
        <v>0</v>
      </c>
      <c r="E38" s="563">
        <f>-IF($A38+1&gt;E$24,0,IF(ROUND(INDEX('Useful Life &amp; SG&amp;A Build'!$A$9:$B$12,3,2),0)+$A38&lt;E$24,0,IF(ROUND(INDEX('Useful Life &amp; SG&amp;A Build'!$A$9:$B$12,3,2),0)+$A38=E$24,0.5*IFERROR(#REF!/INDEX('Useful Life &amp; SG&amp;A Build'!$A$9:$B$12,3,2),0),IFERROR(#REF!/INDEX('Useful Life &amp; SG&amp;A Build'!$A$9:$B$12,3,2),0))))</f>
        <v>0</v>
      </c>
      <c r="F38" s="563">
        <f>-IF($A38+1&gt;F$24,0,IF(ROUND(INDEX('Useful Life &amp; SG&amp;A Build'!$A$9:$B$12,3,2),0)+$A38&lt;F$24,0,IF(ROUND(INDEX('Useful Life &amp; SG&amp;A Build'!$A$9:$B$12,3,2),0)+$A38=F$24,0.5*IFERROR(#REF!/INDEX('Useful Life &amp; SG&amp;A Build'!$A$9:$B$12,3,2),0),IFERROR(#REF!/INDEX('Useful Life &amp; SG&amp;A Build'!$A$9:$B$12,3,2),0))))</f>
        <v>0</v>
      </c>
      <c r="G38" s="563">
        <f>-IF($A38+1&gt;G$24,0,IF(ROUND(INDEX('Useful Life &amp; SG&amp;A Build'!$A$9:$B$12,3,2),0)+$A38&lt;G$24,0,IF(ROUND(INDEX('Useful Life &amp; SG&amp;A Build'!$A$9:$B$12,3,2),0)+$A38=G$24,0.5*IFERROR(#REF!/INDEX('Useful Life &amp; SG&amp;A Build'!$A$9:$B$12,3,2),0),IFERROR(#REF!/INDEX('Useful Life &amp; SG&amp;A Build'!$A$9:$B$12,3,2),0))))</f>
        <v>0</v>
      </c>
      <c r="H38" s="563">
        <f>-IF($A38+1&gt;H$24,0,IF(ROUND(INDEX('Useful Life &amp; SG&amp;A Build'!$A$9:$B$12,3,2),0)+$A38&lt;H$24,0,IF(ROUND(INDEX('Useful Life &amp; SG&amp;A Build'!$A$9:$B$12,3,2),0)+$A38=H$24,0.5*IFERROR(#REF!/INDEX('Useful Life &amp; SG&amp;A Build'!$A$9:$B$12,3,2),0),IFERROR(#REF!/INDEX('Useful Life &amp; SG&amp;A Build'!$A$9:$B$12,3,2),0))))</f>
        <v>0</v>
      </c>
      <c r="I38" s="563">
        <f>-IF($A38+1&gt;I$24,0,IF(ROUND(INDEX('Useful Life &amp; SG&amp;A Build'!$A$9:$B$12,3,2),0)+$A38&lt;I$24,0,IF(ROUND(INDEX('Useful Life &amp; SG&amp;A Build'!$A$9:$B$12,3,2),0)+$A38=I$24,0.5*IFERROR(#REF!/INDEX('Useful Life &amp; SG&amp;A Build'!$A$9:$B$12,3,2),0),IFERROR(#REF!/INDEX('Useful Life &amp; SG&amp;A Build'!$A$9:$B$12,3,2),0))))</f>
        <v>0</v>
      </c>
      <c r="J38" s="563">
        <f>-IF($A38+1&gt;J$24,0,IF(ROUND(INDEX('Useful Life &amp; SG&amp;A Build'!$A$9:$B$12,3,2),0)+$A38&lt;J$24,0,IF(ROUND(INDEX('Useful Life &amp; SG&amp;A Build'!$A$9:$B$12,3,2),0)+$A38=J$24,0.5*IFERROR(#REF!/INDEX('Useful Life &amp; SG&amp;A Build'!$A$9:$B$12,3,2),0),IFERROR(#REF!/INDEX('Useful Life &amp; SG&amp;A Build'!$A$9:$B$12,3,2),0))))</f>
        <v>0</v>
      </c>
      <c r="K38" s="563">
        <f>-IF($A38+1&gt;K$24,0,IF(ROUND(INDEX('Useful Life &amp; SG&amp;A Build'!$A$9:$B$12,3,2),0)+$A38&lt;K$24,0,IF(ROUND(INDEX('Useful Life &amp; SG&amp;A Build'!$A$9:$B$12,3,2),0)+$A38=K$24,0.5*IFERROR(#REF!/INDEX('Useful Life &amp; SG&amp;A Build'!$A$9:$B$12,3,2),0),IFERROR(#REF!/INDEX('Useful Life &amp; SG&amp;A Build'!$A$9:$B$12,3,2),0))))</f>
        <v>0</v>
      </c>
      <c r="L38" s="563">
        <f>-IF($A38+1&gt;L$24,0,IF(ROUND(INDEX('Useful Life &amp; SG&amp;A Build'!$A$9:$B$12,3,2),0)+$A38&lt;L$24,0,IF(ROUND(INDEX('Useful Life &amp; SG&amp;A Build'!$A$9:$B$12,3,2),0)+$A38=L$24,0.5*IFERROR(#REF!/INDEX('Useful Life &amp; SG&amp;A Build'!$A$9:$B$12,3,2),0),IFERROR(#REF!/INDEX('Useful Life &amp; SG&amp;A Build'!$A$9:$B$12,3,2),0))))</f>
        <v>0</v>
      </c>
      <c r="M38" s="564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565"/>
      <c r="AA38" s="263"/>
      <c r="AB38" s="263"/>
    </row>
    <row r="39" spans="1:28" ht="16" x14ac:dyDescent="0.2">
      <c r="A39" s="562"/>
      <c r="B39" s="563"/>
      <c r="C39" s="563"/>
      <c r="D39" s="563"/>
      <c r="E39" s="563"/>
      <c r="F39" s="563"/>
      <c r="G39" s="563"/>
      <c r="H39" s="563"/>
      <c r="I39" s="563"/>
      <c r="J39" s="563"/>
      <c r="K39" s="563"/>
      <c r="L39" s="563"/>
      <c r="M39" s="564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565"/>
      <c r="AA39" s="263"/>
      <c r="AB39" s="263"/>
    </row>
    <row r="40" spans="1:28" ht="16" x14ac:dyDescent="0.2">
      <c r="B40" s="263"/>
      <c r="C40" s="309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565"/>
      <c r="AA40" s="263"/>
      <c r="AB40" s="263"/>
    </row>
    <row r="41" spans="1:28" ht="16" x14ac:dyDescent="0.2">
      <c r="A41" s="263"/>
      <c r="B41" s="263"/>
      <c r="C41" s="309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565"/>
      <c r="AA41" s="263"/>
      <c r="AB41" s="263"/>
    </row>
    <row r="42" spans="1:28" ht="16" x14ac:dyDescent="0.2">
      <c r="A42" s="582" t="s">
        <v>37</v>
      </c>
      <c r="B42" s="584">
        <v>2021</v>
      </c>
      <c r="C42" s="584">
        <v>2022</v>
      </c>
      <c r="D42" s="584">
        <v>2023</v>
      </c>
      <c r="E42" s="584">
        <v>2024</v>
      </c>
      <c r="F42" s="584">
        <v>2025</v>
      </c>
      <c r="G42" s="584">
        <v>2026</v>
      </c>
      <c r="H42" s="584">
        <v>2027</v>
      </c>
      <c r="I42" s="584">
        <v>2028</v>
      </c>
      <c r="J42" s="584">
        <v>2029</v>
      </c>
      <c r="K42" s="584">
        <v>2030</v>
      </c>
      <c r="L42" s="584">
        <v>2031</v>
      </c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565"/>
      <c r="AA42" s="263"/>
      <c r="AB42" s="263"/>
    </row>
    <row r="43" spans="1:28" ht="16" x14ac:dyDescent="0.2">
      <c r="A43" s="583">
        <v>2017</v>
      </c>
      <c r="B43" s="563">
        <f>IF($A43+1&gt;B$42,0,IF(ROUND(INDEX('Useful Life &amp; SG&amp;A Build'!$A$9:$B$12,2,2),0)+$A43&lt;B$42,0,IF(ROUND(INDEX('Useful Life &amp; SG&amp;A Build'!$A$9:$B$12,2,2),0)+$A43=B$42,0.5*IFERROR(INDEX('Useful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30.142857142857142</v>
      </c>
      <c r="C43" s="563">
        <f>IF($A43+1&gt;C$42,0,IF(ROUND(INDEX('Useful Life &amp; SG&amp;A Build'!$A$9:$B$12,2,2),0)+$A43&lt;C$42,0,IF(ROUND(INDEX('Useful Life &amp; SG&amp;A Build'!$A$9:$B$12,2,2),0)+$A43=C$42,0.5*IFERROR(INDEX('Useful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D43" s="563">
        <f>IF($A43+1&gt;D$42,0,IF(ROUND(INDEX('Useful Life &amp; SG&amp;A Build'!$A$9:$B$12,2,2),0)+$A43&lt;D$42,0,IF(ROUND(INDEX('Useful Life &amp; SG&amp;A Build'!$A$9:$B$12,2,2),0)+$A43=D$42,0.5*IFERROR(INDEX('Useful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E43" s="563">
        <f>IF($A43+1&gt;E$42,0,IF(ROUND(INDEX('Useful Life &amp; SG&amp;A Build'!$A$9:$B$12,2,2),0)+$A43&lt;E$42,0,IF(ROUND(INDEX('Useful Life &amp; SG&amp;A Build'!$A$9:$B$12,2,2),0)+$A43=E$42,0.5*IFERROR(INDEX('Useful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F43" s="563">
        <f>IF($A43+1&gt;F$42,0,IF(ROUND(INDEX('Useful Life &amp; SG&amp;A Build'!$A$9:$B$12,2,2),0)+$A43&lt;F$42,0,IF(ROUND(INDEX('Useful Life &amp; SG&amp;A Build'!$A$9:$B$12,2,2),0)+$A43=F$42,0.5*IFERROR(INDEX('Useful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G43" s="563">
        <f>IF($A43+1&gt;G$42,0,IF(ROUND(INDEX('Useful Life &amp; SG&amp;A Build'!$A$9:$B$12,2,2),0)+$A43&lt;G$42,0,IF(ROUND(INDEX('Useful Life &amp; SG&amp;A Build'!$A$9:$B$12,2,2),0)+$A43=G$42,0.5*IFERROR(INDEX('Useful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H43" s="563">
        <f>IF($A43+1&gt;H$42,0,IF(ROUND(INDEX('Useful Life &amp; SG&amp;A Build'!$A$9:$B$12,2,2),0)+$A43&lt;H$42,0,IF(ROUND(INDEX('Useful Life &amp; SG&amp;A Build'!$A$9:$B$12,2,2),0)+$A43=H$42,0.5*IFERROR(INDEX('Useful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I43" s="563">
        <f>IF($A43+1&gt;I$42,0,IF(ROUND(INDEX('Useful Life &amp; SG&amp;A Build'!$A$9:$B$12,2,2),0)+$A43&lt;I$42,0,IF(ROUND(INDEX('Useful Life &amp; SG&amp;A Build'!$A$9:$B$12,2,2),0)+$A43=I$42,0.5*IFERROR(INDEX('Useful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J43" s="563">
        <f>IF($A43+1&gt;J$42,0,IF(ROUND(INDEX('Useful Life &amp; SG&amp;A Build'!$A$9:$B$12,2,2),0)+$A43&lt;J$42,0,IF(ROUND(INDEX('Useful Life &amp; SG&amp;A Build'!$A$9:$B$12,2,2),0)+$A43=J$42,0.5*IFERROR(INDEX('Useful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K43" s="563">
        <f>IF($A43+1&gt;K$42,0,IF(ROUND(INDEX('Useful Life &amp; SG&amp;A Build'!$A$9:$B$12,2,2),0)+$A43&lt;K$42,0,IF(ROUND(INDEX('Useful Life &amp; SG&amp;A Build'!$A$9:$B$12,2,2),0)+$A43=K$42,0.5*IFERROR(INDEX('Useful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L43" s="563">
        <f>IF($A43+1&gt;L$42,0,IF(ROUND(INDEX('Useful Life &amp; SG&amp;A Build'!$A$9:$B$12,2,2),0)+$A43&lt;L$42,0,IF(ROUND(INDEX('Useful Life &amp; SG&amp;A Build'!$A$9:$B$12,2,2),0)+$A43=L$42,0.5*IFERROR(INDEX('Useful Life &amp; SG&amp;A Build'!$A$3:$K$6,2,MATCH($A43,'Useful Life &amp; SG&amp;A Build'!$A$3:$K$3,0))/INDEX('Useful Life &amp; SG&amp;A Build'!$A$9:$B$12,2,2),0),IFERROR(INDEX('Useful Life &amp; SG&amp;A Build'!$A$3:$K$6,2,MATCH($A43,'Useful Life &amp; SG&amp;A Build'!$A$3:$K$3,0))/INDEX('Useful Life &amp; SG&amp;A Build'!$A$9:$B$12,2,2),0))))</f>
        <v>0</v>
      </c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565"/>
      <c r="AA43" s="263"/>
      <c r="AB43" s="263"/>
    </row>
    <row r="44" spans="1:28" ht="16" x14ac:dyDescent="0.2">
      <c r="A44" s="583">
        <f>A43+1</f>
        <v>2018</v>
      </c>
      <c r="B44" s="563">
        <f>IF($A44+1&gt;B$42,0,IF(ROUND(INDEX('Useful Life &amp; SG&amp;A Build'!$A$9:$B$12,2,2),0)+$A44&lt;B$42,0,IF(ROUND(INDEX('Useful Life &amp; SG&amp;A Build'!$A$9:$B$12,2,2),0)+$A44=B$42,0.5*IFERROR(INDEX('Useful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56.285714285714285</v>
      </c>
      <c r="C44" s="563">
        <f>IF($A44+1&gt;C$42,0,IF(ROUND(INDEX('Useful Life &amp; SG&amp;A Build'!$A$9:$B$12,2,2),0)+$A44&lt;C$42,0,IF(ROUND(INDEX('Useful Life &amp; SG&amp;A Build'!$A$9:$B$12,2,2),0)+$A44=C$42,0.5*IFERROR(INDEX('Useful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28.142857142857142</v>
      </c>
      <c r="D44" s="563">
        <f>IF($A44+1&gt;D$42,0,IF(ROUND(INDEX('Useful Life &amp; SG&amp;A Build'!$A$9:$B$12,2,2),0)+$A44&lt;D$42,0,IF(ROUND(INDEX('Useful Life &amp; SG&amp;A Build'!$A$9:$B$12,2,2),0)+$A44=D$42,0.5*IFERROR(INDEX('Useful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E44" s="563">
        <f>IF($A44+1&gt;E$42,0,IF(ROUND(INDEX('Useful Life &amp; SG&amp;A Build'!$A$9:$B$12,2,2),0)+$A44&lt;E$42,0,IF(ROUND(INDEX('Useful Life &amp; SG&amp;A Build'!$A$9:$B$12,2,2),0)+$A44=E$42,0.5*IFERROR(INDEX('Useful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F44" s="563">
        <f>IF($A44+1&gt;F$42,0,IF(ROUND(INDEX('Useful Life &amp; SG&amp;A Build'!$A$9:$B$12,2,2),0)+$A44&lt;F$42,0,IF(ROUND(INDEX('Useful Life &amp; SG&amp;A Build'!$A$9:$B$12,2,2),0)+$A44=F$42,0.5*IFERROR(INDEX('Useful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G44" s="563">
        <f>IF($A44+1&gt;G$42,0,IF(ROUND(INDEX('Useful Life &amp; SG&amp;A Build'!$A$9:$B$12,2,2),0)+$A44&lt;G$42,0,IF(ROUND(INDEX('Useful Life &amp; SG&amp;A Build'!$A$9:$B$12,2,2),0)+$A44=G$42,0.5*IFERROR(INDEX('Useful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H44" s="563">
        <f>IF($A44+1&gt;H$42,0,IF(ROUND(INDEX('Useful Life &amp; SG&amp;A Build'!$A$9:$B$12,2,2),0)+$A44&lt;H$42,0,IF(ROUND(INDEX('Useful Life &amp; SG&amp;A Build'!$A$9:$B$12,2,2),0)+$A44=H$42,0.5*IFERROR(INDEX('Useful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I44" s="563">
        <f>IF($A44+1&gt;I$42,0,IF(ROUND(INDEX('Useful Life &amp; SG&amp;A Build'!$A$9:$B$12,2,2),0)+$A44&lt;I$42,0,IF(ROUND(INDEX('Useful Life &amp; SG&amp;A Build'!$A$9:$B$12,2,2),0)+$A44=I$42,0.5*IFERROR(INDEX('Useful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J44" s="563">
        <f>IF($A44+1&gt;J$42,0,IF(ROUND(INDEX('Useful Life &amp; SG&amp;A Build'!$A$9:$B$12,2,2),0)+$A44&lt;J$42,0,IF(ROUND(INDEX('Useful Life &amp; SG&amp;A Build'!$A$9:$B$12,2,2),0)+$A44=J$42,0.5*IFERROR(INDEX('Useful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K44" s="563">
        <f>IF($A44+1&gt;K$42,0,IF(ROUND(INDEX('Useful Life &amp; SG&amp;A Build'!$A$9:$B$12,2,2),0)+$A44&lt;K$42,0,IF(ROUND(INDEX('Useful Life &amp; SG&amp;A Build'!$A$9:$B$12,2,2),0)+$A44=K$42,0.5*IFERROR(INDEX('Useful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L44" s="563">
        <f>IF($A44+1&gt;L$42,0,IF(ROUND(INDEX('Useful Life &amp; SG&amp;A Build'!$A$9:$B$12,2,2),0)+$A44&lt;L$42,0,IF(ROUND(INDEX('Useful Life &amp; SG&amp;A Build'!$A$9:$B$12,2,2),0)+$A44=L$42,0.5*IFERROR(INDEX('Useful Life &amp; SG&amp;A Build'!$A$3:$K$6,2,MATCH($A44,'Useful Life &amp; SG&amp;A Build'!$A$3:$K$3,0))/INDEX('Useful Life &amp; SG&amp;A Build'!$A$9:$B$12,2,2),0),IFERROR(INDEX('Useful Life &amp; SG&amp;A Build'!$A$3:$K$6,2,MATCH($A44,'Useful Life &amp; SG&amp;A Build'!$A$3:$K$3,0))/INDEX('Useful Life &amp; SG&amp;A Build'!$A$9:$B$12,2,2),0))))</f>
        <v>0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565"/>
      <c r="AA44" s="263"/>
      <c r="AB44" s="263"/>
    </row>
    <row r="45" spans="1:28" ht="16" x14ac:dyDescent="0.2">
      <c r="A45" s="583">
        <v>2019</v>
      </c>
      <c r="B45" s="563">
        <f>IF($A45+1&gt;B$42,0,IF(ROUND(INDEX('Useful Life &amp; SG&amp;A Build'!$A$9:$B$12,2,2),0)+$A45&lt;B$42,0,IF(ROUND(INDEX('Useful Life &amp; SG&amp;A Build'!$A$9:$B$12,2,2),0)+$A45=B$42,0.5*IFERROR(INDEX('Useful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75.428571428571431</v>
      </c>
      <c r="C45" s="563">
        <f>IF($A45+1&gt;C$42,0,IF(ROUND(INDEX('Useful Life &amp; SG&amp;A Build'!$A$9:$B$12,2,2),0)+$A45&lt;C$42,0,IF(ROUND(INDEX('Useful Life &amp; SG&amp;A Build'!$A$9:$B$12,2,2),0)+$A45=C$42,0.5*IFERROR(INDEX('Useful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75.428571428571431</v>
      </c>
      <c r="D45" s="563">
        <f>IF($A45+1&gt;D$42,0,IF(ROUND(INDEX('Useful Life &amp; SG&amp;A Build'!$A$9:$B$12,2,2),0)+$A45&lt;D$42,0,IF(ROUND(INDEX('Useful Life &amp; SG&amp;A Build'!$A$9:$B$12,2,2),0)+$A45=D$42,0.5*IFERROR(INDEX('Useful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37.714285714285715</v>
      </c>
      <c r="E45" s="563">
        <f>IF($A45+1&gt;E$42,0,IF(ROUND(INDEX('Useful Life &amp; SG&amp;A Build'!$A$9:$B$12,2,2),0)+$A45&lt;E$42,0,IF(ROUND(INDEX('Useful Life &amp; SG&amp;A Build'!$A$9:$B$12,2,2),0)+$A45=E$42,0.5*IFERROR(INDEX('Useful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F45" s="563">
        <f>IF($A45+1&gt;F$42,0,IF(ROUND(INDEX('Useful Life &amp; SG&amp;A Build'!$A$9:$B$12,2,2),0)+$A45&lt;F$42,0,IF(ROUND(INDEX('Useful Life &amp; SG&amp;A Build'!$A$9:$B$12,2,2),0)+$A45=F$42,0.5*IFERROR(INDEX('Useful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G45" s="563">
        <f>IF($A45+1&gt;G$42,0,IF(ROUND(INDEX('Useful Life &amp; SG&amp;A Build'!$A$9:$B$12,2,2),0)+$A45&lt;G$42,0,IF(ROUND(INDEX('Useful Life &amp; SG&amp;A Build'!$A$9:$B$12,2,2),0)+$A45=G$42,0.5*IFERROR(INDEX('Useful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H45" s="563">
        <f>IF($A45+1&gt;H$42,0,IF(ROUND(INDEX('Useful Life &amp; SG&amp;A Build'!$A$9:$B$12,2,2),0)+$A45&lt;H$42,0,IF(ROUND(INDEX('Useful Life &amp; SG&amp;A Build'!$A$9:$B$12,2,2),0)+$A45=H$42,0.5*IFERROR(INDEX('Useful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I45" s="563">
        <f>IF($A45+1&gt;I$42,0,IF(ROUND(INDEX('Useful Life &amp; SG&amp;A Build'!$A$9:$B$12,2,2),0)+$A45&lt;I$42,0,IF(ROUND(INDEX('Useful Life &amp; SG&amp;A Build'!$A$9:$B$12,2,2),0)+$A45=I$42,0.5*IFERROR(INDEX('Useful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J45" s="563">
        <f>IF($A45+1&gt;J$42,0,IF(ROUND(INDEX('Useful Life &amp; SG&amp;A Build'!$A$9:$B$12,2,2),0)+$A45&lt;J$42,0,IF(ROUND(INDEX('Useful Life &amp; SG&amp;A Build'!$A$9:$B$12,2,2),0)+$A45=J$42,0.5*IFERROR(INDEX('Useful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K45" s="563">
        <f>IF($A45+1&gt;K$42,0,IF(ROUND(INDEX('Useful Life &amp; SG&amp;A Build'!$A$9:$B$12,2,2),0)+$A45&lt;K$42,0,IF(ROUND(INDEX('Useful Life &amp; SG&amp;A Build'!$A$9:$B$12,2,2),0)+$A45=K$42,0.5*IFERROR(INDEX('Useful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L45" s="563">
        <f>IF($A45+1&gt;L$42,0,IF(ROUND(INDEX('Useful Life &amp; SG&amp;A Build'!$A$9:$B$12,2,2),0)+$A45&lt;L$42,0,IF(ROUND(INDEX('Useful Life &amp; SG&amp;A Build'!$A$9:$B$12,2,2),0)+$A45=L$42,0.5*IFERROR(INDEX('Useful Life &amp; SG&amp;A Build'!$A$3:$K$6,2,MATCH($A45,'Useful Life &amp; SG&amp;A Build'!$A$3:$K$3,0))/INDEX('Useful Life &amp; SG&amp;A Build'!$A$9:$B$12,2,2),0),IFERROR(INDEX('Useful Life &amp; SG&amp;A Build'!$A$3:$K$6,2,MATCH($A45,'Useful Life &amp; SG&amp;A Build'!$A$3:$K$3,0))/INDEX('Useful Life &amp; SG&amp;A Build'!$A$9:$B$12,2,2),0))))</f>
        <v>0</v>
      </c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565"/>
      <c r="AA45" s="263"/>
      <c r="AB45" s="263"/>
    </row>
    <row r="46" spans="1:28" ht="16" x14ac:dyDescent="0.2">
      <c r="A46" s="583">
        <f t="shared" ref="A46:A56" si="3">A45+1</f>
        <v>2020</v>
      </c>
      <c r="B46" s="563">
        <f>IF($A46+1&gt;B$42,0,IF(ROUND(INDEX('Useful Life &amp; SG&amp;A Build'!$A$9:$B$12,2,2),0)+$A46&lt;B$42,0,IF(ROUND(INDEX('Useful Life &amp; SG&amp;A Build'!$A$9:$B$12,2,2),0)+$A46=B$42,0.5*IFERROR(INDEX('Useful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68</v>
      </c>
      <c r="C46" s="563">
        <f>IF($A46+1&gt;C$42,0,IF(ROUND(INDEX('Useful Life &amp; SG&amp;A Build'!$A$9:$B$12,2,2),0)+$A46&lt;C$42,0,IF(ROUND(INDEX('Useful Life &amp; SG&amp;A Build'!$A$9:$B$12,2,2),0)+$A46=C$42,0.5*IFERROR(INDEX('Useful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68</v>
      </c>
      <c r="D46" s="563">
        <f>IF($A46+1&gt;D$42,0,IF(ROUND(INDEX('Useful Life &amp; SG&amp;A Build'!$A$9:$B$12,2,2),0)+$A46&lt;D$42,0,IF(ROUND(INDEX('Useful Life &amp; SG&amp;A Build'!$A$9:$B$12,2,2),0)+$A46=D$42,0.5*IFERROR(INDEX('Useful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68</v>
      </c>
      <c r="E46" s="563">
        <f>IF($A46+1&gt;E$42,0,IF(ROUND(INDEX('Useful Life &amp; SG&amp;A Build'!$A$9:$B$12,2,2),0)+$A46&lt;E$42,0,IF(ROUND(INDEX('Useful Life &amp; SG&amp;A Build'!$A$9:$B$12,2,2),0)+$A46=E$42,0.5*IFERROR(INDEX('Useful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34</v>
      </c>
      <c r="F46" s="563">
        <f>IF($A46+1&gt;F$42,0,IF(ROUND(INDEX('Useful Life &amp; SG&amp;A Build'!$A$9:$B$12,2,2),0)+$A46&lt;F$42,0,IF(ROUND(INDEX('Useful Life &amp; SG&amp;A Build'!$A$9:$B$12,2,2),0)+$A46=F$42,0.5*IFERROR(INDEX('Useful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G46" s="563">
        <f>IF($A46+1&gt;G$42,0,IF(ROUND(INDEX('Useful Life &amp; SG&amp;A Build'!$A$9:$B$12,2,2),0)+$A46&lt;G$42,0,IF(ROUND(INDEX('Useful Life &amp; SG&amp;A Build'!$A$9:$B$12,2,2),0)+$A46=G$42,0.5*IFERROR(INDEX('Useful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H46" s="563">
        <f>IF($A46+1&gt;H$42,0,IF(ROUND(INDEX('Useful Life &amp; SG&amp;A Build'!$A$9:$B$12,2,2),0)+$A46&lt;H$42,0,IF(ROUND(INDEX('Useful Life &amp; SG&amp;A Build'!$A$9:$B$12,2,2),0)+$A46=H$42,0.5*IFERROR(INDEX('Useful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I46" s="563">
        <f>IF($A46+1&gt;I$42,0,IF(ROUND(INDEX('Useful Life &amp; SG&amp;A Build'!$A$9:$B$12,2,2),0)+$A46&lt;I$42,0,IF(ROUND(INDEX('Useful Life &amp; SG&amp;A Build'!$A$9:$B$12,2,2),0)+$A46=I$42,0.5*IFERROR(INDEX('Useful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J46" s="563">
        <f>IF($A46+1&gt;J$42,0,IF(ROUND(INDEX('Useful Life &amp; SG&amp;A Build'!$A$9:$B$12,2,2),0)+$A46&lt;J$42,0,IF(ROUND(INDEX('Useful Life &amp; SG&amp;A Build'!$A$9:$B$12,2,2),0)+$A46=J$42,0.5*IFERROR(INDEX('Useful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K46" s="563">
        <f>IF($A46+1&gt;K$42,0,IF(ROUND(INDEX('Useful Life &amp; SG&amp;A Build'!$A$9:$B$12,2,2),0)+$A46&lt;K$42,0,IF(ROUND(INDEX('Useful Life &amp; SG&amp;A Build'!$A$9:$B$12,2,2),0)+$A46=K$42,0.5*IFERROR(INDEX('Useful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L46" s="563">
        <f>IF($A46+1&gt;L$42,0,IF(ROUND(INDEX('Useful Life &amp; SG&amp;A Build'!$A$9:$B$12,2,2),0)+$A46&lt;L$42,0,IF(ROUND(INDEX('Useful Life &amp; SG&amp;A Build'!$A$9:$B$12,2,2),0)+$A46=L$42,0.5*IFERROR(INDEX('Useful Life &amp; SG&amp;A Build'!$A$3:$K$6,2,MATCH($A46,'Useful Life &amp; SG&amp;A Build'!$A$3:$K$3,0))/INDEX('Useful Life &amp; SG&amp;A Build'!$A$9:$B$12,2,2),0),IFERROR(INDEX('Useful Life &amp; SG&amp;A Build'!$A$3:$K$6,2,MATCH($A46,'Useful Life &amp; SG&amp;A Build'!$A$3:$K$3,0))/INDEX('Useful Life &amp; SG&amp;A Build'!$A$9:$B$12,2,2),0))))</f>
        <v>0</v>
      </c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565"/>
      <c r="AA46" s="263"/>
      <c r="AB46" s="263"/>
    </row>
    <row r="47" spans="1:28" ht="16" x14ac:dyDescent="0.2">
      <c r="A47" s="583">
        <f t="shared" si="3"/>
        <v>2021</v>
      </c>
      <c r="B47" s="563">
        <f>IF($A47+1&gt;B$42,0,IF(ROUND(INDEX('Useful Life &amp; SG&amp;A Build'!$A$9:$B$12,2,2),0)+$A47&lt;B$42,0,IF(ROUND(INDEX('Useful Life &amp; SG&amp;A Build'!$A$9:$B$12,2,2),0)+$A47=B$42,0.5*IFERROR(INDEX('Useful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C47" s="563">
        <f>IF($A47+1&gt;C$42,0,IF(ROUND(INDEX('Useful Life &amp; SG&amp;A Build'!$A$9:$B$12,2,2),0)+$A47&lt;C$42,0,IF(ROUND(INDEX('Useful Life &amp; SG&amp;A Build'!$A$9:$B$12,2,2),0)+$A47=C$42,0.5*IFERROR(INDEX('Useful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33.428571428571431</v>
      </c>
      <c r="D47" s="563">
        <f>IF($A47+1&gt;D$42,0,IF(ROUND(INDEX('Useful Life &amp; SG&amp;A Build'!$A$9:$B$12,2,2),0)+$A47&lt;D$42,0,IF(ROUND(INDEX('Useful Life &amp; SG&amp;A Build'!$A$9:$B$12,2,2),0)+$A47=D$42,0.5*IFERROR(INDEX('Useful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33.428571428571431</v>
      </c>
      <c r="E47" s="563">
        <f>IF($A47+1&gt;E$42,0,IF(ROUND(INDEX('Useful Life &amp; SG&amp;A Build'!$A$9:$B$12,2,2),0)+$A47&lt;E$42,0,IF(ROUND(INDEX('Useful Life &amp; SG&amp;A Build'!$A$9:$B$12,2,2),0)+$A47=E$42,0.5*IFERROR(INDEX('Useful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33.428571428571431</v>
      </c>
      <c r="F47" s="563">
        <f>IF($A47+1&gt;F$42,0,IF(ROUND(INDEX('Useful Life &amp; SG&amp;A Build'!$A$9:$B$12,2,2),0)+$A47&lt;F$42,0,IF(ROUND(INDEX('Useful Life &amp; SG&amp;A Build'!$A$9:$B$12,2,2),0)+$A47=F$42,0.5*IFERROR(INDEX('Useful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16.714285714285715</v>
      </c>
      <c r="G47" s="563">
        <f>IF($A47+1&gt;G$42,0,IF(ROUND(INDEX('Useful Life &amp; SG&amp;A Build'!$A$9:$B$12,2,2),0)+$A47&lt;G$42,0,IF(ROUND(INDEX('Useful Life &amp; SG&amp;A Build'!$A$9:$B$12,2,2),0)+$A47=G$42,0.5*IFERROR(INDEX('Useful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H47" s="563">
        <f>IF($A47+1&gt;H$42,0,IF(ROUND(INDEX('Useful Life &amp; SG&amp;A Build'!$A$9:$B$12,2,2),0)+$A47&lt;H$42,0,IF(ROUND(INDEX('Useful Life &amp; SG&amp;A Build'!$A$9:$B$12,2,2),0)+$A47=H$42,0.5*IFERROR(INDEX('Useful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I47" s="563">
        <f>IF($A47+1&gt;I$42,0,IF(ROUND(INDEX('Useful Life &amp; SG&amp;A Build'!$A$9:$B$12,2,2),0)+$A47&lt;I$42,0,IF(ROUND(INDEX('Useful Life &amp; SG&amp;A Build'!$A$9:$B$12,2,2),0)+$A47=I$42,0.5*IFERROR(INDEX('Useful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J47" s="563">
        <f>IF($A47+1&gt;J$42,0,IF(ROUND(INDEX('Useful Life &amp; SG&amp;A Build'!$A$9:$B$12,2,2),0)+$A47&lt;J$42,0,IF(ROUND(INDEX('Useful Life &amp; SG&amp;A Build'!$A$9:$B$12,2,2),0)+$A47=J$42,0.5*IFERROR(INDEX('Useful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K47" s="563">
        <f>IF($A47+1&gt;K$42,0,IF(ROUND(INDEX('Useful Life &amp; SG&amp;A Build'!$A$9:$B$12,2,2),0)+$A47&lt;K$42,0,IF(ROUND(INDEX('Useful Life &amp; SG&amp;A Build'!$A$9:$B$12,2,2),0)+$A47=K$42,0.5*IFERROR(INDEX('Useful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L47" s="563">
        <f>IF($A47+1&gt;L$42,0,IF(ROUND(INDEX('Useful Life &amp; SG&amp;A Build'!$A$9:$B$12,2,2),0)+$A47&lt;L$42,0,IF(ROUND(INDEX('Useful Life &amp; SG&amp;A Build'!$A$9:$B$12,2,2),0)+$A47=L$42,0.5*IFERROR(INDEX('Useful Life &amp; SG&amp;A Build'!$A$3:$K$6,2,MATCH($A47,'Useful Life &amp; SG&amp;A Build'!$A$3:$K$3,0))/INDEX('Useful Life &amp; SG&amp;A Build'!$A$9:$B$12,2,2),0),IFERROR(INDEX('Useful Life &amp; SG&amp;A Build'!$A$3:$K$6,2,MATCH($A47,'Useful Life &amp; SG&amp;A Build'!$A$3:$K$3,0))/INDEX('Useful Life &amp; SG&amp;A Build'!$A$9:$B$12,2,2),0))))</f>
        <v>0</v>
      </c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565"/>
      <c r="AA47" s="263"/>
      <c r="AB47" s="263"/>
    </row>
    <row r="48" spans="1:28" ht="16" x14ac:dyDescent="0.2">
      <c r="A48" s="583">
        <f t="shared" si="3"/>
        <v>2022</v>
      </c>
      <c r="B48" s="563">
        <f>IF($A48+1&gt;B$42,0,IF(ROUND(INDEX('Useful Life &amp; SG&amp;A Build'!$A$9:$B$12,2,2),0)+$A48&lt;B$42,0,IF(ROUND(INDEX('Useful Life &amp; SG&amp;A Build'!$A$9:$B$12,2,2),0)+$A48=B$42,0.5*IFERROR(INDEX('Useful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C48" s="563">
        <f>IF($A48+1&gt;C$42,0,IF(ROUND(INDEX('Useful Life &amp; SG&amp;A Build'!$A$9:$B$12,2,2),0)+$A48&lt;C$42,0,IF(ROUND(INDEX('Useful Life &amp; SG&amp;A Build'!$A$9:$B$12,2,2),0)+$A48=C$42,0.5*IFERROR(INDEX('Useful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D48" s="563">
        <f>IF($A48+1&gt;D$42,0,IF(ROUND(INDEX('Useful Life &amp; SG&amp;A Build'!$A$9:$B$12,2,2),0)+$A48&lt;D$42,0,IF(ROUND(INDEX('Useful Life &amp; SG&amp;A Build'!$A$9:$B$12,2,2),0)+$A48=D$42,0.5*IFERROR(INDEX('Useful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50.857142857142854</v>
      </c>
      <c r="E48" s="563">
        <f>IF($A48+1&gt;E$42,0,IF(ROUND(INDEX('Useful Life &amp; SG&amp;A Build'!$A$9:$B$12,2,2),0)+$A48&lt;E$42,0,IF(ROUND(INDEX('Useful Life &amp; SG&amp;A Build'!$A$9:$B$12,2,2),0)+$A48=E$42,0.5*IFERROR(INDEX('Useful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50.857142857142854</v>
      </c>
      <c r="F48" s="563">
        <f>IF($A48+1&gt;F$42,0,IF(ROUND(INDEX('Useful Life &amp; SG&amp;A Build'!$A$9:$B$12,2,2),0)+$A48&lt;F$42,0,IF(ROUND(INDEX('Useful Life &amp; SG&amp;A Build'!$A$9:$B$12,2,2),0)+$A48=F$42,0.5*IFERROR(INDEX('Useful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50.857142857142854</v>
      </c>
      <c r="G48" s="563">
        <f>IF($A48+1&gt;G$42,0,IF(ROUND(INDEX('Useful Life &amp; SG&amp;A Build'!$A$9:$B$12,2,2),0)+$A48&lt;G$42,0,IF(ROUND(INDEX('Useful Life &amp; SG&amp;A Build'!$A$9:$B$12,2,2),0)+$A48=G$42,0.5*IFERROR(INDEX('Useful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25.428571428571427</v>
      </c>
      <c r="H48" s="563">
        <f>IF($A48+1&gt;H$42,0,IF(ROUND(INDEX('Useful Life &amp; SG&amp;A Build'!$A$9:$B$12,2,2),0)+$A48&lt;H$42,0,IF(ROUND(INDEX('Useful Life &amp; SG&amp;A Build'!$A$9:$B$12,2,2),0)+$A48=H$42,0.5*IFERROR(INDEX('Useful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I48" s="563">
        <f>IF($A48+1&gt;I$42,0,IF(ROUND(INDEX('Useful Life &amp; SG&amp;A Build'!$A$9:$B$12,2,2),0)+$A48&lt;I$42,0,IF(ROUND(INDEX('Useful Life &amp; SG&amp;A Build'!$A$9:$B$12,2,2),0)+$A48=I$42,0.5*IFERROR(INDEX('Useful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J48" s="563">
        <f>IF($A48+1&gt;J$42,0,IF(ROUND(INDEX('Useful Life &amp; SG&amp;A Build'!$A$9:$B$12,2,2),0)+$A48&lt;J$42,0,IF(ROUND(INDEX('Useful Life &amp; SG&amp;A Build'!$A$9:$B$12,2,2),0)+$A48=J$42,0.5*IFERROR(INDEX('Useful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K48" s="563">
        <f>IF($A48+1&gt;K$42,0,IF(ROUND(INDEX('Useful Life &amp; SG&amp;A Build'!$A$9:$B$12,2,2),0)+$A48&lt;K$42,0,IF(ROUND(INDEX('Useful Life &amp; SG&amp;A Build'!$A$9:$B$12,2,2),0)+$A48=K$42,0.5*IFERROR(INDEX('Useful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L48" s="563">
        <f>IF($A48+1&gt;L$42,0,IF(ROUND(INDEX('Useful Life &amp; SG&amp;A Build'!$A$9:$B$12,2,2),0)+$A48&lt;L$42,0,IF(ROUND(INDEX('Useful Life &amp; SG&amp;A Build'!$A$9:$B$12,2,2),0)+$A48=L$42,0.5*IFERROR(INDEX('Useful Life &amp; SG&amp;A Build'!$A$3:$K$6,2,MATCH($A48,'Useful Life &amp; SG&amp;A Build'!$A$3:$K$3,0))/INDEX('Useful Life &amp; SG&amp;A Build'!$A$9:$B$12,2,2),0),IFERROR(INDEX('Useful Life &amp; SG&amp;A Build'!$A$3:$K$6,2,MATCH($A48,'Useful Life &amp; SG&amp;A Build'!$A$3:$K$3,0))/INDEX('Useful Life &amp; SG&amp;A Build'!$A$9:$B$12,2,2),0))))</f>
        <v>0</v>
      </c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565"/>
      <c r="AA48" s="263"/>
      <c r="AB48" s="263"/>
    </row>
    <row r="49" spans="1:28" ht="16" x14ac:dyDescent="0.2">
      <c r="A49" s="583">
        <f t="shared" si="3"/>
        <v>2023</v>
      </c>
      <c r="B49" s="563">
        <f>IF($A49+1&gt;B$42,0,IF(ROUND(INDEX('Useful Life &amp; SG&amp;A Build'!$A$9:$B$12,2,2),0)+$A49&lt;B$42,0,IF(ROUND(INDEX('Useful Life &amp; SG&amp;A Build'!$A$9:$B$12,2,2),0)+$A49=B$42,0.5*IFERROR(INDEX('Useful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C49" s="563">
        <f>IF($A49+1&gt;C$42,0,IF(ROUND(INDEX('Useful Life &amp; SG&amp;A Build'!$A$9:$B$12,2,2),0)+$A49&lt;C$42,0,IF(ROUND(INDEX('Useful Life &amp; SG&amp;A Build'!$A$9:$B$12,2,2),0)+$A49=C$42,0.5*IFERROR(INDEX('Useful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D49" s="563">
        <f>IF($A49+1&gt;D$42,0,IF(ROUND(INDEX('Useful Life &amp; SG&amp;A Build'!$A$9:$B$12,2,2),0)+$A49&lt;D$42,0,IF(ROUND(INDEX('Useful Life &amp; SG&amp;A Build'!$A$9:$B$12,2,2),0)+$A49=D$42,0.5*IFERROR(INDEX('Useful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E49" s="563">
        <f>IF($A49+1&gt;E$42,0,IF(ROUND(INDEX('Useful Life &amp; SG&amp;A Build'!$A$9:$B$12,2,2),0)+$A49&lt;E$42,0,IF(ROUND(INDEX('Useful Life &amp; SG&amp;A Build'!$A$9:$B$12,2,2),0)+$A49=E$42,0.5*IFERROR(INDEX('Useful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101.42857142857143</v>
      </c>
      <c r="F49" s="563">
        <f>IF($A49+1&gt;F$42,0,IF(ROUND(INDEX('Useful Life &amp; SG&amp;A Build'!$A$9:$B$12,2,2),0)+$A49&lt;F$42,0,IF(ROUND(INDEX('Useful Life &amp; SG&amp;A Build'!$A$9:$B$12,2,2),0)+$A49=F$42,0.5*IFERROR(INDEX('Useful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101.42857142857143</v>
      </c>
      <c r="G49" s="563">
        <f>IF($A49+1&gt;G$42,0,IF(ROUND(INDEX('Useful Life &amp; SG&amp;A Build'!$A$9:$B$12,2,2),0)+$A49&lt;G$42,0,IF(ROUND(INDEX('Useful Life &amp; SG&amp;A Build'!$A$9:$B$12,2,2),0)+$A49=G$42,0.5*IFERROR(INDEX('Useful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101.42857142857143</v>
      </c>
      <c r="H49" s="563">
        <f>IF($A49+1&gt;H$42,0,IF(ROUND(INDEX('Useful Life &amp; SG&amp;A Build'!$A$9:$B$12,2,2),0)+$A49&lt;H$42,0,IF(ROUND(INDEX('Useful Life &amp; SG&amp;A Build'!$A$9:$B$12,2,2),0)+$A49=H$42,0.5*IFERROR(INDEX('Useful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50.714285714285715</v>
      </c>
      <c r="I49" s="563">
        <f>IF($A49+1&gt;I$42,0,IF(ROUND(INDEX('Useful Life &amp; SG&amp;A Build'!$A$9:$B$12,2,2),0)+$A49&lt;I$42,0,IF(ROUND(INDEX('Useful Life &amp; SG&amp;A Build'!$A$9:$B$12,2,2),0)+$A49=I$42,0.5*IFERROR(INDEX('Useful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J49" s="563">
        <f>IF($A49+1&gt;J$42,0,IF(ROUND(INDEX('Useful Life &amp; SG&amp;A Build'!$A$9:$B$12,2,2),0)+$A49&lt;J$42,0,IF(ROUND(INDEX('Useful Life &amp; SG&amp;A Build'!$A$9:$B$12,2,2),0)+$A49=J$42,0.5*IFERROR(INDEX('Useful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K49" s="563">
        <f>IF($A49+1&gt;K$42,0,IF(ROUND(INDEX('Useful Life &amp; SG&amp;A Build'!$A$9:$B$12,2,2),0)+$A49&lt;K$42,0,IF(ROUND(INDEX('Useful Life &amp; SG&amp;A Build'!$A$9:$B$12,2,2),0)+$A49=K$42,0.5*IFERROR(INDEX('Useful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L49" s="563">
        <f>IF($A49+1&gt;L$42,0,IF(ROUND(INDEX('Useful Life &amp; SG&amp;A Build'!$A$9:$B$12,2,2),0)+$A49&lt;L$42,0,IF(ROUND(INDEX('Useful Life &amp; SG&amp;A Build'!$A$9:$B$12,2,2),0)+$A49=L$42,0.5*IFERROR(INDEX('Useful Life &amp; SG&amp;A Build'!$A$3:$K$6,2,MATCH($A49,'Useful Life &amp; SG&amp;A Build'!$A$3:$K$3,0))/INDEX('Useful Life &amp; SG&amp;A Build'!$A$9:$B$12,2,2),0),IFERROR(INDEX('Useful Life &amp; SG&amp;A Build'!$A$3:$K$6,2,MATCH($A49,'Useful Life &amp; SG&amp;A Build'!$A$3:$K$3,0))/INDEX('Useful Life &amp; SG&amp;A Build'!$A$9:$B$12,2,2),0))))</f>
        <v>0</v>
      </c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565"/>
      <c r="AA49" s="263"/>
      <c r="AB49" s="263"/>
    </row>
    <row r="50" spans="1:28" ht="16" x14ac:dyDescent="0.2">
      <c r="A50" s="583">
        <f t="shared" si="3"/>
        <v>2024</v>
      </c>
      <c r="B50" s="563">
        <f>IF($A50+1&gt;B$42,0,IF(ROUND(INDEX('Useful Life &amp; SG&amp;A Build'!$A$9:$B$12,2,2),0)+$A50&lt;B$42,0,IF(ROUND(INDEX('Useful Life &amp; SG&amp;A Build'!$A$9:$B$12,2,2),0)+$A50=B$42,0.5*IFERROR(INDEX('Useful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C50" s="563">
        <f>IF($A50+1&gt;C$42,0,IF(ROUND(INDEX('Useful Life &amp; SG&amp;A Build'!$A$9:$B$12,2,2),0)+$A50&lt;C$42,0,IF(ROUND(INDEX('Useful Life &amp; SG&amp;A Build'!$A$9:$B$12,2,2),0)+$A50=C$42,0.5*IFERROR(INDEX('Useful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D50" s="563">
        <f>IF($A50+1&gt;D$42,0,IF(ROUND(INDEX('Useful Life &amp; SG&amp;A Build'!$A$9:$B$12,2,2),0)+$A50&lt;D$42,0,IF(ROUND(INDEX('Useful Life &amp; SG&amp;A Build'!$A$9:$B$12,2,2),0)+$A50=D$42,0.5*IFERROR(INDEX('Useful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E50" s="563">
        <f>IF($A50+1&gt;E$42,0,IF(ROUND(INDEX('Useful Life &amp; SG&amp;A Build'!$A$9:$B$12,2,2),0)+$A50&lt;E$42,0,IF(ROUND(INDEX('Useful Life &amp; SG&amp;A Build'!$A$9:$B$12,2,2),0)+$A50=E$42,0.5*IFERROR(INDEX('Useful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F50" s="563">
        <f>IF($A50+1&gt;F$42,0,IF(ROUND(INDEX('Useful Life &amp; SG&amp;A Build'!$A$9:$B$12,2,2),0)+$A50&lt;F$42,0,IF(ROUND(INDEX('Useful Life &amp; SG&amp;A Build'!$A$9:$B$12,2,2),0)+$A50=F$42,0.5*IFERROR(INDEX('Useful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79.428571428571431</v>
      </c>
      <c r="G50" s="563">
        <f>IF($A50+1&gt;G$42,0,IF(ROUND(INDEX('Useful Life &amp; SG&amp;A Build'!$A$9:$B$12,2,2),0)+$A50&lt;G$42,0,IF(ROUND(INDEX('Useful Life &amp; SG&amp;A Build'!$A$9:$B$12,2,2),0)+$A50=G$42,0.5*IFERROR(INDEX('Useful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79.428571428571431</v>
      </c>
      <c r="H50" s="563">
        <f>IF($A50+1&gt;H$42,0,IF(ROUND(INDEX('Useful Life &amp; SG&amp;A Build'!$A$9:$B$12,2,2),0)+$A50&lt;H$42,0,IF(ROUND(INDEX('Useful Life &amp; SG&amp;A Build'!$A$9:$B$12,2,2),0)+$A50=H$42,0.5*IFERROR(INDEX('Useful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79.428571428571431</v>
      </c>
      <c r="I50" s="563">
        <f>IF($A50+1&gt;I$42,0,IF(ROUND(INDEX('Useful Life &amp; SG&amp;A Build'!$A$9:$B$12,2,2),0)+$A50&lt;I$42,0,IF(ROUND(INDEX('Useful Life &amp; SG&amp;A Build'!$A$9:$B$12,2,2),0)+$A50=I$42,0.5*IFERROR(INDEX('Useful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39.714285714285715</v>
      </c>
      <c r="J50" s="563">
        <f>IF($A50+1&gt;J$42,0,IF(ROUND(INDEX('Useful Life &amp; SG&amp;A Build'!$A$9:$B$12,2,2),0)+$A50&lt;J$42,0,IF(ROUND(INDEX('Useful Life &amp; SG&amp;A Build'!$A$9:$B$12,2,2),0)+$A50=J$42,0.5*IFERROR(INDEX('Useful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K50" s="563">
        <f>IF($A50+1&gt;K$42,0,IF(ROUND(INDEX('Useful Life &amp; SG&amp;A Build'!$A$9:$B$12,2,2),0)+$A50&lt;K$42,0,IF(ROUND(INDEX('Useful Life &amp; SG&amp;A Build'!$A$9:$B$12,2,2),0)+$A50=K$42,0.5*IFERROR(INDEX('Useful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L50" s="563">
        <f>IF($A50+1&gt;L$42,0,IF(ROUND(INDEX('Useful Life &amp; SG&amp;A Build'!$A$9:$B$12,2,2),0)+$A50&lt;L$42,0,IF(ROUND(INDEX('Useful Life &amp; SG&amp;A Build'!$A$9:$B$12,2,2),0)+$A50=L$42,0.5*IFERROR(INDEX('Useful Life &amp; SG&amp;A Build'!$A$3:$K$6,2,MATCH($A50,'Useful Life &amp; SG&amp;A Build'!$A$3:$K$3,0))/INDEX('Useful Life &amp; SG&amp;A Build'!$A$9:$B$12,2,2),0),IFERROR(INDEX('Useful Life &amp; SG&amp;A Build'!$A$3:$K$6,2,MATCH($A50,'Useful Life &amp; SG&amp;A Build'!$A$3:$K$3,0))/INDEX('Useful Life &amp; SG&amp;A Build'!$A$9:$B$12,2,2),0))))</f>
        <v>0</v>
      </c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565"/>
      <c r="AA50" s="263"/>
      <c r="AB50" s="263"/>
    </row>
    <row r="51" spans="1:28" ht="16" x14ac:dyDescent="0.2">
      <c r="A51" s="583">
        <f t="shared" si="3"/>
        <v>2025</v>
      </c>
      <c r="B51" s="563">
        <f>IF($A51+1&gt;B$42,0,IF(ROUND(INDEX('Useful Life &amp; SG&amp;A Build'!$A$9:$B$12,2,2),0)+$A51&lt;B$42,0,IF(ROUND(INDEX('Useful Life &amp; SG&amp;A Build'!$A$9:$B$12,2,2),0)+$A51=B$42,0.5*IFERROR(INDEX('Useful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C51" s="563">
        <f>IF($A51+1&gt;C$42,0,IF(ROUND(INDEX('Useful Life &amp; SG&amp;A Build'!$A$9:$B$12,2,2),0)+$A51&lt;C$42,0,IF(ROUND(INDEX('Useful Life &amp; SG&amp;A Build'!$A$9:$B$12,2,2),0)+$A51=C$42,0.5*IFERROR(INDEX('Useful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D51" s="563">
        <f>IF($A51+1&gt;D$42,0,IF(ROUND(INDEX('Useful Life &amp; SG&amp;A Build'!$A$9:$B$12,2,2),0)+$A51&lt;D$42,0,IF(ROUND(INDEX('Useful Life &amp; SG&amp;A Build'!$A$9:$B$12,2,2),0)+$A51=D$42,0.5*IFERROR(INDEX('Useful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E51" s="563">
        <f>IF($A51+1&gt;E$42,0,IF(ROUND(INDEX('Useful Life &amp; SG&amp;A Build'!$A$9:$B$12,2,2),0)+$A51&lt;E$42,0,IF(ROUND(INDEX('Useful Life &amp; SG&amp;A Build'!$A$9:$B$12,2,2),0)+$A51=E$42,0.5*IFERROR(INDEX('Useful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F51" s="563">
        <f>IF($A51+1&gt;F$42,0,IF(ROUND(INDEX('Useful Life &amp; SG&amp;A Build'!$A$9:$B$12,2,2),0)+$A51&lt;F$42,0,IF(ROUND(INDEX('Useful Life &amp; SG&amp;A Build'!$A$9:$B$12,2,2),0)+$A51=F$42,0.5*IFERROR(INDEX('Useful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G51" s="563">
        <f>IF($A51+1&gt;G$42,0,IF(ROUND(INDEX('Useful Life &amp; SG&amp;A Build'!$A$9:$B$12,2,2),0)+$A51&lt;G$42,0,IF(ROUND(INDEX('Useful Life &amp; SG&amp;A Build'!$A$9:$B$12,2,2),0)+$A51=G$42,0.5*IFERROR(INDEX('Useful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26.285714285714285</v>
      </c>
      <c r="H51" s="563">
        <f>IF($A51+1&gt;H$42,0,IF(ROUND(INDEX('Useful Life &amp; SG&amp;A Build'!$A$9:$B$12,2,2),0)+$A51&lt;H$42,0,IF(ROUND(INDEX('Useful Life &amp; SG&amp;A Build'!$A$9:$B$12,2,2),0)+$A51=H$42,0.5*IFERROR(INDEX('Useful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26.285714285714285</v>
      </c>
      <c r="I51" s="563">
        <f>IF($A51+1&gt;I$42,0,IF(ROUND(INDEX('Useful Life &amp; SG&amp;A Build'!$A$9:$B$12,2,2),0)+$A51&lt;I$42,0,IF(ROUND(INDEX('Useful Life &amp; SG&amp;A Build'!$A$9:$B$12,2,2),0)+$A51=I$42,0.5*IFERROR(INDEX('Useful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26.285714285714285</v>
      </c>
      <c r="J51" s="563">
        <f>IF($A51+1&gt;J$42,0,IF(ROUND(INDEX('Useful Life &amp; SG&amp;A Build'!$A$9:$B$12,2,2),0)+$A51&lt;J$42,0,IF(ROUND(INDEX('Useful Life &amp; SG&amp;A Build'!$A$9:$B$12,2,2),0)+$A51=J$42,0.5*IFERROR(INDEX('Useful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13.142857142857142</v>
      </c>
      <c r="K51" s="563">
        <f>IF($A51+1&gt;K$42,0,IF(ROUND(INDEX('Useful Life &amp; SG&amp;A Build'!$A$9:$B$12,2,2),0)+$A51&lt;K$42,0,IF(ROUND(INDEX('Useful Life &amp; SG&amp;A Build'!$A$9:$B$12,2,2),0)+$A51=K$42,0.5*IFERROR(INDEX('Useful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L51" s="563">
        <f>IF($A51+1&gt;L$42,0,IF(ROUND(INDEX('Useful Life &amp; SG&amp;A Build'!$A$9:$B$12,2,2),0)+$A51&lt;L$42,0,IF(ROUND(INDEX('Useful Life &amp; SG&amp;A Build'!$A$9:$B$12,2,2),0)+$A51=L$42,0.5*IFERROR(INDEX('Useful Life &amp; SG&amp;A Build'!$A$3:$K$6,2,MATCH($A51,'Useful Life &amp; SG&amp;A Build'!$A$3:$K$3,0))/INDEX('Useful Life &amp; SG&amp;A Build'!$A$9:$B$12,2,2),0),IFERROR(INDEX('Useful Life &amp; SG&amp;A Build'!$A$3:$K$6,2,MATCH($A51,'Useful Life &amp; SG&amp;A Build'!$A$3:$K$3,0))/INDEX('Useful Life &amp; SG&amp;A Build'!$A$9:$B$12,2,2),0))))</f>
        <v>0</v>
      </c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565"/>
      <c r="AA51" s="263"/>
      <c r="AB51" s="263"/>
    </row>
    <row r="52" spans="1:28" ht="16" x14ac:dyDescent="0.2">
      <c r="A52" s="583">
        <f t="shared" si="3"/>
        <v>2026</v>
      </c>
      <c r="B52" s="563">
        <f>-IF($A52+1&gt;B$42,0,IF(ROUND(INDEX('Useful Life &amp; SG&amp;A Build'!$A$9:$B$12,3,2),0)+$A52&lt;B$42,0,IF(ROUND(INDEX('Useful Life &amp; SG&amp;A Build'!$A$9:$B$12,3,2),0)+$A52=B$42,0.5*IFERROR(#REF!/INDEX('Useful Life &amp; SG&amp;A Build'!$A$9:$B$12,3,2),0),IFERROR(#REF!/INDEX('Useful Life &amp; SG&amp;A Build'!$A$9:$B$12,3,2),0))))</f>
        <v>0</v>
      </c>
      <c r="C52" s="563">
        <f>-IF($A52+1&gt;C$42,0,IF(ROUND(INDEX('Useful Life &amp; SG&amp;A Build'!$A$9:$B$12,3,2),0)+$A52&lt;C$42,0,IF(ROUND(INDEX('Useful Life &amp; SG&amp;A Build'!$A$9:$B$12,3,2),0)+$A52=C$42,0.5*IFERROR(#REF!/INDEX('Useful Life &amp; SG&amp;A Build'!$A$9:$B$12,3,2),0),IFERROR(#REF!/INDEX('Useful Life &amp; SG&amp;A Build'!$A$9:$B$12,3,2),0))))</f>
        <v>0</v>
      </c>
      <c r="D52" s="563">
        <f>-IF($A52+1&gt;D$42,0,IF(ROUND(INDEX('Useful Life &amp; SG&amp;A Build'!$A$9:$B$12,3,2),0)+$A52&lt;D$42,0,IF(ROUND(INDEX('Useful Life &amp; SG&amp;A Build'!$A$9:$B$12,3,2),0)+$A52=D$42,0.5*IFERROR(#REF!/INDEX('Useful Life &amp; SG&amp;A Build'!$A$9:$B$12,3,2),0),IFERROR(#REF!/INDEX('Useful Life &amp; SG&amp;A Build'!$A$9:$B$12,3,2),0))))</f>
        <v>0</v>
      </c>
      <c r="E52" s="563">
        <f>-IF($A52+1&gt;E$42,0,IF(ROUND(INDEX('Useful Life &amp; SG&amp;A Build'!$A$9:$B$12,3,2),0)+$A52&lt;E$42,0,IF(ROUND(INDEX('Useful Life &amp; SG&amp;A Build'!$A$9:$B$12,3,2),0)+$A52=E$42,0.5*IFERROR(#REF!/INDEX('Useful Life &amp; SG&amp;A Build'!$A$9:$B$12,3,2),0),IFERROR(#REF!/INDEX('Useful Life &amp; SG&amp;A Build'!$A$9:$B$12,3,2),0))))</f>
        <v>0</v>
      </c>
      <c r="F52" s="563">
        <f>-IF($A52+1&gt;F$42,0,IF(ROUND(INDEX('Useful Life &amp; SG&amp;A Build'!$A$9:$B$12,3,2),0)+$A52&lt;F$42,0,IF(ROUND(INDEX('Useful Life &amp; SG&amp;A Build'!$A$9:$B$12,3,2),0)+$A52=F$42,0.5*IFERROR(#REF!/INDEX('Useful Life &amp; SG&amp;A Build'!$A$9:$B$12,3,2),0),IFERROR(#REF!/INDEX('Useful Life &amp; SG&amp;A Build'!$A$9:$B$12,3,2),0))))</f>
        <v>0</v>
      </c>
      <c r="G52" s="563">
        <f>-IF($A52+1&gt;G$42,0,IF(ROUND(INDEX('Useful Life &amp; SG&amp;A Build'!$A$9:$B$12,3,2),0)+$A52&lt;G$42,0,IF(ROUND(INDEX('Useful Life &amp; SG&amp;A Build'!$A$9:$B$12,3,2),0)+$A52=G$42,0.5*IFERROR(#REF!/INDEX('Useful Life &amp; SG&amp;A Build'!$A$9:$B$12,3,2),0),IFERROR(#REF!/INDEX('Useful Life &amp; SG&amp;A Build'!$A$9:$B$12,3,2),0))))</f>
        <v>0</v>
      </c>
      <c r="H52" s="563">
        <f>-IF($A52+1&gt;H$42,0,IF(ROUND(INDEX('Useful Life &amp; SG&amp;A Build'!$A$9:$B$12,3,2),0)+$A52&lt;H$42,0,IF(ROUND(INDEX('Useful Life &amp; SG&amp;A Build'!$A$9:$B$12,3,2),0)+$A52=H$42,0.5*IFERROR(#REF!/INDEX('Useful Life &amp; SG&amp;A Build'!$A$9:$B$12,3,2),0),IFERROR(#REF!/INDEX('Useful Life &amp; SG&amp;A Build'!$A$9:$B$12,3,2),0))))</f>
        <v>0</v>
      </c>
      <c r="I52" s="563">
        <f>-IF($A52+1&gt;I$42,0,IF(ROUND(INDEX('Useful Life &amp; SG&amp;A Build'!$A$9:$B$12,3,2),0)+$A52&lt;I$42,0,IF(ROUND(INDEX('Useful Life &amp; SG&amp;A Build'!$A$9:$B$12,3,2),0)+$A52=I$42,0.5*IFERROR(#REF!/INDEX('Useful Life &amp; SG&amp;A Build'!$A$9:$B$12,3,2),0),IFERROR(#REF!/INDEX('Useful Life &amp; SG&amp;A Build'!$A$9:$B$12,3,2),0))))</f>
        <v>0</v>
      </c>
      <c r="J52" s="563">
        <f>-IF($A52+1&gt;J$42,0,IF(ROUND(INDEX('Useful Life &amp; SG&amp;A Build'!$A$9:$B$12,3,2),0)+$A52&lt;J$42,0,IF(ROUND(INDEX('Useful Life &amp; SG&amp;A Build'!$A$9:$B$12,3,2),0)+$A52=J$42,0.5*IFERROR(#REF!/INDEX('Useful Life &amp; SG&amp;A Build'!$A$9:$B$12,3,2),0),IFERROR(#REF!/INDEX('Useful Life &amp; SG&amp;A Build'!$A$9:$B$12,3,2),0))))</f>
        <v>0</v>
      </c>
      <c r="K52" s="563">
        <f>-IF($A52+1&gt;K$42,0,IF(ROUND(INDEX('Useful Life &amp; SG&amp;A Build'!$A$9:$B$12,3,2),0)+$A52&lt;K$42,0,IF(ROUND(INDEX('Useful Life &amp; SG&amp;A Build'!$A$9:$B$12,3,2),0)+$A52=K$42,0.5*IFERROR(#REF!/INDEX('Useful Life &amp; SG&amp;A Build'!$A$9:$B$12,3,2),0),IFERROR(#REF!/INDEX('Useful Life &amp; SG&amp;A Build'!$A$9:$B$12,3,2),0))))</f>
        <v>0</v>
      </c>
      <c r="L52" s="563">
        <f>-IF($A52+1&gt;L$42,0,IF(ROUND(INDEX('Useful Life &amp; SG&amp;A Build'!$A$9:$B$12,3,2),0)+$A52&lt;L$42,0,IF(ROUND(INDEX('Useful Life &amp; SG&amp;A Build'!$A$9:$B$12,3,2),0)+$A52=L$42,0.5*IFERROR(#REF!/INDEX('Useful Life &amp; SG&amp;A Build'!$A$9:$B$12,3,2),0),IFERROR(#REF!/INDEX('Useful Life &amp; SG&amp;A Build'!$A$9:$B$12,3,2),0))))</f>
        <v>0</v>
      </c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565"/>
      <c r="AA52" s="263"/>
      <c r="AB52" s="263"/>
    </row>
    <row r="53" spans="1:28" ht="16" x14ac:dyDescent="0.2">
      <c r="A53" s="583">
        <f t="shared" si="3"/>
        <v>2027</v>
      </c>
      <c r="B53" s="563">
        <f>-IF($A53+1&gt;B$42,0,IF(ROUND(INDEX('Useful Life &amp; SG&amp;A Build'!$A$9:$B$12,3,2),0)+$A53&lt;B$42,0,IF(ROUND(INDEX('Useful Life &amp; SG&amp;A Build'!$A$9:$B$12,3,2),0)+$A53=B$42,0.5*IFERROR(#REF!/INDEX('Useful Life &amp; SG&amp;A Build'!$A$9:$B$12,3,2),0),IFERROR(#REF!/INDEX('Useful Life &amp; SG&amp;A Build'!$A$9:$B$12,3,2),0))))</f>
        <v>0</v>
      </c>
      <c r="C53" s="563">
        <f>-IF($A53+1&gt;C$42,0,IF(ROUND(INDEX('Useful Life &amp; SG&amp;A Build'!$A$9:$B$12,3,2),0)+$A53&lt;C$42,0,IF(ROUND(INDEX('Useful Life &amp; SG&amp;A Build'!$A$9:$B$12,3,2),0)+$A53=C$42,0.5*IFERROR(#REF!/INDEX('Useful Life &amp; SG&amp;A Build'!$A$9:$B$12,3,2),0),IFERROR(#REF!/INDEX('Useful Life &amp; SG&amp;A Build'!$A$9:$B$12,3,2),0))))</f>
        <v>0</v>
      </c>
      <c r="D53" s="563">
        <f>-IF($A53+1&gt;D$42,0,IF(ROUND(INDEX('Useful Life &amp; SG&amp;A Build'!$A$9:$B$12,3,2),0)+$A53&lt;D$42,0,IF(ROUND(INDEX('Useful Life &amp; SG&amp;A Build'!$A$9:$B$12,3,2),0)+$A53=D$42,0.5*IFERROR(#REF!/INDEX('Useful Life &amp; SG&amp;A Build'!$A$9:$B$12,3,2),0),IFERROR(#REF!/INDEX('Useful Life &amp; SG&amp;A Build'!$A$9:$B$12,3,2),0))))</f>
        <v>0</v>
      </c>
      <c r="E53" s="563">
        <f>-IF($A53+1&gt;E$42,0,IF(ROUND(INDEX('Useful Life &amp; SG&amp;A Build'!$A$9:$B$12,3,2),0)+$A53&lt;E$42,0,IF(ROUND(INDEX('Useful Life &amp; SG&amp;A Build'!$A$9:$B$12,3,2),0)+$A53=E$42,0.5*IFERROR(#REF!/INDEX('Useful Life &amp; SG&amp;A Build'!$A$9:$B$12,3,2),0),IFERROR(#REF!/INDEX('Useful Life &amp; SG&amp;A Build'!$A$9:$B$12,3,2),0))))</f>
        <v>0</v>
      </c>
      <c r="F53" s="563">
        <f>-IF($A53+1&gt;F$42,0,IF(ROUND(INDEX('Useful Life &amp; SG&amp;A Build'!$A$9:$B$12,3,2),0)+$A53&lt;F$42,0,IF(ROUND(INDEX('Useful Life &amp; SG&amp;A Build'!$A$9:$B$12,3,2),0)+$A53=F$42,0.5*IFERROR(#REF!/INDEX('Useful Life &amp; SG&amp;A Build'!$A$9:$B$12,3,2),0),IFERROR(#REF!/INDEX('Useful Life &amp; SG&amp;A Build'!$A$9:$B$12,3,2),0))))</f>
        <v>0</v>
      </c>
      <c r="G53" s="563">
        <f>-IF($A53+1&gt;G$42,0,IF(ROUND(INDEX('Useful Life &amp; SG&amp;A Build'!$A$9:$B$12,3,2),0)+$A53&lt;G$42,0,IF(ROUND(INDEX('Useful Life &amp; SG&amp;A Build'!$A$9:$B$12,3,2),0)+$A53=G$42,0.5*IFERROR(#REF!/INDEX('Useful Life &amp; SG&amp;A Build'!$A$9:$B$12,3,2),0),IFERROR(#REF!/INDEX('Useful Life &amp; SG&amp;A Build'!$A$9:$B$12,3,2),0))))</f>
        <v>0</v>
      </c>
      <c r="H53" s="563">
        <f>-IF($A53+1&gt;H$42,0,IF(ROUND(INDEX('Useful Life &amp; SG&amp;A Build'!$A$9:$B$12,3,2),0)+$A53&lt;H$42,0,IF(ROUND(INDEX('Useful Life &amp; SG&amp;A Build'!$A$9:$B$12,3,2),0)+$A53=H$42,0.5*IFERROR(#REF!/INDEX('Useful Life &amp; SG&amp;A Build'!$A$9:$B$12,3,2),0),IFERROR(#REF!/INDEX('Useful Life &amp; SG&amp;A Build'!$A$9:$B$12,3,2),0))))</f>
        <v>0</v>
      </c>
      <c r="I53" s="563">
        <f>-IF($A53+1&gt;I$42,0,IF(ROUND(INDEX('Useful Life &amp; SG&amp;A Build'!$A$9:$B$12,3,2),0)+$A53&lt;I$42,0,IF(ROUND(INDEX('Useful Life &amp; SG&amp;A Build'!$A$9:$B$12,3,2),0)+$A53=I$42,0.5*IFERROR(#REF!/INDEX('Useful Life &amp; SG&amp;A Build'!$A$9:$B$12,3,2),0),IFERROR(#REF!/INDEX('Useful Life &amp; SG&amp;A Build'!$A$9:$B$12,3,2),0))))</f>
        <v>0</v>
      </c>
      <c r="J53" s="563">
        <f>-IF($A53+1&gt;J$42,0,IF(ROUND(INDEX('Useful Life &amp; SG&amp;A Build'!$A$9:$B$12,3,2),0)+$A53&lt;J$42,0,IF(ROUND(INDEX('Useful Life &amp; SG&amp;A Build'!$A$9:$B$12,3,2),0)+$A53=J$42,0.5*IFERROR(#REF!/INDEX('Useful Life &amp; SG&amp;A Build'!$A$9:$B$12,3,2),0),IFERROR(#REF!/INDEX('Useful Life &amp; SG&amp;A Build'!$A$9:$B$12,3,2),0))))</f>
        <v>0</v>
      </c>
      <c r="K53" s="563">
        <f>-IF($A53+1&gt;K$42,0,IF(ROUND(INDEX('Useful Life &amp; SG&amp;A Build'!$A$9:$B$12,3,2),0)+$A53&lt;K$42,0,IF(ROUND(INDEX('Useful Life &amp; SG&amp;A Build'!$A$9:$B$12,3,2),0)+$A53=K$42,0.5*IFERROR(#REF!/INDEX('Useful Life &amp; SG&amp;A Build'!$A$9:$B$12,3,2),0),IFERROR(#REF!/INDEX('Useful Life &amp; SG&amp;A Build'!$A$9:$B$12,3,2),0))))</f>
        <v>0</v>
      </c>
      <c r="L53" s="563">
        <f>-IF($A53+1&gt;L$42,0,IF(ROUND(INDEX('Useful Life &amp; SG&amp;A Build'!$A$9:$B$12,3,2),0)+$A53&lt;L$42,0,IF(ROUND(INDEX('Useful Life &amp; SG&amp;A Build'!$A$9:$B$12,3,2),0)+$A53=L$42,0.5*IFERROR(#REF!/INDEX('Useful Life &amp; SG&amp;A Build'!$A$9:$B$12,3,2),0),IFERROR(#REF!/INDEX('Useful Life &amp; SG&amp;A Build'!$A$9:$B$12,3,2),0))))</f>
        <v>0</v>
      </c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565"/>
      <c r="AA53" s="263"/>
      <c r="AB53" s="263"/>
    </row>
    <row r="54" spans="1:28" ht="16" x14ac:dyDescent="0.2">
      <c r="A54" s="583">
        <f t="shared" si="3"/>
        <v>2028</v>
      </c>
      <c r="B54" s="563">
        <f>-IF($A54+1&gt;B$42,0,IF(ROUND(INDEX('Useful Life &amp; SG&amp;A Build'!$A$9:$B$12,3,2),0)+$A54&lt;B$42,0,IF(ROUND(INDEX('Useful Life &amp; SG&amp;A Build'!$A$9:$B$12,3,2),0)+$A54=B$42,0.5*IFERROR(#REF!/INDEX('Useful Life &amp; SG&amp;A Build'!$A$9:$B$12,3,2),0),IFERROR(#REF!/INDEX('Useful Life &amp; SG&amp;A Build'!$A$9:$B$12,3,2),0))))</f>
        <v>0</v>
      </c>
      <c r="C54" s="563">
        <f>-IF($A54+1&gt;C$42,0,IF(ROUND(INDEX('Useful Life &amp; SG&amp;A Build'!$A$9:$B$12,3,2),0)+$A54&lt;C$42,0,IF(ROUND(INDEX('Useful Life &amp; SG&amp;A Build'!$A$9:$B$12,3,2),0)+$A54=C$42,0.5*IFERROR(#REF!/INDEX('Useful Life &amp; SG&amp;A Build'!$A$9:$B$12,3,2),0),IFERROR(#REF!/INDEX('Useful Life &amp; SG&amp;A Build'!$A$9:$B$12,3,2),0))))</f>
        <v>0</v>
      </c>
      <c r="D54" s="563">
        <f>-IF($A54+1&gt;D$42,0,IF(ROUND(INDEX('Useful Life &amp; SG&amp;A Build'!$A$9:$B$12,3,2),0)+$A54&lt;D$42,0,IF(ROUND(INDEX('Useful Life &amp; SG&amp;A Build'!$A$9:$B$12,3,2),0)+$A54=D$42,0.5*IFERROR(#REF!/INDEX('Useful Life &amp; SG&amp;A Build'!$A$9:$B$12,3,2),0),IFERROR(#REF!/INDEX('Useful Life &amp; SG&amp;A Build'!$A$9:$B$12,3,2),0))))</f>
        <v>0</v>
      </c>
      <c r="E54" s="563">
        <f>-IF($A54+1&gt;E$42,0,IF(ROUND(INDEX('Useful Life &amp; SG&amp;A Build'!$A$9:$B$12,3,2),0)+$A54&lt;E$42,0,IF(ROUND(INDEX('Useful Life &amp; SG&amp;A Build'!$A$9:$B$12,3,2),0)+$A54=E$42,0.5*IFERROR(#REF!/INDEX('Useful Life &amp; SG&amp;A Build'!$A$9:$B$12,3,2),0),IFERROR(#REF!/INDEX('Useful Life &amp; SG&amp;A Build'!$A$9:$B$12,3,2),0))))</f>
        <v>0</v>
      </c>
      <c r="F54" s="563">
        <f>-IF($A54+1&gt;F$42,0,IF(ROUND(INDEX('Useful Life &amp; SG&amp;A Build'!$A$9:$B$12,3,2),0)+$A54&lt;F$42,0,IF(ROUND(INDEX('Useful Life &amp; SG&amp;A Build'!$A$9:$B$12,3,2),0)+$A54=F$42,0.5*IFERROR(#REF!/INDEX('Useful Life &amp; SG&amp;A Build'!$A$9:$B$12,3,2),0),IFERROR(#REF!/INDEX('Useful Life &amp; SG&amp;A Build'!$A$9:$B$12,3,2),0))))</f>
        <v>0</v>
      </c>
      <c r="G54" s="563">
        <f>-IF($A54+1&gt;G$42,0,IF(ROUND(INDEX('Useful Life &amp; SG&amp;A Build'!$A$9:$B$12,3,2),0)+$A54&lt;G$42,0,IF(ROUND(INDEX('Useful Life &amp; SG&amp;A Build'!$A$9:$B$12,3,2),0)+$A54=G$42,0.5*IFERROR(#REF!/INDEX('Useful Life &amp; SG&amp;A Build'!$A$9:$B$12,3,2),0),IFERROR(#REF!/INDEX('Useful Life &amp; SG&amp;A Build'!$A$9:$B$12,3,2),0))))</f>
        <v>0</v>
      </c>
      <c r="H54" s="563">
        <f>-IF($A54+1&gt;H$42,0,IF(ROUND(INDEX('Useful Life &amp; SG&amp;A Build'!$A$9:$B$12,3,2),0)+$A54&lt;H$42,0,IF(ROUND(INDEX('Useful Life &amp; SG&amp;A Build'!$A$9:$B$12,3,2),0)+$A54=H$42,0.5*IFERROR(#REF!/INDEX('Useful Life &amp; SG&amp;A Build'!$A$9:$B$12,3,2),0),IFERROR(#REF!/INDEX('Useful Life &amp; SG&amp;A Build'!$A$9:$B$12,3,2),0))))</f>
        <v>0</v>
      </c>
      <c r="I54" s="563">
        <f>-IF($A54+1&gt;I$42,0,IF(ROUND(INDEX('Useful Life &amp; SG&amp;A Build'!$A$9:$B$12,3,2),0)+$A54&lt;I$42,0,IF(ROUND(INDEX('Useful Life &amp; SG&amp;A Build'!$A$9:$B$12,3,2),0)+$A54=I$42,0.5*IFERROR(#REF!/INDEX('Useful Life &amp; SG&amp;A Build'!$A$9:$B$12,3,2),0),IFERROR(#REF!/INDEX('Useful Life &amp; SG&amp;A Build'!$A$9:$B$12,3,2),0))))</f>
        <v>0</v>
      </c>
      <c r="J54" s="563">
        <f>-IF($A54+1&gt;J$42,0,IF(ROUND(INDEX('Useful Life &amp; SG&amp;A Build'!$A$9:$B$12,3,2),0)+$A54&lt;J$42,0,IF(ROUND(INDEX('Useful Life &amp; SG&amp;A Build'!$A$9:$B$12,3,2),0)+$A54=J$42,0.5*IFERROR(#REF!/INDEX('Useful Life &amp; SG&amp;A Build'!$A$9:$B$12,3,2),0),IFERROR(#REF!/INDEX('Useful Life &amp; SG&amp;A Build'!$A$9:$B$12,3,2),0))))</f>
        <v>0</v>
      </c>
      <c r="K54" s="563">
        <f>-IF($A54+1&gt;K$42,0,IF(ROUND(INDEX('Useful Life &amp; SG&amp;A Build'!$A$9:$B$12,3,2),0)+$A54&lt;K$42,0,IF(ROUND(INDEX('Useful Life &amp; SG&amp;A Build'!$A$9:$B$12,3,2),0)+$A54=K$42,0.5*IFERROR(#REF!/INDEX('Useful Life &amp; SG&amp;A Build'!$A$9:$B$12,3,2),0),IFERROR(#REF!/INDEX('Useful Life &amp; SG&amp;A Build'!$A$9:$B$12,3,2),0))))</f>
        <v>0</v>
      </c>
      <c r="L54" s="563">
        <f>-IF($A54+1&gt;L$42,0,IF(ROUND(INDEX('Useful Life &amp; SG&amp;A Build'!$A$9:$B$12,3,2),0)+$A54&lt;L$42,0,IF(ROUND(INDEX('Useful Life &amp; SG&amp;A Build'!$A$9:$B$12,3,2),0)+$A54=L$42,0.5*IFERROR(#REF!/INDEX('Useful Life &amp; SG&amp;A Build'!$A$9:$B$12,3,2),0),IFERROR(#REF!/INDEX('Useful Life &amp; SG&amp;A Build'!$A$9:$B$12,3,2),0))))</f>
        <v>0</v>
      </c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565"/>
      <c r="AA54" s="263"/>
      <c r="AB54" s="263"/>
    </row>
    <row r="55" spans="1:28" ht="16" x14ac:dyDescent="0.2">
      <c r="A55" s="583">
        <f t="shared" si="3"/>
        <v>2029</v>
      </c>
      <c r="B55" s="563">
        <f>-IF($A55+1&gt;B$42,0,IF(ROUND(INDEX('Useful Life &amp; SG&amp;A Build'!$A$9:$B$12,3,2),0)+$A55&lt;B$42,0,IF(ROUND(INDEX('Useful Life &amp; SG&amp;A Build'!$A$9:$B$12,3,2),0)+$A55=B$42,0.5*IFERROR(#REF!/INDEX('Useful Life &amp; SG&amp;A Build'!$A$9:$B$12,3,2),0),IFERROR(#REF!/INDEX('Useful Life &amp; SG&amp;A Build'!$A$9:$B$12,3,2),0))))</f>
        <v>0</v>
      </c>
      <c r="C55" s="563">
        <f>-IF($A55+1&gt;C$42,0,IF(ROUND(INDEX('Useful Life &amp; SG&amp;A Build'!$A$9:$B$12,3,2),0)+$A55&lt;C$42,0,IF(ROUND(INDEX('Useful Life &amp; SG&amp;A Build'!$A$9:$B$12,3,2),0)+$A55=C$42,0.5*IFERROR(#REF!/INDEX('Useful Life &amp; SG&amp;A Build'!$A$9:$B$12,3,2),0),IFERROR(#REF!/INDEX('Useful Life &amp; SG&amp;A Build'!$A$9:$B$12,3,2),0))))</f>
        <v>0</v>
      </c>
      <c r="D55" s="563">
        <f>-IF($A55+1&gt;D$42,0,IF(ROUND(INDEX('Useful Life &amp; SG&amp;A Build'!$A$9:$B$12,3,2),0)+$A55&lt;D$42,0,IF(ROUND(INDEX('Useful Life &amp; SG&amp;A Build'!$A$9:$B$12,3,2),0)+$A55=D$42,0.5*IFERROR(#REF!/INDEX('Useful Life &amp; SG&amp;A Build'!$A$9:$B$12,3,2),0),IFERROR(#REF!/INDEX('Useful Life &amp; SG&amp;A Build'!$A$9:$B$12,3,2),0))))</f>
        <v>0</v>
      </c>
      <c r="E55" s="563">
        <f>-IF($A55+1&gt;E$42,0,IF(ROUND(INDEX('Useful Life &amp; SG&amp;A Build'!$A$9:$B$12,3,2),0)+$A55&lt;E$42,0,IF(ROUND(INDEX('Useful Life &amp; SG&amp;A Build'!$A$9:$B$12,3,2),0)+$A55=E$42,0.5*IFERROR(#REF!/INDEX('Useful Life &amp; SG&amp;A Build'!$A$9:$B$12,3,2),0),IFERROR(#REF!/INDEX('Useful Life &amp; SG&amp;A Build'!$A$9:$B$12,3,2),0))))</f>
        <v>0</v>
      </c>
      <c r="F55" s="563">
        <f>-IF($A55+1&gt;F$42,0,IF(ROUND(INDEX('Useful Life &amp; SG&amp;A Build'!$A$9:$B$12,3,2),0)+$A55&lt;F$42,0,IF(ROUND(INDEX('Useful Life &amp; SG&amp;A Build'!$A$9:$B$12,3,2),0)+$A55=F$42,0.5*IFERROR(#REF!/INDEX('Useful Life &amp; SG&amp;A Build'!$A$9:$B$12,3,2),0),IFERROR(#REF!/INDEX('Useful Life &amp; SG&amp;A Build'!$A$9:$B$12,3,2),0))))</f>
        <v>0</v>
      </c>
      <c r="G55" s="563">
        <f>-IF($A55+1&gt;G$42,0,IF(ROUND(INDEX('Useful Life &amp; SG&amp;A Build'!$A$9:$B$12,3,2),0)+$A55&lt;G$42,0,IF(ROUND(INDEX('Useful Life &amp; SG&amp;A Build'!$A$9:$B$12,3,2),0)+$A55=G$42,0.5*IFERROR(#REF!/INDEX('Useful Life &amp; SG&amp;A Build'!$A$9:$B$12,3,2),0),IFERROR(#REF!/INDEX('Useful Life &amp; SG&amp;A Build'!$A$9:$B$12,3,2),0))))</f>
        <v>0</v>
      </c>
      <c r="H55" s="563">
        <f>-IF($A55+1&gt;H$42,0,IF(ROUND(INDEX('Useful Life &amp; SG&amp;A Build'!$A$9:$B$12,3,2),0)+$A55&lt;H$42,0,IF(ROUND(INDEX('Useful Life &amp; SG&amp;A Build'!$A$9:$B$12,3,2),0)+$A55=H$42,0.5*IFERROR(#REF!/INDEX('Useful Life &amp; SG&amp;A Build'!$A$9:$B$12,3,2),0),IFERROR(#REF!/INDEX('Useful Life &amp; SG&amp;A Build'!$A$9:$B$12,3,2),0))))</f>
        <v>0</v>
      </c>
      <c r="I55" s="563">
        <f>-IF($A55+1&gt;I$42,0,IF(ROUND(INDEX('Useful Life &amp; SG&amp;A Build'!$A$9:$B$12,3,2),0)+$A55&lt;I$42,0,IF(ROUND(INDEX('Useful Life &amp; SG&amp;A Build'!$A$9:$B$12,3,2),0)+$A55=I$42,0.5*IFERROR(#REF!/INDEX('Useful Life &amp; SG&amp;A Build'!$A$9:$B$12,3,2),0),IFERROR(#REF!/INDEX('Useful Life &amp; SG&amp;A Build'!$A$9:$B$12,3,2),0))))</f>
        <v>0</v>
      </c>
      <c r="J55" s="563">
        <f>-IF($A55+1&gt;J$42,0,IF(ROUND(INDEX('Useful Life &amp; SG&amp;A Build'!$A$9:$B$12,3,2),0)+$A55&lt;J$42,0,IF(ROUND(INDEX('Useful Life &amp; SG&amp;A Build'!$A$9:$B$12,3,2),0)+$A55=J$42,0.5*IFERROR(#REF!/INDEX('Useful Life &amp; SG&amp;A Build'!$A$9:$B$12,3,2),0),IFERROR(#REF!/INDEX('Useful Life &amp; SG&amp;A Build'!$A$9:$B$12,3,2),0))))</f>
        <v>0</v>
      </c>
      <c r="K55" s="563">
        <f>-IF($A55+1&gt;K$42,0,IF(ROUND(INDEX('Useful Life &amp; SG&amp;A Build'!$A$9:$B$12,3,2),0)+$A55&lt;K$42,0,IF(ROUND(INDEX('Useful Life &amp; SG&amp;A Build'!$A$9:$B$12,3,2),0)+$A55=K$42,0.5*IFERROR(#REF!/INDEX('Useful Life &amp; SG&amp;A Build'!$A$9:$B$12,3,2),0),IFERROR(#REF!/INDEX('Useful Life &amp; SG&amp;A Build'!$A$9:$B$12,3,2),0))))</f>
        <v>0</v>
      </c>
      <c r="L55" s="563">
        <f>-IF($A55+1&gt;L$42,0,IF(ROUND(INDEX('Useful Life &amp; SG&amp;A Build'!$A$9:$B$12,3,2),0)+$A55&lt;L$42,0,IF(ROUND(INDEX('Useful Life &amp; SG&amp;A Build'!$A$9:$B$12,3,2),0)+$A55=L$42,0.5*IFERROR(#REF!/INDEX('Useful Life &amp; SG&amp;A Build'!$A$9:$B$12,3,2),0),IFERROR(#REF!/INDEX('Useful Life &amp; SG&amp;A Build'!$A$9:$B$12,3,2),0))))</f>
        <v>0</v>
      </c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565"/>
      <c r="AA55" s="263"/>
      <c r="AB55" s="263"/>
    </row>
    <row r="56" spans="1:28" ht="16" x14ac:dyDescent="0.2">
      <c r="A56" s="583">
        <f t="shared" si="3"/>
        <v>2030</v>
      </c>
      <c r="B56" s="563">
        <f>-IF($A56+1&gt;B$42,0,IF(ROUND(INDEX('Useful Life &amp; SG&amp;A Build'!$A$9:$B$12,3,2),0)+$A56&lt;B$42,0,IF(ROUND(INDEX('Useful Life &amp; SG&amp;A Build'!$A$9:$B$12,3,2),0)+$A56=B$42,0.5*IFERROR(#REF!/INDEX('Useful Life &amp; SG&amp;A Build'!$A$9:$B$12,3,2),0),IFERROR(#REF!/INDEX('Useful Life &amp; SG&amp;A Build'!$A$9:$B$12,3,2),0))))</f>
        <v>0</v>
      </c>
      <c r="C56" s="563">
        <f>-IF($A56+1&gt;C$42,0,IF(ROUND(INDEX('Useful Life &amp; SG&amp;A Build'!$A$9:$B$12,3,2),0)+$A56&lt;C$42,0,IF(ROUND(INDEX('Useful Life &amp; SG&amp;A Build'!$A$9:$B$12,3,2),0)+$A56=C$42,0.5*IFERROR(#REF!/INDEX('Useful Life &amp; SG&amp;A Build'!$A$9:$B$12,3,2),0),IFERROR(#REF!/INDEX('Useful Life &amp; SG&amp;A Build'!$A$9:$B$12,3,2),0))))</f>
        <v>0</v>
      </c>
      <c r="D56" s="563">
        <f>-IF($A56+1&gt;D$42,0,IF(ROUND(INDEX('Useful Life &amp; SG&amp;A Build'!$A$9:$B$12,3,2),0)+$A56&lt;D$42,0,IF(ROUND(INDEX('Useful Life &amp; SG&amp;A Build'!$A$9:$B$12,3,2),0)+$A56=D$42,0.5*IFERROR(#REF!/INDEX('Useful Life &amp; SG&amp;A Build'!$A$9:$B$12,3,2),0),IFERROR(#REF!/INDEX('Useful Life &amp; SG&amp;A Build'!$A$9:$B$12,3,2),0))))</f>
        <v>0</v>
      </c>
      <c r="E56" s="563">
        <f>-IF($A56+1&gt;E$42,0,IF(ROUND(INDEX('Useful Life &amp; SG&amp;A Build'!$A$9:$B$12,3,2),0)+$A56&lt;E$42,0,IF(ROUND(INDEX('Useful Life &amp; SG&amp;A Build'!$A$9:$B$12,3,2),0)+$A56=E$42,0.5*IFERROR(#REF!/INDEX('Useful Life &amp; SG&amp;A Build'!$A$9:$B$12,3,2),0),IFERROR(#REF!/INDEX('Useful Life &amp; SG&amp;A Build'!$A$9:$B$12,3,2),0))))</f>
        <v>0</v>
      </c>
      <c r="F56" s="563">
        <f>-IF($A56+1&gt;F$42,0,IF(ROUND(INDEX('Useful Life &amp; SG&amp;A Build'!$A$9:$B$12,3,2),0)+$A56&lt;F$42,0,IF(ROUND(INDEX('Useful Life &amp; SG&amp;A Build'!$A$9:$B$12,3,2),0)+$A56=F$42,0.5*IFERROR(#REF!/INDEX('Useful Life &amp; SG&amp;A Build'!$A$9:$B$12,3,2),0),IFERROR(#REF!/INDEX('Useful Life &amp; SG&amp;A Build'!$A$9:$B$12,3,2),0))))</f>
        <v>0</v>
      </c>
      <c r="G56" s="563">
        <f>-IF($A56+1&gt;G$42,0,IF(ROUND(INDEX('Useful Life &amp; SG&amp;A Build'!$A$9:$B$12,3,2),0)+$A56&lt;G$42,0,IF(ROUND(INDEX('Useful Life &amp; SG&amp;A Build'!$A$9:$B$12,3,2),0)+$A56=G$42,0.5*IFERROR(#REF!/INDEX('Useful Life &amp; SG&amp;A Build'!$A$9:$B$12,3,2),0),IFERROR(#REF!/INDEX('Useful Life &amp; SG&amp;A Build'!$A$9:$B$12,3,2),0))))</f>
        <v>0</v>
      </c>
      <c r="H56" s="563">
        <f>-IF($A56+1&gt;H$42,0,IF(ROUND(INDEX('Useful Life &amp; SG&amp;A Build'!$A$9:$B$12,3,2),0)+$A56&lt;H$42,0,IF(ROUND(INDEX('Useful Life &amp; SG&amp;A Build'!$A$9:$B$12,3,2),0)+$A56=H$42,0.5*IFERROR(#REF!/INDEX('Useful Life &amp; SG&amp;A Build'!$A$9:$B$12,3,2),0),IFERROR(#REF!/INDEX('Useful Life &amp; SG&amp;A Build'!$A$9:$B$12,3,2),0))))</f>
        <v>0</v>
      </c>
      <c r="I56" s="563">
        <f>-IF($A56+1&gt;I$42,0,IF(ROUND(INDEX('Useful Life &amp; SG&amp;A Build'!$A$9:$B$12,3,2),0)+$A56&lt;I$42,0,IF(ROUND(INDEX('Useful Life &amp; SG&amp;A Build'!$A$9:$B$12,3,2),0)+$A56=I$42,0.5*IFERROR(#REF!/INDEX('Useful Life &amp; SG&amp;A Build'!$A$9:$B$12,3,2),0),IFERROR(#REF!/INDEX('Useful Life &amp; SG&amp;A Build'!$A$9:$B$12,3,2),0))))</f>
        <v>0</v>
      </c>
      <c r="J56" s="563">
        <f>-IF($A56+1&gt;J$42,0,IF(ROUND(INDEX('Useful Life &amp; SG&amp;A Build'!$A$9:$B$12,3,2),0)+$A56&lt;J$42,0,IF(ROUND(INDEX('Useful Life &amp; SG&amp;A Build'!$A$9:$B$12,3,2),0)+$A56=J$42,0.5*IFERROR(#REF!/INDEX('Useful Life &amp; SG&amp;A Build'!$A$9:$B$12,3,2),0),IFERROR(#REF!/INDEX('Useful Life &amp; SG&amp;A Build'!$A$9:$B$12,3,2),0))))</f>
        <v>0</v>
      </c>
      <c r="K56" s="563">
        <f>-IF($A56+1&gt;K$42,0,IF(ROUND(INDEX('Useful Life &amp; SG&amp;A Build'!$A$9:$B$12,3,2),0)+$A56&lt;K$42,0,IF(ROUND(INDEX('Useful Life &amp; SG&amp;A Build'!$A$9:$B$12,3,2),0)+$A56=K$42,0.5*IFERROR(#REF!/INDEX('Useful Life &amp; SG&amp;A Build'!$A$9:$B$12,3,2),0),IFERROR(#REF!/INDEX('Useful Life &amp; SG&amp;A Build'!$A$9:$B$12,3,2),0))))</f>
        <v>0</v>
      </c>
      <c r="L56" s="563">
        <f>-IF($A56+1&gt;L$42,0,IF(ROUND(INDEX('Useful Life &amp; SG&amp;A Build'!$A$9:$B$12,3,2),0)+$A56&lt;L$42,0,IF(ROUND(INDEX('Useful Life &amp; SG&amp;A Build'!$A$9:$B$12,3,2),0)+$A56=L$42,0.5*IFERROR(#REF!/INDEX('Useful Life &amp; SG&amp;A Build'!$A$9:$B$12,3,2),0),IFERROR(#REF!/INDEX('Useful Life &amp; SG&amp;A Build'!$A$9:$B$12,3,2),0))))</f>
        <v>0</v>
      </c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565"/>
      <c r="AA56" s="263"/>
      <c r="AB56" s="263"/>
    </row>
    <row r="57" spans="1:28" ht="16" x14ac:dyDescent="0.2">
      <c r="A57" s="562"/>
      <c r="B57" s="563"/>
      <c r="C57" s="564"/>
      <c r="D57" s="564"/>
      <c r="E57" s="564"/>
      <c r="F57" s="564"/>
      <c r="G57" s="564"/>
      <c r="H57" s="564"/>
      <c r="I57" s="564"/>
      <c r="J57" s="564"/>
      <c r="K57" s="564"/>
      <c r="L57" s="564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565"/>
      <c r="AA57" s="263"/>
      <c r="AB57" s="263"/>
    </row>
    <row r="58" spans="1:28" ht="16" x14ac:dyDescent="0.2">
      <c r="A58" s="263"/>
      <c r="B58" s="263"/>
      <c r="C58" s="309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263"/>
      <c r="Y58" s="263"/>
      <c r="Z58" s="565"/>
      <c r="AA58" s="263"/>
      <c r="AB58" s="263"/>
    </row>
    <row r="59" spans="1:28" ht="16" x14ac:dyDescent="0.2">
      <c r="A59" s="263"/>
      <c r="B59" s="263"/>
      <c r="C59" s="309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565"/>
      <c r="AA59" s="263"/>
      <c r="AB59" s="263"/>
    </row>
    <row r="60" spans="1:28" ht="16" x14ac:dyDescent="0.2">
      <c r="A60" s="582" t="s">
        <v>484</v>
      </c>
      <c r="B60" s="584">
        <v>2021</v>
      </c>
      <c r="C60" s="584">
        <v>2022</v>
      </c>
      <c r="D60" s="584">
        <v>2023</v>
      </c>
      <c r="E60" s="584">
        <v>2024</v>
      </c>
      <c r="F60" s="584">
        <v>2025</v>
      </c>
      <c r="G60" s="584">
        <v>2026</v>
      </c>
      <c r="H60" s="584">
        <v>2027</v>
      </c>
      <c r="I60" s="584">
        <v>2028</v>
      </c>
      <c r="J60" s="584">
        <v>2029</v>
      </c>
      <c r="K60" s="584">
        <v>2030</v>
      </c>
      <c r="L60" s="584">
        <v>2031</v>
      </c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565"/>
      <c r="AA60" s="263"/>
      <c r="AB60" s="263"/>
    </row>
    <row r="61" spans="1:28" ht="16" x14ac:dyDescent="0.2">
      <c r="A61" s="583">
        <v>2017</v>
      </c>
      <c r="B61" s="563">
        <f>IF($A61+1&gt;B$60,0,IF(ROUND(INDEX('Useful Life &amp; SG&amp;A Build'!$A$9:$B$12,4,2),0)+$A61&lt;B$60,0,IF(ROUND(INDEX('Useful Life &amp; SG&amp;A Build'!$A$9:$B$12,4,2),0)+$A61=B$60,0.5*IFERROR(INDEX('Useful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77.111111111111114</v>
      </c>
      <c r="C61" s="563">
        <f>IF($A61+1&gt;C$60,0,IF(ROUND(INDEX('Useful Life &amp; SG&amp;A Build'!$A$9:$B$12,4,2),0)+$A61&lt;C$60,0,IF(ROUND(INDEX('Useful Life &amp; SG&amp;A Build'!$A$9:$B$12,4,2),0)+$A61=C$60,0.5*IFERROR(INDEX('Useful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38.555555555555557</v>
      </c>
      <c r="D61" s="563">
        <f>IF($A61+1&gt;D$60,0,IF(ROUND(INDEX('Useful Life &amp; SG&amp;A Build'!$A$9:$B$12,4,2),0)+$A61&lt;D$60,0,IF(ROUND(INDEX('Useful Life &amp; SG&amp;A Build'!$A$9:$B$12,4,2),0)+$A61=D$60,0.5*IFERROR(INDEX('Useful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E61" s="563">
        <f>IF($A61+1&gt;E$60,0,IF(ROUND(INDEX('Useful Life &amp; SG&amp;A Build'!$A$9:$B$12,4,2),0)+$A61&lt;E$60,0,IF(ROUND(INDEX('Useful Life &amp; SG&amp;A Build'!$A$9:$B$12,4,2),0)+$A61=E$60,0.5*IFERROR(INDEX('Useful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F61" s="563">
        <f>IF($A61+1&gt;F$60,0,IF(ROUND(INDEX('Useful Life &amp; SG&amp;A Build'!$A$9:$B$12,4,2),0)+$A61&lt;F$60,0,IF(ROUND(INDEX('Useful Life &amp; SG&amp;A Build'!$A$9:$B$12,4,2),0)+$A61=F$60,0.5*IFERROR(INDEX('Useful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G61" s="563">
        <f>IF($A61+1&gt;G$60,0,IF(ROUND(INDEX('Useful Life &amp; SG&amp;A Build'!$A$9:$B$12,4,2),0)+$A61&lt;G$60,0,IF(ROUND(INDEX('Useful Life &amp; SG&amp;A Build'!$A$9:$B$12,4,2),0)+$A61=G$60,0.5*IFERROR(INDEX('Useful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H61" s="563">
        <f>IF($A61+1&gt;H$60,0,IF(ROUND(INDEX('Useful Life &amp; SG&amp;A Build'!$A$9:$B$12,4,2),0)+$A61&lt;H$60,0,IF(ROUND(INDEX('Useful Life &amp; SG&amp;A Build'!$A$9:$B$12,4,2),0)+$A61=H$60,0.5*IFERROR(INDEX('Useful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I61" s="563">
        <f>IF($A61+1&gt;I$60,0,IF(ROUND(INDEX('Useful Life &amp; SG&amp;A Build'!$A$9:$B$12,4,2),0)+$A61&lt;I$60,0,IF(ROUND(INDEX('Useful Life &amp; SG&amp;A Build'!$A$9:$B$12,4,2),0)+$A61=I$60,0.5*IFERROR(INDEX('Useful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J61" s="563">
        <f>IF($A61+1&gt;J$60,0,IF(ROUND(INDEX('Useful Life &amp; SG&amp;A Build'!$A$9:$B$12,4,2),0)+$A61&lt;J$60,0,IF(ROUND(INDEX('Useful Life &amp; SG&amp;A Build'!$A$9:$B$12,4,2),0)+$A61=J$60,0.5*IFERROR(INDEX('Useful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K61" s="563">
        <f>IF($A61+1&gt;K$60,0,IF(ROUND(INDEX('Useful Life &amp; SG&amp;A Build'!$A$9:$B$12,4,2),0)+$A61&lt;K$60,0,IF(ROUND(INDEX('Useful Life &amp; SG&amp;A Build'!$A$9:$B$12,4,2),0)+$A61=K$60,0.5*IFERROR(INDEX('Useful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L61" s="563">
        <f>IF($A61+1&gt;L$60,0,IF(ROUND(INDEX('Useful Life &amp; SG&amp;A Build'!$A$9:$B$12,4,2),0)+$A61&lt;L$60,0,IF(ROUND(INDEX('Useful Life &amp; SG&amp;A Build'!$A$9:$B$12,4,2),0)+$A61=L$60,0.5*IFERROR(INDEX('Useful Life &amp; SG&amp;A Build'!$A$3:$K$6,4,MATCH($A61,'Useful Life &amp; SG&amp;A Build'!$A$3:$K$3,0))/INDEX('Useful Life &amp; SG&amp;A Build'!$A$9:$B$12,4,2),0),IFERROR(INDEX('Useful Life &amp; SG&amp;A Build'!$A$3:$K$6,4,MATCH($A61,'Useful Life &amp; SG&amp;A Build'!$A$3:$K$3,0))/INDEX('Useful Life &amp; SG&amp;A Build'!$A$9:$B$12,4,2),0))))</f>
        <v>0</v>
      </c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565"/>
      <c r="AA61" s="263"/>
      <c r="AB61" s="263"/>
    </row>
    <row r="62" spans="1:28" ht="16" x14ac:dyDescent="0.2">
      <c r="A62" s="583">
        <f>A61+1</f>
        <v>2018</v>
      </c>
      <c r="B62" s="563">
        <f>IF($A62+1&gt;B$60,0,IF(ROUND(INDEX('Useful Life &amp; SG&amp;A Build'!$A$9:$B$12,4,2),0)+$A62&lt;B$60,0,IF(ROUND(INDEX('Useful Life &amp; SG&amp;A Build'!$A$9:$B$12,4,2),0)+$A62=B$60,0.5*IFERROR(INDEX('Useful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94.444444444444443</v>
      </c>
      <c r="C62" s="563">
        <f>IF($A62+1&gt;C$60,0,IF(ROUND(INDEX('Useful Life &amp; SG&amp;A Build'!$A$9:$B$12,4,2),0)+$A62&lt;C$60,0,IF(ROUND(INDEX('Useful Life &amp; SG&amp;A Build'!$A$9:$B$12,4,2),0)+$A62=C$60,0.5*IFERROR(INDEX('Useful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94.444444444444443</v>
      </c>
      <c r="D62" s="563">
        <f>IF($A62+1&gt;D$60,0,IF(ROUND(INDEX('Useful Life &amp; SG&amp;A Build'!$A$9:$B$12,4,2),0)+$A62&lt;D$60,0,IF(ROUND(INDEX('Useful Life &amp; SG&amp;A Build'!$A$9:$B$12,4,2),0)+$A62=D$60,0.5*IFERROR(INDEX('Useful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47.222222222222221</v>
      </c>
      <c r="E62" s="563">
        <f>IF($A62+1&gt;E$60,0,IF(ROUND(INDEX('Useful Life &amp; SG&amp;A Build'!$A$9:$B$12,4,2),0)+$A62&lt;E$60,0,IF(ROUND(INDEX('Useful Life &amp; SG&amp;A Build'!$A$9:$B$12,4,2),0)+$A62=E$60,0.5*IFERROR(INDEX('Useful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F62" s="563">
        <f>IF($A62+1&gt;F$60,0,IF(ROUND(INDEX('Useful Life &amp; SG&amp;A Build'!$A$9:$B$12,4,2),0)+$A62&lt;F$60,0,IF(ROUND(INDEX('Useful Life &amp; SG&amp;A Build'!$A$9:$B$12,4,2),0)+$A62=F$60,0.5*IFERROR(INDEX('Useful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G62" s="563">
        <f>IF($A62+1&gt;G$60,0,IF(ROUND(INDEX('Useful Life &amp; SG&amp;A Build'!$A$9:$B$12,4,2),0)+$A62&lt;G$60,0,IF(ROUND(INDEX('Useful Life &amp; SG&amp;A Build'!$A$9:$B$12,4,2),0)+$A62=G$60,0.5*IFERROR(INDEX('Useful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H62" s="563">
        <f>IF($A62+1&gt;H$60,0,IF(ROUND(INDEX('Useful Life &amp; SG&amp;A Build'!$A$9:$B$12,4,2),0)+$A62&lt;H$60,0,IF(ROUND(INDEX('Useful Life &amp; SG&amp;A Build'!$A$9:$B$12,4,2),0)+$A62=H$60,0.5*IFERROR(INDEX('Useful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I62" s="563">
        <f>IF($A62+1&gt;I$60,0,IF(ROUND(INDEX('Useful Life &amp; SG&amp;A Build'!$A$9:$B$12,4,2),0)+$A62&lt;I$60,0,IF(ROUND(INDEX('Useful Life &amp; SG&amp;A Build'!$A$9:$B$12,4,2),0)+$A62=I$60,0.5*IFERROR(INDEX('Useful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J62" s="563">
        <f>IF($A62+1&gt;J$60,0,IF(ROUND(INDEX('Useful Life &amp; SG&amp;A Build'!$A$9:$B$12,4,2),0)+$A62&lt;J$60,0,IF(ROUND(INDEX('Useful Life &amp; SG&amp;A Build'!$A$9:$B$12,4,2),0)+$A62=J$60,0.5*IFERROR(INDEX('Useful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K62" s="563">
        <f>IF($A62+1&gt;K$60,0,IF(ROUND(INDEX('Useful Life &amp; SG&amp;A Build'!$A$9:$B$12,4,2),0)+$A62&lt;K$60,0,IF(ROUND(INDEX('Useful Life &amp; SG&amp;A Build'!$A$9:$B$12,4,2),0)+$A62=K$60,0.5*IFERROR(INDEX('Useful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L62" s="563">
        <f>IF($A62+1&gt;L$60,0,IF(ROUND(INDEX('Useful Life &amp; SG&amp;A Build'!$A$9:$B$12,4,2),0)+$A62&lt;L$60,0,IF(ROUND(INDEX('Useful Life &amp; SG&amp;A Build'!$A$9:$B$12,4,2),0)+$A62=L$60,0.5*IFERROR(INDEX('Useful Life &amp; SG&amp;A Build'!$A$3:$K$6,4,MATCH($A62,'Useful Life &amp; SG&amp;A Build'!$A$3:$K$3,0))/INDEX('Useful Life &amp; SG&amp;A Build'!$A$9:$B$12,4,2),0),IFERROR(INDEX('Useful Life &amp; SG&amp;A Build'!$A$3:$K$6,4,MATCH($A62,'Useful Life &amp; SG&amp;A Build'!$A$3:$K$3,0))/INDEX('Useful Life &amp; SG&amp;A Build'!$A$9:$B$12,4,2),0))))</f>
        <v>0</v>
      </c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565"/>
      <c r="AA62" s="263"/>
      <c r="AB62" s="263"/>
    </row>
    <row r="63" spans="1:28" ht="16" x14ac:dyDescent="0.2">
      <c r="A63" s="583">
        <v>2019</v>
      </c>
      <c r="B63" s="563">
        <f>IF($A63+1&gt;B$60,0,IF(ROUND(INDEX('Useful Life &amp; SG&amp;A Build'!$A$9:$B$12,4,2),0)+$A63&lt;B$60,0,IF(ROUND(INDEX('Useful Life &amp; SG&amp;A Build'!$A$9:$B$12,4,2),0)+$A63=B$60,0.5*IFERROR(INDEX('Useful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99.555555555555557</v>
      </c>
      <c r="C63" s="563">
        <f>IF($A63+1&gt;C$60,0,IF(ROUND(INDEX('Useful Life &amp; SG&amp;A Build'!$A$9:$B$12,4,2),0)+$A63&lt;C$60,0,IF(ROUND(INDEX('Useful Life &amp; SG&amp;A Build'!$A$9:$B$12,4,2),0)+$A63=C$60,0.5*IFERROR(INDEX('Useful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99.555555555555557</v>
      </c>
      <c r="D63" s="563">
        <f>IF($A63+1&gt;D$60,0,IF(ROUND(INDEX('Useful Life &amp; SG&amp;A Build'!$A$9:$B$12,4,2),0)+$A63&lt;D$60,0,IF(ROUND(INDEX('Useful Life &amp; SG&amp;A Build'!$A$9:$B$12,4,2),0)+$A63=D$60,0.5*IFERROR(INDEX('Useful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99.555555555555557</v>
      </c>
      <c r="E63" s="563">
        <f>IF($A63+1&gt;E$60,0,IF(ROUND(INDEX('Useful Life &amp; SG&amp;A Build'!$A$9:$B$12,4,2),0)+$A63&lt;E$60,0,IF(ROUND(INDEX('Useful Life &amp; SG&amp;A Build'!$A$9:$B$12,4,2),0)+$A63=E$60,0.5*IFERROR(INDEX('Useful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49.777777777777779</v>
      </c>
      <c r="F63" s="563">
        <f>IF($A63+1&gt;F$60,0,IF(ROUND(INDEX('Useful Life &amp; SG&amp;A Build'!$A$9:$B$12,4,2),0)+$A63&lt;F$60,0,IF(ROUND(INDEX('Useful Life &amp; SG&amp;A Build'!$A$9:$B$12,4,2),0)+$A63=F$60,0.5*IFERROR(INDEX('Useful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G63" s="563">
        <f>IF($A63+1&gt;G$60,0,IF(ROUND(INDEX('Useful Life &amp; SG&amp;A Build'!$A$9:$B$12,4,2),0)+$A63&lt;G$60,0,IF(ROUND(INDEX('Useful Life &amp; SG&amp;A Build'!$A$9:$B$12,4,2),0)+$A63=G$60,0.5*IFERROR(INDEX('Useful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H63" s="563">
        <f>IF($A63+1&gt;H$60,0,IF(ROUND(INDEX('Useful Life &amp; SG&amp;A Build'!$A$9:$B$12,4,2),0)+$A63&lt;H$60,0,IF(ROUND(INDEX('Useful Life &amp; SG&amp;A Build'!$A$9:$B$12,4,2),0)+$A63=H$60,0.5*IFERROR(INDEX('Useful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I63" s="563">
        <f>IF($A63+1&gt;I$60,0,IF(ROUND(INDEX('Useful Life &amp; SG&amp;A Build'!$A$9:$B$12,4,2),0)+$A63&lt;I$60,0,IF(ROUND(INDEX('Useful Life &amp; SG&amp;A Build'!$A$9:$B$12,4,2),0)+$A63=I$60,0.5*IFERROR(INDEX('Useful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J63" s="563">
        <f>IF($A63+1&gt;J$60,0,IF(ROUND(INDEX('Useful Life &amp; SG&amp;A Build'!$A$9:$B$12,4,2),0)+$A63&lt;J$60,0,IF(ROUND(INDEX('Useful Life &amp; SG&amp;A Build'!$A$9:$B$12,4,2),0)+$A63=J$60,0.5*IFERROR(INDEX('Useful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K63" s="563">
        <f>IF($A63+1&gt;K$60,0,IF(ROUND(INDEX('Useful Life &amp; SG&amp;A Build'!$A$9:$B$12,4,2),0)+$A63&lt;K$60,0,IF(ROUND(INDEX('Useful Life &amp; SG&amp;A Build'!$A$9:$B$12,4,2),0)+$A63=K$60,0.5*IFERROR(INDEX('Useful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L63" s="563">
        <f>IF($A63+1&gt;L$60,0,IF(ROUND(INDEX('Useful Life &amp; SG&amp;A Build'!$A$9:$B$12,4,2),0)+$A63&lt;L$60,0,IF(ROUND(INDEX('Useful Life &amp; SG&amp;A Build'!$A$9:$B$12,4,2),0)+$A63=L$60,0.5*IFERROR(INDEX('Useful Life &amp; SG&amp;A Build'!$A$3:$K$6,4,MATCH($A63,'Useful Life &amp; SG&amp;A Build'!$A$3:$K$3,0))/INDEX('Useful Life &amp; SG&amp;A Build'!$A$9:$B$12,4,2),0),IFERROR(INDEX('Useful Life &amp; SG&amp;A Build'!$A$3:$K$6,4,MATCH($A63,'Useful Life &amp; SG&amp;A Build'!$A$3:$K$3,0))/INDEX('Useful Life &amp; SG&amp;A Build'!$A$9:$B$12,4,2),0))))</f>
        <v>0</v>
      </c>
      <c r="M63" s="263"/>
      <c r="N63" s="263"/>
      <c r="O63" s="263"/>
      <c r="P63" s="263"/>
      <c r="Q63" s="263"/>
      <c r="R63" s="263"/>
      <c r="S63" s="263"/>
      <c r="T63" s="263"/>
      <c r="U63" s="263"/>
      <c r="V63" s="263"/>
      <c r="W63" s="263"/>
      <c r="X63" s="263"/>
      <c r="Y63" s="263"/>
      <c r="Z63" s="565"/>
      <c r="AA63" s="263"/>
      <c r="AB63" s="263"/>
    </row>
    <row r="64" spans="1:28" ht="16" x14ac:dyDescent="0.2">
      <c r="A64" s="583">
        <f t="shared" ref="A64:A74" si="4">A63+1</f>
        <v>2020</v>
      </c>
      <c r="B64" s="563">
        <f>IF($A64+1&gt;B$60,0,IF(ROUND(INDEX('Useful Life &amp; SG&amp;A Build'!$A$9:$B$12,4,2),0)+$A64&lt;B$60,0,IF(ROUND(INDEX('Useful Life &amp; SG&amp;A Build'!$A$9:$B$12,4,2),0)+$A64=B$60,0.5*IFERROR(INDEX('Useful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95.777777777777771</v>
      </c>
      <c r="C64" s="563">
        <f>IF($A64+1&gt;C$60,0,IF(ROUND(INDEX('Useful Life &amp; SG&amp;A Build'!$A$9:$B$12,4,2),0)+$A64&lt;C$60,0,IF(ROUND(INDEX('Useful Life &amp; SG&amp;A Build'!$A$9:$B$12,4,2),0)+$A64=C$60,0.5*IFERROR(INDEX('Useful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95.777777777777771</v>
      </c>
      <c r="D64" s="563">
        <f>IF($A64+1&gt;D$60,0,IF(ROUND(INDEX('Useful Life &amp; SG&amp;A Build'!$A$9:$B$12,4,2),0)+$A64&lt;D$60,0,IF(ROUND(INDEX('Useful Life &amp; SG&amp;A Build'!$A$9:$B$12,4,2),0)+$A64=D$60,0.5*IFERROR(INDEX('Useful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95.777777777777771</v>
      </c>
      <c r="E64" s="563">
        <f>IF($A64+1&gt;E$60,0,IF(ROUND(INDEX('Useful Life &amp; SG&amp;A Build'!$A$9:$B$12,4,2),0)+$A64&lt;E$60,0,IF(ROUND(INDEX('Useful Life &amp; SG&amp;A Build'!$A$9:$B$12,4,2),0)+$A64=E$60,0.5*IFERROR(INDEX('Useful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95.777777777777771</v>
      </c>
      <c r="F64" s="563">
        <f>IF($A64+1&gt;F$60,0,IF(ROUND(INDEX('Useful Life &amp; SG&amp;A Build'!$A$9:$B$12,4,2),0)+$A64&lt;F$60,0,IF(ROUND(INDEX('Useful Life &amp; SG&amp;A Build'!$A$9:$B$12,4,2),0)+$A64=F$60,0.5*IFERROR(INDEX('Useful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47.888888888888886</v>
      </c>
      <c r="G64" s="563">
        <f>IF($A64+1&gt;G$60,0,IF(ROUND(INDEX('Useful Life &amp; SG&amp;A Build'!$A$9:$B$12,4,2),0)+$A64&lt;G$60,0,IF(ROUND(INDEX('Useful Life &amp; SG&amp;A Build'!$A$9:$B$12,4,2),0)+$A64=G$60,0.5*IFERROR(INDEX('Useful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H64" s="563">
        <f>IF($A64+1&gt;H$60,0,IF(ROUND(INDEX('Useful Life &amp; SG&amp;A Build'!$A$9:$B$12,4,2),0)+$A64&lt;H$60,0,IF(ROUND(INDEX('Useful Life &amp; SG&amp;A Build'!$A$9:$B$12,4,2),0)+$A64=H$60,0.5*IFERROR(INDEX('Useful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I64" s="563">
        <f>IF($A64+1&gt;I$60,0,IF(ROUND(INDEX('Useful Life &amp; SG&amp;A Build'!$A$9:$B$12,4,2),0)+$A64&lt;I$60,0,IF(ROUND(INDEX('Useful Life &amp; SG&amp;A Build'!$A$9:$B$12,4,2),0)+$A64=I$60,0.5*IFERROR(INDEX('Useful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J64" s="563">
        <f>IF($A64+1&gt;J$60,0,IF(ROUND(INDEX('Useful Life &amp; SG&amp;A Build'!$A$9:$B$12,4,2),0)+$A64&lt;J$60,0,IF(ROUND(INDEX('Useful Life &amp; SG&amp;A Build'!$A$9:$B$12,4,2),0)+$A64=J$60,0.5*IFERROR(INDEX('Useful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K64" s="563">
        <f>IF($A64+1&gt;K$60,0,IF(ROUND(INDEX('Useful Life &amp; SG&amp;A Build'!$A$9:$B$12,4,2),0)+$A64&lt;K$60,0,IF(ROUND(INDEX('Useful Life &amp; SG&amp;A Build'!$A$9:$B$12,4,2),0)+$A64=K$60,0.5*IFERROR(INDEX('Useful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L64" s="563">
        <f>IF($A64+1&gt;L$60,0,IF(ROUND(INDEX('Useful Life &amp; SG&amp;A Build'!$A$9:$B$12,4,2),0)+$A64&lt;L$60,0,IF(ROUND(INDEX('Useful Life &amp; SG&amp;A Build'!$A$9:$B$12,4,2),0)+$A64=L$60,0.5*IFERROR(INDEX('Useful Life &amp; SG&amp;A Build'!$A$3:$K$6,4,MATCH($A64,'Useful Life &amp; SG&amp;A Build'!$A$3:$K$3,0))/INDEX('Useful Life &amp; SG&amp;A Build'!$A$9:$B$12,4,2),0),IFERROR(INDEX('Useful Life &amp; SG&amp;A Build'!$A$3:$K$6,4,MATCH($A64,'Useful Life &amp; SG&amp;A Build'!$A$3:$K$3,0))/INDEX('Useful Life &amp; SG&amp;A Build'!$A$9:$B$12,4,2),0))))</f>
        <v>0</v>
      </c>
      <c r="M64" s="263"/>
      <c r="N64" s="263"/>
      <c r="O64" s="263"/>
      <c r="P64" s="263"/>
      <c r="Q64" s="263"/>
      <c r="R64" s="263"/>
      <c r="S64" s="263"/>
      <c r="T64" s="263"/>
      <c r="U64" s="263"/>
      <c r="V64" s="263"/>
      <c r="W64" s="263"/>
      <c r="X64" s="263"/>
      <c r="Y64" s="263"/>
      <c r="Z64" s="565"/>
      <c r="AA64" s="263"/>
      <c r="AB64" s="263"/>
    </row>
    <row r="65" spans="1:28" ht="16" x14ac:dyDescent="0.2">
      <c r="A65" s="583">
        <f t="shared" si="4"/>
        <v>2021</v>
      </c>
      <c r="B65" s="563">
        <f>IF($A65+1&gt;B$60,0,IF(ROUND(INDEX('Useful Life &amp; SG&amp;A Build'!$A$9:$B$12,4,2),0)+$A65&lt;B$60,0,IF(ROUND(INDEX('Useful Life &amp; SG&amp;A Build'!$A$9:$B$12,4,2),0)+$A65=B$60,0.5*IFERROR(INDEX('Useful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C65" s="563">
        <f>IF($A65+1&gt;C$60,0,IF(ROUND(INDEX('Useful Life &amp; SG&amp;A Build'!$A$9:$B$12,4,2),0)+$A65&lt;C$60,0,IF(ROUND(INDEX('Useful Life &amp; SG&amp;A Build'!$A$9:$B$12,4,2),0)+$A65=C$60,0.5*IFERROR(INDEX('Useful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119.77777777777777</v>
      </c>
      <c r="D65" s="563">
        <f>IF($A65+1&gt;D$60,0,IF(ROUND(INDEX('Useful Life &amp; SG&amp;A Build'!$A$9:$B$12,4,2),0)+$A65&lt;D$60,0,IF(ROUND(INDEX('Useful Life &amp; SG&amp;A Build'!$A$9:$B$12,4,2),0)+$A65=D$60,0.5*IFERROR(INDEX('Useful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119.77777777777777</v>
      </c>
      <c r="E65" s="563">
        <f>IF($A65+1&gt;E$60,0,IF(ROUND(INDEX('Useful Life &amp; SG&amp;A Build'!$A$9:$B$12,4,2),0)+$A65&lt;E$60,0,IF(ROUND(INDEX('Useful Life &amp; SG&amp;A Build'!$A$9:$B$12,4,2),0)+$A65=E$60,0.5*IFERROR(INDEX('Useful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119.77777777777777</v>
      </c>
      <c r="F65" s="563">
        <f>IF($A65+1&gt;F$60,0,IF(ROUND(INDEX('Useful Life &amp; SG&amp;A Build'!$A$9:$B$12,4,2),0)+$A65&lt;F$60,0,IF(ROUND(INDEX('Useful Life &amp; SG&amp;A Build'!$A$9:$B$12,4,2),0)+$A65=F$60,0.5*IFERROR(INDEX('Useful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119.77777777777777</v>
      </c>
      <c r="G65" s="563">
        <f>IF($A65+1&gt;G$60,0,IF(ROUND(INDEX('Useful Life &amp; SG&amp;A Build'!$A$9:$B$12,4,2),0)+$A65&lt;G$60,0,IF(ROUND(INDEX('Useful Life &amp; SG&amp;A Build'!$A$9:$B$12,4,2),0)+$A65=G$60,0.5*IFERROR(INDEX('Useful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59.888888888888886</v>
      </c>
      <c r="H65" s="563">
        <f>IF($A65+1&gt;H$60,0,IF(ROUND(INDEX('Useful Life &amp; SG&amp;A Build'!$A$9:$B$12,4,2),0)+$A65&lt;H$60,0,IF(ROUND(INDEX('Useful Life &amp; SG&amp;A Build'!$A$9:$B$12,4,2),0)+$A65=H$60,0.5*IFERROR(INDEX('Useful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I65" s="563">
        <f>IF($A65+1&gt;I$60,0,IF(ROUND(INDEX('Useful Life &amp; SG&amp;A Build'!$A$9:$B$12,4,2),0)+$A65&lt;I$60,0,IF(ROUND(INDEX('Useful Life &amp; SG&amp;A Build'!$A$9:$B$12,4,2),0)+$A65=I$60,0.5*IFERROR(INDEX('Useful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J65" s="563">
        <f>IF($A65+1&gt;J$60,0,IF(ROUND(INDEX('Useful Life &amp; SG&amp;A Build'!$A$9:$B$12,4,2),0)+$A65&lt;J$60,0,IF(ROUND(INDEX('Useful Life &amp; SG&amp;A Build'!$A$9:$B$12,4,2),0)+$A65=J$60,0.5*IFERROR(INDEX('Useful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K65" s="563">
        <f>IF($A65+1&gt;K$60,0,IF(ROUND(INDEX('Useful Life &amp; SG&amp;A Build'!$A$9:$B$12,4,2),0)+$A65&lt;K$60,0,IF(ROUND(INDEX('Useful Life &amp; SG&amp;A Build'!$A$9:$B$12,4,2),0)+$A65=K$60,0.5*IFERROR(INDEX('Useful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L65" s="563">
        <f>IF($A65+1&gt;L$60,0,IF(ROUND(INDEX('Useful Life &amp; SG&amp;A Build'!$A$9:$B$12,4,2),0)+$A65&lt;L$60,0,IF(ROUND(INDEX('Useful Life &amp; SG&amp;A Build'!$A$9:$B$12,4,2),0)+$A65=L$60,0.5*IFERROR(INDEX('Useful Life &amp; SG&amp;A Build'!$A$3:$K$6,4,MATCH($A65,'Useful Life &amp; SG&amp;A Build'!$A$3:$K$3,0))/INDEX('Useful Life &amp; SG&amp;A Build'!$A$9:$B$12,4,2),0),IFERROR(INDEX('Useful Life &amp; SG&amp;A Build'!$A$3:$K$6,4,MATCH($A65,'Useful Life &amp; SG&amp;A Build'!$A$3:$K$3,0))/INDEX('Useful Life &amp; SG&amp;A Build'!$A$9:$B$12,4,2),0))))</f>
        <v>0</v>
      </c>
      <c r="M65" s="263"/>
      <c r="N65" s="263"/>
      <c r="O65" s="263"/>
      <c r="P65" s="263"/>
      <c r="Q65" s="263"/>
      <c r="R65" s="263"/>
      <c r="S65" s="263"/>
      <c r="T65" s="263"/>
      <c r="U65" s="263"/>
      <c r="V65" s="263"/>
      <c r="W65" s="263"/>
      <c r="X65" s="263"/>
      <c r="Y65" s="263"/>
      <c r="Z65" s="565"/>
      <c r="AA65" s="263"/>
      <c r="AB65" s="263"/>
    </row>
    <row r="66" spans="1:28" ht="16" x14ac:dyDescent="0.2">
      <c r="A66" s="583">
        <f t="shared" si="4"/>
        <v>2022</v>
      </c>
      <c r="B66" s="563">
        <f>IF($A66+1&gt;B$60,0,IF(ROUND(INDEX('Useful Life &amp; SG&amp;A Build'!$A$9:$B$12,4,2),0)+$A66&lt;B$60,0,IF(ROUND(INDEX('Useful Life &amp; SG&amp;A Build'!$A$9:$B$12,4,2),0)+$A66=B$60,0.5*IFERROR(INDEX('Useful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C66" s="563">
        <f>IF($A66+1&gt;C$60,0,IF(ROUND(INDEX('Useful Life &amp; SG&amp;A Build'!$A$9:$B$12,4,2),0)+$A66&lt;C$60,0,IF(ROUND(INDEX('Useful Life &amp; SG&amp;A Build'!$A$9:$B$12,4,2),0)+$A66=C$60,0.5*IFERROR(INDEX('Useful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D66" s="563">
        <f>IF($A66+1&gt;D$60,0,IF(ROUND(INDEX('Useful Life &amp; SG&amp;A Build'!$A$9:$B$12,4,2),0)+$A66&lt;D$60,0,IF(ROUND(INDEX('Useful Life &amp; SG&amp;A Build'!$A$9:$B$12,4,2),0)+$A66=D$60,0.5*IFERROR(INDEX('Useful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122</v>
      </c>
      <c r="E66" s="563">
        <f>IF($A66+1&gt;E$60,0,IF(ROUND(INDEX('Useful Life &amp; SG&amp;A Build'!$A$9:$B$12,4,2),0)+$A66&lt;E$60,0,IF(ROUND(INDEX('Useful Life &amp; SG&amp;A Build'!$A$9:$B$12,4,2),0)+$A66=E$60,0.5*IFERROR(INDEX('Useful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122</v>
      </c>
      <c r="F66" s="563">
        <f>IF($A66+1&gt;F$60,0,IF(ROUND(INDEX('Useful Life &amp; SG&amp;A Build'!$A$9:$B$12,4,2),0)+$A66&lt;F$60,0,IF(ROUND(INDEX('Useful Life &amp; SG&amp;A Build'!$A$9:$B$12,4,2),0)+$A66=F$60,0.5*IFERROR(INDEX('Useful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122</v>
      </c>
      <c r="G66" s="563">
        <f>IF($A66+1&gt;G$60,0,IF(ROUND(INDEX('Useful Life &amp; SG&amp;A Build'!$A$9:$B$12,4,2),0)+$A66&lt;G$60,0,IF(ROUND(INDEX('Useful Life &amp; SG&amp;A Build'!$A$9:$B$12,4,2),0)+$A66=G$60,0.5*IFERROR(INDEX('Useful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122</v>
      </c>
      <c r="H66" s="563">
        <f>IF($A66+1&gt;H$60,0,IF(ROUND(INDEX('Useful Life &amp; SG&amp;A Build'!$A$9:$B$12,4,2),0)+$A66&lt;H$60,0,IF(ROUND(INDEX('Useful Life &amp; SG&amp;A Build'!$A$9:$B$12,4,2),0)+$A66=H$60,0.5*IFERROR(INDEX('Useful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61</v>
      </c>
      <c r="I66" s="563">
        <f>IF($A66+1&gt;I$60,0,IF(ROUND(INDEX('Useful Life &amp; SG&amp;A Build'!$A$9:$B$12,4,2),0)+$A66&lt;I$60,0,IF(ROUND(INDEX('Useful Life &amp; SG&amp;A Build'!$A$9:$B$12,4,2),0)+$A66=I$60,0.5*IFERROR(INDEX('Useful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J66" s="563">
        <f>IF($A66+1&gt;J$60,0,IF(ROUND(INDEX('Useful Life &amp; SG&amp;A Build'!$A$9:$B$12,4,2),0)+$A66&lt;J$60,0,IF(ROUND(INDEX('Useful Life &amp; SG&amp;A Build'!$A$9:$B$12,4,2),0)+$A66=J$60,0.5*IFERROR(INDEX('Useful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K66" s="563">
        <f>IF($A66+1&gt;K$60,0,IF(ROUND(INDEX('Useful Life &amp; SG&amp;A Build'!$A$9:$B$12,4,2),0)+$A66&lt;K$60,0,IF(ROUND(INDEX('Useful Life &amp; SG&amp;A Build'!$A$9:$B$12,4,2),0)+$A66=K$60,0.5*IFERROR(INDEX('Useful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L66" s="563">
        <f>IF($A66+1&gt;L$60,0,IF(ROUND(INDEX('Useful Life &amp; SG&amp;A Build'!$A$9:$B$12,4,2),0)+$A66&lt;L$60,0,IF(ROUND(INDEX('Useful Life &amp; SG&amp;A Build'!$A$9:$B$12,4,2),0)+$A66=L$60,0.5*IFERROR(INDEX('Useful Life &amp; SG&amp;A Build'!$A$3:$K$6,4,MATCH($A66,'Useful Life &amp; SG&amp;A Build'!$A$3:$K$3,0))/INDEX('Useful Life &amp; SG&amp;A Build'!$A$9:$B$12,4,2),0),IFERROR(INDEX('Useful Life &amp; SG&amp;A Build'!$A$3:$K$6,4,MATCH($A66,'Useful Life &amp; SG&amp;A Build'!$A$3:$K$3,0))/INDEX('Useful Life &amp; SG&amp;A Build'!$A$9:$B$12,4,2),0))))</f>
        <v>0</v>
      </c>
      <c r="M66" s="263"/>
      <c r="N66" s="263"/>
      <c r="O66" s="263"/>
      <c r="P66" s="263"/>
      <c r="Q66" s="263"/>
      <c r="R66" s="263"/>
      <c r="S66" s="263"/>
      <c r="T66" s="263"/>
      <c r="U66" s="263"/>
      <c r="V66" s="263"/>
      <c r="W66" s="263"/>
      <c r="X66" s="263"/>
      <c r="Y66" s="263"/>
      <c r="Z66" s="565"/>
      <c r="AA66" s="263"/>
      <c r="AB66" s="263"/>
    </row>
    <row r="67" spans="1:28" ht="16" x14ac:dyDescent="0.2">
      <c r="A67" s="583">
        <f t="shared" si="4"/>
        <v>2023</v>
      </c>
      <c r="B67" s="563">
        <f>IF($A67+1&gt;B$60,0,IF(ROUND(INDEX('Useful Life &amp; SG&amp;A Build'!$A$9:$B$12,4,2),0)+$A67&lt;B$60,0,IF(ROUND(INDEX('Useful Life &amp; SG&amp;A Build'!$A$9:$B$12,4,2),0)+$A67=B$60,0.5*IFERROR(INDEX('Useful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C67" s="563">
        <f>IF($A67+1&gt;C$60,0,IF(ROUND(INDEX('Useful Life &amp; SG&amp;A Build'!$A$9:$B$12,4,2),0)+$A67&lt;C$60,0,IF(ROUND(INDEX('Useful Life &amp; SG&amp;A Build'!$A$9:$B$12,4,2),0)+$A67=C$60,0.5*IFERROR(INDEX('Useful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D67" s="563">
        <f>IF($A67+1&gt;D$60,0,IF(ROUND(INDEX('Useful Life &amp; SG&amp;A Build'!$A$9:$B$12,4,2),0)+$A67&lt;D$60,0,IF(ROUND(INDEX('Useful Life &amp; SG&amp;A Build'!$A$9:$B$12,4,2),0)+$A67=D$60,0.5*IFERROR(INDEX('Useful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E67" s="563">
        <f>IF($A67+1&gt;E$60,0,IF(ROUND(INDEX('Useful Life &amp; SG&amp;A Build'!$A$9:$B$12,4,2),0)+$A67&lt;E$60,0,IF(ROUND(INDEX('Useful Life &amp; SG&amp;A Build'!$A$9:$B$12,4,2),0)+$A67=E$60,0.5*IFERROR(INDEX('Useful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120</v>
      </c>
      <c r="F67" s="563">
        <f>IF($A67+1&gt;F$60,0,IF(ROUND(INDEX('Useful Life &amp; SG&amp;A Build'!$A$9:$B$12,4,2),0)+$A67&lt;F$60,0,IF(ROUND(INDEX('Useful Life &amp; SG&amp;A Build'!$A$9:$B$12,4,2),0)+$A67=F$60,0.5*IFERROR(INDEX('Useful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120</v>
      </c>
      <c r="G67" s="563">
        <f>IF($A67+1&gt;G$60,0,IF(ROUND(INDEX('Useful Life &amp; SG&amp;A Build'!$A$9:$B$12,4,2),0)+$A67&lt;G$60,0,IF(ROUND(INDEX('Useful Life &amp; SG&amp;A Build'!$A$9:$B$12,4,2),0)+$A67=G$60,0.5*IFERROR(INDEX('Useful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120</v>
      </c>
      <c r="H67" s="563">
        <f>IF($A67+1&gt;H$60,0,IF(ROUND(INDEX('Useful Life &amp; SG&amp;A Build'!$A$9:$B$12,4,2),0)+$A67&lt;H$60,0,IF(ROUND(INDEX('Useful Life &amp; SG&amp;A Build'!$A$9:$B$12,4,2),0)+$A67=H$60,0.5*IFERROR(INDEX('Useful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120</v>
      </c>
      <c r="I67" s="563">
        <f>IF($A67+1&gt;I$60,0,IF(ROUND(INDEX('Useful Life &amp; SG&amp;A Build'!$A$9:$B$12,4,2),0)+$A67&lt;I$60,0,IF(ROUND(INDEX('Useful Life &amp; SG&amp;A Build'!$A$9:$B$12,4,2),0)+$A67=I$60,0.5*IFERROR(INDEX('Useful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60</v>
      </c>
      <c r="J67" s="563">
        <f>IF($A67+1&gt;J$60,0,IF(ROUND(INDEX('Useful Life &amp; SG&amp;A Build'!$A$9:$B$12,4,2),0)+$A67&lt;J$60,0,IF(ROUND(INDEX('Useful Life &amp; SG&amp;A Build'!$A$9:$B$12,4,2),0)+$A67=J$60,0.5*IFERROR(INDEX('Useful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K67" s="563">
        <f>IF($A67+1&gt;K$60,0,IF(ROUND(INDEX('Useful Life &amp; SG&amp;A Build'!$A$9:$B$12,4,2),0)+$A67&lt;K$60,0,IF(ROUND(INDEX('Useful Life &amp; SG&amp;A Build'!$A$9:$B$12,4,2),0)+$A67=K$60,0.5*IFERROR(INDEX('Useful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L67" s="563">
        <f>IF($A67+1&gt;L$60,0,IF(ROUND(INDEX('Useful Life &amp; SG&amp;A Build'!$A$9:$B$12,4,2),0)+$A67&lt;L$60,0,IF(ROUND(INDEX('Useful Life &amp; SG&amp;A Build'!$A$9:$B$12,4,2),0)+$A67=L$60,0.5*IFERROR(INDEX('Useful Life &amp; SG&amp;A Build'!$A$3:$K$6,4,MATCH($A67,'Useful Life &amp; SG&amp;A Build'!$A$3:$K$3,0))/INDEX('Useful Life &amp; SG&amp;A Build'!$A$9:$B$12,4,2),0),IFERROR(INDEX('Useful Life &amp; SG&amp;A Build'!$A$3:$K$6,4,MATCH($A67,'Useful Life &amp; SG&amp;A Build'!$A$3:$K$3,0))/INDEX('Useful Life &amp; SG&amp;A Build'!$A$9:$B$12,4,2),0))))</f>
        <v>0</v>
      </c>
      <c r="M67" s="263"/>
      <c r="N67" s="263"/>
      <c r="O67" s="263"/>
      <c r="P67" s="263"/>
      <c r="Q67" s="263"/>
      <c r="R67" s="263"/>
      <c r="S67" s="263"/>
      <c r="T67" s="263"/>
      <c r="U67" s="263"/>
      <c r="V67" s="263"/>
      <c r="W67" s="263"/>
      <c r="X67" s="263"/>
      <c r="Y67" s="263"/>
      <c r="Z67" s="565"/>
      <c r="AA67" s="263"/>
      <c r="AB67" s="263"/>
    </row>
    <row r="68" spans="1:28" ht="16" x14ac:dyDescent="0.2">
      <c r="A68" s="583">
        <f t="shared" si="4"/>
        <v>2024</v>
      </c>
      <c r="B68" s="563">
        <f>IF($A68+1&gt;B$60,0,IF(ROUND(INDEX('Useful Life &amp; SG&amp;A Build'!$A$9:$B$12,4,2),0)+$A68&lt;B$60,0,IF(ROUND(INDEX('Useful Life &amp; SG&amp;A Build'!$A$9:$B$12,4,2),0)+$A68=B$60,0.5*IFERROR(INDEX('Useful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C68" s="563">
        <f>IF($A68+1&gt;C$60,0,IF(ROUND(INDEX('Useful Life &amp; SG&amp;A Build'!$A$9:$B$12,4,2),0)+$A68&lt;C$60,0,IF(ROUND(INDEX('Useful Life &amp; SG&amp;A Build'!$A$9:$B$12,4,2),0)+$A68=C$60,0.5*IFERROR(INDEX('Useful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D68" s="563">
        <f>IF($A68+1&gt;D$60,0,IF(ROUND(INDEX('Useful Life &amp; SG&amp;A Build'!$A$9:$B$12,4,2),0)+$A68&lt;D$60,0,IF(ROUND(INDEX('Useful Life &amp; SG&amp;A Build'!$A$9:$B$12,4,2),0)+$A68=D$60,0.5*IFERROR(INDEX('Useful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E68" s="563">
        <f>IF($A68+1&gt;E$60,0,IF(ROUND(INDEX('Useful Life &amp; SG&amp;A Build'!$A$9:$B$12,4,2),0)+$A68&lt;E$60,0,IF(ROUND(INDEX('Useful Life &amp; SG&amp;A Build'!$A$9:$B$12,4,2),0)+$A68=E$60,0.5*IFERROR(INDEX('Useful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F68" s="563">
        <f>IF($A68+1&gt;F$60,0,IF(ROUND(INDEX('Useful Life &amp; SG&amp;A Build'!$A$9:$B$12,4,2),0)+$A68&lt;F$60,0,IF(ROUND(INDEX('Useful Life &amp; SG&amp;A Build'!$A$9:$B$12,4,2),0)+$A68=F$60,0.5*IFERROR(INDEX('Useful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110.22222222222223</v>
      </c>
      <c r="G68" s="563">
        <f>IF($A68+1&gt;G$60,0,IF(ROUND(INDEX('Useful Life &amp; SG&amp;A Build'!$A$9:$B$12,4,2),0)+$A68&lt;G$60,0,IF(ROUND(INDEX('Useful Life &amp; SG&amp;A Build'!$A$9:$B$12,4,2),0)+$A68=G$60,0.5*IFERROR(INDEX('Useful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110.22222222222223</v>
      </c>
      <c r="H68" s="563">
        <f>IF($A68+1&gt;H$60,0,IF(ROUND(INDEX('Useful Life &amp; SG&amp;A Build'!$A$9:$B$12,4,2),0)+$A68&lt;H$60,0,IF(ROUND(INDEX('Useful Life &amp; SG&amp;A Build'!$A$9:$B$12,4,2),0)+$A68=H$60,0.5*IFERROR(INDEX('Useful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110.22222222222223</v>
      </c>
      <c r="I68" s="563">
        <f>IF($A68+1&gt;I$60,0,IF(ROUND(INDEX('Useful Life &amp; SG&amp;A Build'!$A$9:$B$12,4,2),0)+$A68&lt;I$60,0,IF(ROUND(INDEX('Useful Life &amp; SG&amp;A Build'!$A$9:$B$12,4,2),0)+$A68=I$60,0.5*IFERROR(INDEX('Useful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110.22222222222223</v>
      </c>
      <c r="J68" s="563">
        <f>IF($A68+1&gt;J$60,0,IF(ROUND(INDEX('Useful Life &amp; SG&amp;A Build'!$A$9:$B$12,4,2),0)+$A68&lt;J$60,0,IF(ROUND(INDEX('Useful Life &amp; SG&amp;A Build'!$A$9:$B$12,4,2),0)+$A68=J$60,0.5*IFERROR(INDEX('Useful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55.111111111111114</v>
      </c>
      <c r="K68" s="563">
        <f>IF($A68+1&gt;K$60,0,IF(ROUND(INDEX('Useful Life &amp; SG&amp;A Build'!$A$9:$B$12,4,2),0)+$A68&lt;K$60,0,IF(ROUND(INDEX('Useful Life &amp; SG&amp;A Build'!$A$9:$B$12,4,2),0)+$A68=K$60,0.5*IFERROR(INDEX('Useful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L68" s="563">
        <f>IF($A68+1&gt;L$60,0,IF(ROUND(INDEX('Useful Life &amp; SG&amp;A Build'!$A$9:$B$12,4,2),0)+$A68&lt;L$60,0,IF(ROUND(INDEX('Useful Life &amp; SG&amp;A Build'!$A$9:$B$12,4,2),0)+$A68=L$60,0.5*IFERROR(INDEX('Useful Life &amp; SG&amp;A Build'!$A$3:$K$6,4,MATCH($A68,'Useful Life &amp; SG&amp;A Build'!$A$3:$K$3,0))/INDEX('Useful Life &amp; SG&amp;A Build'!$A$9:$B$12,4,2),0),IFERROR(INDEX('Useful Life &amp; SG&amp;A Build'!$A$3:$K$6,4,MATCH($A68,'Useful Life &amp; SG&amp;A Build'!$A$3:$K$3,0))/INDEX('Useful Life &amp; SG&amp;A Build'!$A$9:$B$12,4,2),0))))</f>
        <v>0</v>
      </c>
      <c r="M68" s="263"/>
      <c r="N68" s="263"/>
      <c r="O68" s="263"/>
      <c r="P68" s="263"/>
      <c r="Q68" s="263"/>
      <c r="R68" s="263"/>
      <c r="S68" s="263"/>
      <c r="T68" s="263"/>
      <c r="U68" s="263"/>
      <c r="V68" s="263"/>
      <c r="W68" s="263"/>
      <c r="X68" s="263"/>
      <c r="Y68" s="263"/>
      <c r="Z68" s="565"/>
      <c r="AA68" s="263"/>
      <c r="AB68" s="263"/>
    </row>
    <row r="69" spans="1:28" ht="16" x14ac:dyDescent="0.2">
      <c r="A69" s="583">
        <f t="shared" si="4"/>
        <v>2025</v>
      </c>
      <c r="B69" s="563">
        <f>IF($A69+1&gt;B$60,0,IF(ROUND(INDEX('Useful Life &amp; SG&amp;A Build'!$A$9:$B$12,4,2),0)+$A69&lt;B$60,0,IF(ROUND(INDEX('Useful Life &amp; SG&amp;A Build'!$A$9:$B$12,4,2),0)+$A69=B$60,0.5*IFERROR(INDEX('Useful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C69" s="563">
        <f>IF($A69+1&gt;C$60,0,IF(ROUND(INDEX('Useful Life &amp; SG&amp;A Build'!$A$9:$B$12,4,2),0)+$A69&lt;C$60,0,IF(ROUND(INDEX('Useful Life &amp; SG&amp;A Build'!$A$9:$B$12,4,2),0)+$A69=C$60,0.5*IFERROR(INDEX('Useful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D69" s="563">
        <f>IF($A69+1&gt;D$60,0,IF(ROUND(INDEX('Useful Life &amp; SG&amp;A Build'!$A$9:$B$12,4,2),0)+$A69&lt;D$60,0,IF(ROUND(INDEX('Useful Life &amp; SG&amp;A Build'!$A$9:$B$12,4,2),0)+$A69=D$60,0.5*IFERROR(INDEX('Useful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E69" s="563">
        <f>IF($A69+1&gt;E$60,0,IF(ROUND(INDEX('Useful Life &amp; SG&amp;A Build'!$A$9:$B$12,4,2),0)+$A69&lt;E$60,0,IF(ROUND(INDEX('Useful Life &amp; SG&amp;A Build'!$A$9:$B$12,4,2),0)+$A69=E$60,0.5*IFERROR(INDEX('Useful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F69" s="563">
        <f>IF($A69+1&gt;F$60,0,IF(ROUND(INDEX('Useful Life &amp; SG&amp;A Build'!$A$9:$B$12,4,2),0)+$A69&lt;F$60,0,IF(ROUND(INDEX('Useful Life &amp; SG&amp;A Build'!$A$9:$B$12,4,2),0)+$A69=F$60,0.5*IFERROR(INDEX('Useful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G69" s="563">
        <f>IF($A69+1&gt;G$60,0,IF(ROUND(INDEX('Useful Life &amp; SG&amp;A Build'!$A$9:$B$12,4,2),0)+$A69&lt;G$60,0,IF(ROUND(INDEX('Useful Life &amp; SG&amp;A Build'!$A$9:$B$12,4,2),0)+$A69=G$60,0.5*IFERROR(INDEX('Useful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38.933333333333337</v>
      </c>
      <c r="H69" s="563">
        <f>IF($A69+1&gt;H$60,0,IF(ROUND(INDEX('Useful Life &amp; SG&amp;A Build'!$A$9:$B$12,4,2),0)+$A69&lt;H$60,0,IF(ROUND(INDEX('Useful Life &amp; SG&amp;A Build'!$A$9:$B$12,4,2),0)+$A69=H$60,0.5*IFERROR(INDEX('Useful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38.933333333333337</v>
      </c>
      <c r="I69" s="563">
        <f>IF($A69+1&gt;I$60,0,IF(ROUND(INDEX('Useful Life &amp; SG&amp;A Build'!$A$9:$B$12,4,2),0)+$A69&lt;I$60,0,IF(ROUND(INDEX('Useful Life &amp; SG&amp;A Build'!$A$9:$B$12,4,2),0)+$A69=I$60,0.5*IFERROR(INDEX('Useful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38.933333333333337</v>
      </c>
      <c r="J69" s="563">
        <f>IF($A69+1&gt;J$60,0,IF(ROUND(INDEX('Useful Life &amp; SG&amp;A Build'!$A$9:$B$12,4,2),0)+$A69&lt;J$60,0,IF(ROUND(INDEX('Useful Life &amp; SG&amp;A Build'!$A$9:$B$12,4,2),0)+$A69=J$60,0.5*IFERROR(INDEX('Useful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38.933333333333337</v>
      </c>
      <c r="K69" s="563">
        <f>IF($A69+1&gt;K$60,0,IF(ROUND(INDEX('Useful Life &amp; SG&amp;A Build'!$A$9:$B$12,4,2),0)+$A69&lt;K$60,0,IF(ROUND(INDEX('Useful Life &amp; SG&amp;A Build'!$A$9:$B$12,4,2),0)+$A69=K$60,0.5*IFERROR(INDEX('Useful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19.466666666666669</v>
      </c>
      <c r="L69" s="563">
        <f>IF($A69+1&gt;L$60,0,IF(ROUND(INDEX('Useful Life &amp; SG&amp;A Build'!$A$9:$B$12,4,2),0)+$A69&lt;L$60,0,IF(ROUND(INDEX('Useful Life &amp; SG&amp;A Build'!$A$9:$B$12,4,2),0)+$A69=L$60,0.5*IFERROR(INDEX('Useful Life &amp; SG&amp;A Build'!$A$3:$K$6,4,MATCH($A69,'Useful Life &amp; SG&amp;A Build'!$A$3:$K$3,0))/INDEX('Useful Life &amp; SG&amp;A Build'!$A$9:$B$12,4,2),0),IFERROR(INDEX('Useful Life &amp; SG&amp;A Build'!$A$3:$K$6,4,MATCH($A69,'Useful Life &amp; SG&amp;A Build'!$A$3:$K$3,0))/INDEX('Useful Life &amp; SG&amp;A Build'!$A$9:$B$12,4,2),0))))</f>
        <v>0</v>
      </c>
      <c r="M69" s="263"/>
      <c r="N69" s="263"/>
      <c r="O69" s="263"/>
      <c r="P69" s="263"/>
      <c r="Q69" s="263"/>
      <c r="R69" s="263"/>
      <c r="S69" s="263"/>
      <c r="T69" s="263"/>
      <c r="U69" s="263"/>
      <c r="V69" s="263"/>
      <c r="W69" s="263"/>
      <c r="X69" s="263"/>
      <c r="Y69" s="263"/>
      <c r="Z69" s="565"/>
      <c r="AA69" s="263"/>
      <c r="AB69" s="263"/>
    </row>
    <row r="70" spans="1:28" ht="16" x14ac:dyDescent="0.2">
      <c r="A70" s="583">
        <f t="shared" si="4"/>
        <v>2026</v>
      </c>
      <c r="B70" s="563">
        <f>-IF($A70+1&gt;B$60,0,IF(ROUND(INDEX('Useful Life &amp; SG&amp;A Build'!$A$9:$B$12,3,2),0)+$A70&lt;B$60,0,IF(ROUND(INDEX('Useful Life &amp; SG&amp;A Build'!$A$9:$B$12,3,2),0)+$A70=B$60,0.5*IFERROR(#REF!/INDEX('Useful Life &amp; SG&amp;A Build'!$A$9:$B$12,3,2),0),IFERROR(#REF!/INDEX('Useful Life &amp; SG&amp;A Build'!$A$9:$B$12,3,2),0))))</f>
        <v>0</v>
      </c>
      <c r="C70" s="563">
        <f>-IF($A70+1&gt;C$60,0,IF(ROUND(INDEX('Useful Life &amp; SG&amp;A Build'!$A$9:$B$12,3,2),0)+$A70&lt;C$60,0,IF(ROUND(INDEX('Useful Life &amp; SG&amp;A Build'!$A$9:$B$12,3,2),0)+$A70=C$60,0.5*IFERROR(#REF!/INDEX('Useful Life &amp; SG&amp;A Build'!$A$9:$B$12,3,2),0),IFERROR(#REF!/INDEX('Useful Life &amp; SG&amp;A Build'!$A$9:$B$12,3,2),0))))</f>
        <v>0</v>
      </c>
      <c r="D70" s="563">
        <f>-IF($A70+1&gt;D$60,0,IF(ROUND(INDEX('Useful Life &amp; SG&amp;A Build'!$A$9:$B$12,3,2),0)+$A70&lt;D$60,0,IF(ROUND(INDEX('Useful Life &amp; SG&amp;A Build'!$A$9:$B$12,3,2),0)+$A70=D$60,0.5*IFERROR(#REF!/INDEX('Useful Life &amp; SG&amp;A Build'!$A$9:$B$12,3,2),0),IFERROR(#REF!/INDEX('Useful Life &amp; SG&amp;A Build'!$A$9:$B$12,3,2),0))))</f>
        <v>0</v>
      </c>
      <c r="E70" s="563">
        <f>-IF($A70+1&gt;E$60,0,IF(ROUND(INDEX('Useful Life &amp; SG&amp;A Build'!$A$9:$B$12,3,2),0)+$A70&lt;E$60,0,IF(ROUND(INDEX('Useful Life &amp; SG&amp;A Build'!$A$9:$B$12,3,2),0)+$A70=E$60,0.5*IFERROR(#REF!/INDEX('Useful Life &amp; SG&amp;A Build'!$A$9:$B$12,3,2),0),IFERROR(#REF!/INDEX('Useful Life &amp; SG&amp;A Build'!$A$9:$B$12,3,2),0))))</f>
        <v>0</v>
      </c>
      <c r="F70" s="563">
        <f>-IF($A70+1&gt;F$60,0,IF(ROUND(INDEX('Useful Life &amp; SG&amp;A Build'!$A$9:$B$12,3,2),0)+$A70&lt;F$60,0,IF(ROUND(INDEX('Useful Life &amp; SG&amp;A Build'!$A$9:$B$12,3,2),0)+$A70=F$60,0.5*IFERROR(#REF!/INDEX('Useful Life &amp; SG&amp;A Build'!$A$9:$B$12,3,2),0),IFERROR(#REF!/INDEX('Useful Life &amp; SG&amp;A Build'!$A$9:$B$12,3,2),0))))</f>
        <v>0</v>
      </c>
      <c r="G70" s="563">
        <f>-IF($A70+1&gt;G$60,0,IF(ROUND(INDEX('Useful Life &amp; SG&amp;A Build'!$A$9:$B$12,3,2),0)+$A70&lt;G$60,0,IF(ROUND(INDEX('Useful Life &amp; SG&amp;A Build'!$A$9:$B$12,3,2),0)+$A70=G$60,0.5*IFERROR(#REF!/INDEX('Useful Life &amp; SG&amp;A Build'!$A$9:$B$12,3,2),0),IFERROR(#REF!/INDEX('Useful Life &amp; SG&amp;A Build'!$A$9:$B$12,3,2),0))))</f>
        <v>0</v>
      </c>
      <c r="H70" s="563">
        <f>-IF($A70+1&gt;H$60,0,IF(ROUND(INDEX('Useful Life &amp; SG&amp;A Build'!$A$9:$B$12,3,2),0)+$A70&lt;H$60,0,IF(ROUND(INDEX('Useful Life &amp; SG&amp;A Build'!$A$9:$B$12,3,2),0)+$A70=H$60,0.5*IFERROR(#REF!/INDEX('Useful Life &amp; SG&amp;A Build'!$A$9:$B$12,3,2),0),IFERROR(#REF!/INDEX('Useful Life &amp; SG&amp;A Build'!$A$9:$B$12,3,2),0))))</f>
        <v>0</v>
      </c>
      <c r="I70" s="563">
        <f>-IF($A70+1&gt;I$60,0,IF(ROUND(INDEX('Useful Life &amp; SG&amp;A Build'!$A$9:$B$12,3,2),0)+$A70&lt;I$60,0,IF(ROUND(INDEX('Useful Life &amp; SG&amp;A Build'!$A$9:$B$12,3,2),0)+$A70=I$60,0.5*IFERROR(#REF!/INDEX('Useful Life &amp; SG&amp;A Build'!$A$9:$B$12,3,2),0),IFERROR(#REF!/INDEX('Useful Life &amp; SG&amp;A Build'!$A$9:$B$12,3,2),0))))</f>
        <v>0</v>
      </c>
      <c r="J70" s="563">
        <f>-IF($A70+1&gt;J$60,0,IF(ROUND(INDEX('Useful Life &amp; SG&amp;A Build'!$A$9:$B$12,3,2),0)+$A70&lt;J$60,0,IF(ROUND(INDEX('Useful Life &amp; SG&amp;A Build'!$A$9:$B$12,3,2),0)+$A70=J$60,0.5*IFERROR(#REF!/INDEX('Useful Life &amp; SG&amp;A Build'!$A$9:$B$12,3,2),0),IFERROR(#REF!/INDEX('Useful Life &amp; SG&amp;A Build'!$A$9:$B$12,3,2),0))))</f>
        <v>0</v>
      </c>
      <c r="K70" s="563">
        <f>-IF($A70+1&gt;K$60,0,IF(ROUND(INDEX('Useful Life &amp; SG&amp;A Build'!$A$9:$B$12,3,2),0)+$A70&lt;K$60,0,IF(ROUND(INDEX('Useful Life &amp; SG&amp;A Build'!$A$9:$B$12,3,2),0)+$A70=K$60,0.5*IFERROR(#REF!/INDEX('Useful Life &amp; SG&amp;A Build'!$A$9:$B$12,3,2),0),IFERROR(#REF!/INDEX('Useful Life &amp; SG&amp;A Build'!$A$9:$B$12,3,2),0))))</f>
        <v>0</v>
      </c>
      <c r="L70" s="563">
        <f>-IF($A70+1&gt;L$60,0,IF(ROUND(INDEX('Useful Life &amp; SG&amp;A Build'!$A$9:$B$12,3,2),0)+$A70&lt;L$60,0,IF(ROUND(INDEX('Useful Life &amp; SG&amp;A Build'!$A$9:$B$12,3,2),0)+$A70=L$60,0.5*IFERROR(#REF!/INDEX('Useful Life &amp; SG&amp;A Build'!$A$9:$B$12,3,2),0),IFERROR(#REF!/INDEX('Useful Life &amp; SG&amp;A Build'!$A$9:$B$12,3,2),0))))</f>
        <v>0</v>
      </c>
      <c r="M70" s="263"/>
      <c r="N70" s="263"/>
      <c r="O70" s="263"/>
      <c r="P70" s="263"/>
      <c r="Q70" s="263"/>
      <c r="R70" s="263"/>
      <c r="S70" s="263"/>
      <c r="T70" s="263"/>
      <c r="U70" s="263"/>
      <c r="V70" s="263"/>
      <c r="W70" s="263"/>
      <c r="X70" s="263"/>
      <c r="Y70" s="263"/>
      <c r="Z70" s="565"/>
      <c r="AA70" s="263"/>
      <c r="AB70" s="263"/>
    </row>
    <row r="71" spans="1:28" ht="16" x14ac:dyDescent="0.2">
      <c r="A71" s="583">
        <f t="shared" si="4"/>
        <v>2027</v>
      </c>
      <c r="B71" s="563">
        <f>-IF($A71+1&gt;B$60,0,IF(ROUND(INDEX('Useful Life &amp; SG&amp;A Build'!$A$9:$B$12,3,2),0)+$A71&lt;B$60,0,IF(ROUND(INDEX('Useful Life &amp; SG&amp;A Build'!$A$9:$B$12,3,2),0)+$A71=B$60,0.5*IFERROR(#REF!/INDEX('Useful Life &amp; SG&amp;A Build'!$A$9:$B$12,3,2),0),IFERROR(#REF!/INDEX('Useful Life &amp; SG&amp;A Build'!$A$9:$B$12,3,2),0))))</f>
        <v>0</v>
      </c>
      <c r="C71" s="563">
        <f>-IF($A71+1&gt;C$60,0,IF(ROUND(INDEX('Useful Life &amp; SG&amp;A Build'!$A$9:$B$12,3,2),0)+$A71&lt;C$60,0,IF(ROUND(INDEX('Useful Life &amp; SG&amp;A Build'!$A$9:$B$12,3,2),0)+$A71=C$60,0.5*IFERROR(#REF!/INDEX('Useful Life &amp; SG&amp;A Build'!$A$9:$B$12,3,2),0),IFERROR(#REF!/INDEX('Useful Life &amp; SG&amp;A Build'!$A$9:$B$12,3,2),0))))</f>
        <v>0</v>
      </c>
      <c r="D71" s="563">
        <f>-IF($A71+1&gt;D$60,0,IF(ROUND(INDEX('Useful Life &amp; SG&amp;A Build'!$A$9:$B$12,3,2),0)+$A71&lt;D$60,0,IF(ROUND(INDEX('Useful Life &amp; SG&amp;A Build'!$A$9:$B$12,3,2),0)+$A71=D$60,0.5*IFERROR(#REF!/INDEX('Useful Life &amp; SG&amp;A Build'!$A$9:$B$12,3,2),0),IFERROR(#REF!/INDEX('Useful Life &amp; SG&amp;A Build'!$A$9:$B$12,3,2),0))))</f>
        <v>0</v>
      </c>
      <c r="E71" s="563">
        <f>-IF($A71+1&gt;E$60,0,IF(ROUND(INDEX('Useful Life &amp; SG&amp;A Build'!$A$9:$B$12,3,2),0)+$A71&lt;E$60,0,IF(ROUND(INDEX('Useful Life &amp; SG&amp;A Build'!$A$9:$B$12,3,2),0)+$A71=E$60,0.5*IFERROR(#REF!/INDEX('Useful Life &amp; SG&amp;A Build'!$A$9:$B$12,3,2),0),IFERROR(#REF!/INDEX('Useful Life &amp; SG&amp;A Build'!$A$9:$B$12,3,2),0))))</f>
        <v>0</v>
      </c>
      <c r="F71" s="563">
        <f>-IF($A71+1&gt;F$60,0,IF(ROUND(INDEX('Useful Life &amp; SG&amp;A Build'!$A$9:$B$12,3,2),0)+$A71&lt;F$60,0,IF(ROUND(INDEX('Useful Life &amp; SG&amp;A Build'!$A$9:$B$12,3,2),0)+$A71=F$60,0.5*IFERROR(#REF!/INDEX('Useful Life &amp; SG&amp;A Build'!$A$9:$B$12,3,2),0),IFERROR(#REF!/INDEX('Useful Life &amp; SG&amp;A Build'!$A$9:$B$12,3,2),0))))</f>
        <v>0</v>
      </c>
      <c r="G71" s="563">
        <f>-IF($A71+1&gt;G$60,0,IF(ROUND(INDEX('Useful Life &amp; SG&amp;A Build'!$A$9:$B$12,3,2),0)+$A71&lt;G$60,0,IF(ROUND(INDEX('Useful Life &amp; SG&amp;A Build'!$A$9:$B$12,3,2),0)+$A71=G$60,0.5*IFERROR(#REF!/INDEX('Useful Life &amp; SG&amp;A Build'!$A$9:$B$12,3,2),0),IFERROR(#REF!/INDEX('Useful Life &amp; SG&amp;A Build'!$A$9:$B$12,3,2),0))))</f>
        <v>0</v>
      </c>
      <c r="H71" s="563">
        <f>-IF($A71+1&gt;H$60,0,IF(ROUND(INDEX('Useful Life &amp; SG&amp;A Build'!$A$9:$B$12,3,2),0)+$A71&lt;H$60,0,IF(ROUND(INDEX('Useful Life &amp; SG&amp;A Build'!$A$9:$B$12,3,2),0)+$A71=H$60,0.5*IFERROR(#REF!/INDEX('Useful Life &amp; SG&amp;A Build'!$A$9:$B$12,3,2),0),IFERROR(#REF!/INDEX('Useful Life &amp; SG&amp;A Build'!$A$9:$B$12,3,2),0))))</f>
        <v>0</v>
      </c>
      <c r="I71" s="563">
        <f>-IF($A71+1&gt;I$60,0,IF(ROUND(INDEX('Useful Life &amp; SG&amp;A Build'!$A$9:$B$12,3,2),0)+$A71&lt;I$60,0,IF(ROUND(INDEX('Useful Life &amp; SG&amp;A Build'!$A$9:$B$12,3,2),0)+$A71=I$60,0.5*IFERROR(#REF!/INDEX('Useful Life &amp; SG&amp;A Build'!$A$9:$B$12,3,2),0),IFERROR(#REF!/INDEX('Useful Life &amp; SG&amp;A Build'!$A$9:$B$12,3,2),0))))</f>
        <v>0</v>
      </c>
      <c r="J71" s="563">
        <f>-IF($A71+1&gt;J$60,0,IF(ROUND(INDEX('Useful Life &amp; SG&amp;A Build'!$A$9:$B$12,3,2),0)+$A71&lt;J$60,0,IF(ROUND(INDEX('Useful Life &amp; SG&amp;A Build'!$A$9:$B$12,3,2),0)+$A71=J$60,0.5*IFERROR(#REF!/INDEX('Useful Life &amp; SG&amp;A Build'!$A$9:$B$12,3,2),0),IFERROR(#REF!/INDEX('Useful Life &amp; SG&amp;A Build'!$A$9:$B$12,3,2),0))))</f>
        <v>0</v>
      </c>
      <c r="K71" s="563">
        <f>-IF($A71+1&gt;K$60,0,IF(ROUND(INDEX('Useful Life &amp; SG&amp;A Build'!$A$9:$B$12,3,2),0)+$A71&lt;K$60,0,IF(ROUND(INDEX('Useful Life &amp; SG&amp;A Build'!$A$9:$B$12,3,2),0)+$A71=K$60,0.5*IFERROR(#REF!/INDEX('Useful Life &amp; SG&amp;A Build'!$A$9:$B$12,3,2),0),IFERROR(#REF!/INDEX('Useful Life &amp; SG&amp;A Build'!$A$9:$B$12,3,2),0))))</f>
        <v>0</v>
      </c>
      <c r="L71" s="563">
        <f>-IF($A71+1&gt;L$60,0,IF(ROUND(INDEX('Useful Life &amp; SG&amp;A Build'!$A$9:$B$12,3,2),0)+$A71&lt;L$60,0,IF(ROUND(INDEX('Useful Life &amp; SG&amp;A Build'!$A$9:$B$12,3,2),0)+$A71=L$60,0.5*IFERROR(#REF!/INDEX('Useful Life &amp; SG&amp;A Build'!$A$9:$B$12,3,2),0),IFERROR(#REF!/INDEX('Useful Life &amp; SG&amp;A Build'!$A$9:$B$12,3,2),0))))</f>
        <v>0</v>
      </c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63"/>
      <c r="Z71" s="565"/>
      <c r="AA71" s="263"/>
      <c r="AB71" s="263"/>
    </row>
    <row r="72" spans="1:28" ht="16" x14ac:dyDescent="0.2">
      <c r="A72" s="583">
        <f t="shared" si="4"/>
        <v>2028</v>
      </c>
      <c r="B72" s="563">
        <f>-IF($A72+1&gt;B$60,0,IF(ROUND(INDEX('Useful Life &amp; SG&amp;A Build'!$A$9:$B$12,3,2),0)+$A72&lt;B$60,0,IF(ROUND(INDEX('Useful Life &amp; SG&amp;A Build'!$A$9:$B$12,3,2),0)+$A72=B$60,0.5*IFERROR(#REF!/INDEX('Useful Life &amp; SG&amp;A Build'!$A$9:$B$12,3,2),0),IFERROR(#REF!/INDEX('Useful Life &amp; SG&amp;A Build'!$A$9:$B$12,3,2),0))))</f>
        <v>0</v>
      </c>
      <c r="C72" s="563">
        <f>-IF($A72+1&gt;C$60,0,IF(ROUND(INDEX('Useful Life &amp; SG&amp;A Build'!$A$9:$B$12,3,2),0)+$A72&lt;C$60,0,IF(ROUND(INDEX('Useful Life &amp; SG&amp;A Build'!$A$9:$B$12,3,2),0)+$A72=C$60,0.5*IFERROR(#REF!/INDEX('Useful Life &amp; SG&amp;A Build'!$A$9:$B$12,3,2),0),IFERROR(#REF!/INDEX('Useful Life &amp; SG&amp;A Build'!$A$9:$B$12,3,2),0))))</f>
        <v>0</v>
      </c>
      <c r="D72" s="563">
        <f>-IF($A72+1&gt;D$60,0,IF(ROUND(INDEX('Useful Life &amp; SG&amp;A Build'!$A$9:$B$12,3,2),0)+$A72&lt;D$60,0,IF(ROUND(INDEX('Useful Life &amp; SG&amp;A Build'!$A$9:$B$12,3,2),0)+$A72=D$60,0.5*IFERROR(#REF!/INDEX('Useful Life &amp; SG&amp;A Build'!$A$9:$B$12,3,2),0),IFERROR(#REF!/INDEX('Useful Life &amp; SG&amp;A Build'!$A$9:$B$12,3,2),0))))</f>
        <v>0</v>
      </c>
      <c r="E72" s="563">
        <f>-IF($A72+1&gt;E$60,0,IF(ROUND(INDEX('Useful Life &amp; SG&amp;A Build'!$A$9:$B$12,3,2),0)+$A72&lt;E$60,0,IF(ROUND(INDEX('Useful Life &amp; SG&amp;A Build'!$A$9:$B$12,3,2),0)+$A72=E$60,0.5*IFERROR(#REF!/INDEX('Useful Life &amp; SG&amp;A Build'!$A$9:$B$12,3,2),0),IFERROR(#REF!/INDEX('Useful Life &amp; SG&amp;A Build'!$A$9:$B$12,3,2),0))))</f>
        <v>0</v>
      </c>
      <c r="F72" s="563">
        <f>-IF($A72+1&gt;F$60,0,IF(ROUND(INDEX('Useful Life &amp; SG&amp;A Build'!$A$9:$B$12,3,2),0)+$A72&lt;F$60,0,IF(ROUND(INDEX('Useful Life &amp; SG&amp;A Build'!$A$9:$B$12,3,2),0)+$A72=F$60,0.5*IFERROR(#REF!/INDEX('Useful Life &amp; SG&amp;A Build'!$A$9:$B$12,3,2),0),IFERROR(#REF!/INDEX('Useful Life &amp; SG&amp;A Build'!$A$9:$B$12,3,2),0))))</f>
        <v>0</v>
      </c>
      <c r="G72" s="563">
        <f>-IF($A72+1&gt;G$60,0,IF(ROUND(INDEX('Useful Life &amp; SG&amp;A Build'!$A$9:$B$12,3,2),0)+$A72&lt;G$60,0,IF(ROUND(INDEX('Useful Life &amp; SG&amp;A Build'!$A$9:$B$12,3,2),0)+$A72=G$60,0.5*IFERROR(#REF!/INDEX('Useful Life &amp; SG&amp;A Build'!$A$9:$B$12,3,2),0),IFERROR(#REF!/INDEX('Useful Life &amp; SG&amp;A Build'!$A$9:$B$12,3,2),0))))</f>
        <v>0</v>
      </c>
      <c r="H72" s="563">
        <f>-IF($A72+1&gt;H$60,0,IF(ROUND(INDEX('Useful Life &amp; SG&amp;A Build'!$A$9:$B$12,3,2),0)+$A72&lt;H$60,0,IF(ROUND(INDEX('Useful Life &amp; SG&amp;A Build'!$A$9:$B$12,3,2),0)+$A72=H$60,0.5*IFERROR(#REF!/INDEX('Useful Life &amp; SG&amp;A Build'!$A$9:$B$12,3,2),0),IFERROR(#REF!/INDEX('Useful Life &amp; SG&amp;A Build'!$A$9:$B$12,3,2),0))))</f>
        <v>0</v>
      </c>
      <c r="I72" s="563">
        <f>-IF($A72+1&gt;I$60,0,IF(ROUND(INDEX('Useful Life &amp; SG&amp;A Build'!$A$9:$B$12,3,2),0)+$A72&lt;I$60,0,IF(ROUND(INDEX('Useful Life &amp; SG&amp;A Build'!$A$9:$B$12,3,2),0)+$A72=I$60,0.5*IFERROR(#REF!/INDEX('Useful Life &amp; SG&amp;A Build'!$A$9:$B$12,3,2),0),IFERROR(#REF!/INDEX('Useful Life &amp; SG&amp;A Build'!$A$9:$B$12,3,2),0))))</f>
        <v>0</v>
      </c>
      <c r="J72" s="563">
        <f>-IF($A72+1&gt;J$60,0,IF(ROUND(INDEX('Useful Life &amp; SG&amp;A Build'!$A$9:$B$12,3,2),0)+$A72&lt;J$60,0,IF(ROUND(INDEX('Useful Life &amp; SG&amp;A Build'!$A$9:$B$12,3,2),0)+$A72=J$60,0.5*IFERROR(#REF!/INDEX('Useful Life &amp; SG&amp;A Build'!$A$9:$B$12,3,2),0),IFERROR(#REF!/INDEX('Useful Life &amp; SG&amp;A Build'!$A$9:$B$12,3,2),0))))</f>
        <v>0</v>
      </c>
      <c r="K72" s="563">
        <f>-IF($A72+1&gt;K$60,0,IF(ROUND(INDEX('Useful Life &amp; SG&amp;A Build'!$A$9:$B$12,3,2),0)+$A72&lt;K$60,0,IF(ROUND(INDEX('Useful Life &amp; SG&amp;A Build'!$A$9:$B$12,3,2),0)+$A72=K$60,0.5*IFERROR(#REF!/INDEX('Useful Life &amp; SG&amp;A Build'!$A$9:$B$12,3,2),0),IFERROR(#REF!/INDEX('Useful Life &amp; SG&amp;A Build'!$A$9:$B$12,3,2),0))))</f>
        <v>0</v>
      </c>
      <c r="L72" s="563">
        <f>-IF($A72+1&gt;L$60,0,IF(ROUND(INDEX('Useful Life &amp; SG&amp;A Build'!$A$9:$B$12,3,2),0)+$A72&lt;L$60,0,IF(ROUND(INDEX('Useful Life &amp; SG&amp;A Build'!$A$9:$B$12,3,2),0)+$A72=L$60,0.5*IFERROR(#REF!/INDEX('Useful Life &amp; SG&amp;A Build'!$A$9:$B$12,3,2),0),IFERROR(#REF!/INDEX('Useful Life &amp; SG&amp;A Build'!$A$9:$B$12,3,2),0))))</f>
        <v>0</v>
      </c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63"/>
      <c r="Z72" s="565"/>
      <c r="AA72" s="263"/>
      <c r="AB72" s="263"/>
    </row>
    <row r="73" spans="1:28" ht="16" x14ac:dyDescent="0.2">
      <c r="A73" s="583">
        <f t="shared" si="4"/>
        <v>2029</v>
      </c>
      <c r="B73" s="563">
        <f>-IF($A73+1&gt;B$60,0,IF(ROUND(INDEX('Useful Life &amp; SG&amp;A Build'!$A$9:$B$12,3,2),0)+$A73&lt;B$60,0,IF(ROUND(INDEX('Useful Life &amp; SG&amp;A Build'!$A$9:$B$12,3,2),0)+$A73=B$60,0.5*IFERROR(#REF!/INDEX('Useful Life &amp; SG&amp;A Build'!$A$9:$B$12,3,2),0),IFERROR(#REF!/INDEX('Useful Life &amp; SG&amp;A Build'!$A$9:$B$12,3,2),0))))</f>
        <v>0</v>
      </c>
      <c r="C73" s="563">
        <f>-IF($A73+1&gt;C$60,0,IF(ROUND(INDEX('Useful Life &amp; SG&amp;A Build'!$A$9:$B$12,3,2),0)+$A73&lt;C$60,0,IF(ROUND(INDEX('Useful Life &amp; SG&amp;A Build'!$A$9:$B$12,3,2),0)+$A73=C$60,0.5*IFERROR(#REF!/INDEX('Useful Life &amp; SG&amp;A Build'!$A$9:$B$12,3,2),0),IFERROR(#REF!/INDEX('Useful Life &amp; SG&amp;A Build'!$A$9:$B$12,3,2),0))))</f>
        <v>0</v>
      </c>
      <c r="D73" s="563">
        <f>-IF($A73+1&gt;D$60,0,IF(ROUND(INDEX('Useful Life &amp; SG&amp;A Build'!$A$9:$B$12,3,2),0)+$A73&lt;D$60,0,IF(ROUND(INDEX('Useful Life &amp; SG&amp;A Build'!$A$9:$B$12,3,2),0)+$A73=D$60,0.5*IFERROR(#REF!/INDEX('Useful Life &amp; SG&amp;A Build'!$A$9:$B$12,3,2),0),IFERROR(#REF!/INDEX('Useful Life &amp; SG&amp;A Build'!$A$9:$B$12,3,2),0))))</f>
        <v>0</v>
      </c>
      <c r="E73" s="563">
        <f>-IF($A73+1&gt;E$60,0,IF(ROUND(INDEX('Useful Life &amp; SG&amp;A Build'!$A$9:$B$12,3,2),0)+$A73&lt;E$60,0,IF(ROUND(INDEX('Useful Life &amp; SG&amp;A Build'!$A$9:$B$12,3,2),0)+$A73=E$60,0.5*IFERROR(#REF!/INDEX('Useful Life &amp; SG&amp;A Build'!$A$9:$B$12,3,2),0),IFERROR(#REF!/INDEX('Useful Life &amp; SG&amp;A Build'!$A$9:$B$12,3,2),0))))</f>
        <v>0</v>
      </c>
      <c r="F73" s="563">
        <f>-IF($A73+1&gt;F$60,0,IF(ROUND(INDEX('Useful Life &amp; SG&amp;A Build'!$A$9:$B$12,3,2),0)+$A73&lt;F$60,0,IF(ROUND(INDEX('Useful Life &amp; SG&amp;A Build'!$A$9:$B$12,3,2),0)+$A73=F$60,0.5*IFERROR(#REF!/INDEX('Useful Life &amp; SG&amp;A Build'!$A$9:$B$12,3,2),0),IFERROR(#REF!/INDEX('Useful Life &amp; SG&amp;A Build'!$A$9:$B$12,3,2),0))))</f>
        <v>0</v>
      </c>
      <c r="G73" s="563">
        <f>-IF($A73+1&gt;G$60,0,IF(ROUND(INDEX('Useful Life &amp; SG&amp;A Build'!$A$9:$B$12,3,2),0)+$A73&lt;G$60,0,IF(ROUND(INDEX('Useful Life &amp; SG&amp;A Build'!$A$9:$B$12,3,2),0)+$A73=G$60,0.5*IFERROR(#REF!/INDEX('Useful Life &amp; SG&amp;A Build'!$A$9:$B$12,3,2),0),IFERROR(#REF!/INDEX('Useful Life &amp; SG&amp;A Build'!$A$9:$B$12,3,2),0))))</f>
        <v>0</v>
      </c>
      <c r="H73" s="563">
        <f>-IF($A73+1&gt;H$60,0,IF(ROUND(INDEX('Useful Life &amp; SG&amp;A Build'!$A$9:$B$12,3,2),0)+$A73&lt;H$60,0,IF(ROUND(INDEX('Useful Life &amp; SG&amp;A Build'!$A$9:$B$12,3,2),0)+$A73=H$60,0.5*IFERROR(#REF!/INDEX('Useful Life &amp; SG&amp;A Build'!$A$9:$B$12,3,2),0),IFERROR(#REF!/INDEX('Useful Life &amp; SG&amp;A Build'!$A$9:$B$12,3,2),0))))</f>
        <v>0</v>
      </c>
      <c r="I73" s="563">
        <f>-IF($A73+1&gt;I$60,0,IF(ROUND(INDEX('Useful Life &amp; SG&amp;A Build'!$A$9:$B$12,3,2),0)+$A73&lt;I$60,0,IF(ROUND(INDEX('Useful Life &amp; SG&amp;A Build'!$A$9:$B$12,3,2),0)+$A73=I$60,0.5*IFERROR(#REF!/INDEX('Useful Life &amp; SG&amp;A Build'!$A$9:$B$12,3,2),0),IFERROR(#REF!/INDEX('Useful Life &amp; SG&amp;A Build'!$A$9:$B$12,3,2),0))))</f>
        <v>0</v>
      </c>
      <c r="J73" s="563">
        <f>-IF($A73+1&gt;J$60,0,IF(ROUND(INDEX('Useful Life &amp; SG&amp;A Build'!$A$9:$B$12,3,2),0)+$A73&lt;J$60,0,IF(ROUND(INDEX('Useful Life &amp; SG&amp;A Build'!$A$9:$B$12,3,2),0)+$A73=J$60,0.5*IFERROR(#REF!/INDEX('Useful Life &amp; SG&amp;A Build'!$A$9:$B$12,3,2),0),IFERROR(#REF!/INDEX('Useful Life &amp; SG&amp;A Build'!$A$9:$B$12,3,2),0))))</f>
        <v>0</v>
      </c>
      <c r="K73" s="563">
        <f>-IF($A73+1&gt;K$60,0,IF(ROUND(INDEX('Useful Life &amp; SG&amp;A Build'!$A$9:$B$12,3,2),0)+$A73&lt;K$60,0,IF(ROUND(INDEX('Useful Life &amp; SG&amp;A Build'!$A$9:$B$12,3,2),0)+$A73=K$60,0.5*IFERROR(#REF!/INDEX('Useful Life &amp; SG&amp;A Build'!$A$9:$B$12,3,2),0),IFERROR(#REF!/INDEX('Useful Life &amp; SG&amp;A Build'!$A$9:$B$12,3,2),0))))</f>
        <v>0</v>
      </c>
      <c r="L73" s="563">
        <f>-IF($A73+1&gt;L$60,0,IF(ROUND(INDEX('Useful Life &amp; SG&amp;A Build'!$A$9:$B$12,3,2),0)+$A73&lt;L$60,0,IF(ROUND(INDEX('Useful Life &amp; SG&amp;A Build'!$A$9:$B$12,3,2),0)+$A73=L$60,0.5*IFERROR(#REF!/INDEX('Useful Life &amp; SG&amp;A Build'!$A$9:$B$12,3,2),0),IFERROR(#REF!/INDEX('Useful Life &amp; SG&amp;A Build'!$A$9:$B$12,3,2),0))))</f>
        <v>0</v>
      </c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565"/>
      <c r="AA73" s="263"/>
      <c r="AB73" s="263"/>
    </row>
    <row r="74" spans="1:28" ht="16" x14ac:dyDescent="0.2">
      <c r="A74" s="583">
        <f t="shared" si="4"/>
        <v>2030</v>
      </c>
      <c r="B74" s="563">
        <f>-IF($A74+1&gt;B$60,0,IF(ROUND(INDEX('Useful Life &amp; SG&amp;A Build'!$A$9:$B$12,3,2),0)+$A74&lt;B$60,0,IF(ROUND(INDEX('Useful Life &amp; SG&amp;A Build'!$A$9:$B$12,3,2),0)+$A74=B$60,0.5*IFERROR(#REF!/INDEX('Useful Life &amp; SG&amp;A Build'!$A$9:$B$12,3,2),0),IFERROR(#REF!/INDEX('Useful Life &amp; SG&amp;A Build'!$A$9:$B$12,3,2),0))))</f>
        <v>0</v>
      </c>
      <c r="C74" s="563">
        <f>-IF($A74+1&gt;C$60,0,IF(ROUND(INDEX('Useful Life &amp; SG&amp;A Build'!$A$9:$B$12,3,2),0)+$A74&lt;C$60,0,IF(ROUND(INDEX('Useful Life &amp; SG&amp;A Build'!$A$9:$B$12,3,2),0)+$A74=C$60,0.5*IFERROR(#REF!/INDEX('Useful Life &amp; SG&amp;A Build'!$A$9:$B$12,3,2),0),IFERROR(#REF!/INDEX('Useful Life &amp; SG&amp;A Build'!$A$9:$B$12,3,2),0))))</f>
        <v>0</v>
      </c>
      <c r="D74" s="563">
        <f>-IF($A74+1&gt;D$60,0,IF(ROUND(INDEX('Useful Life &amp; SG&amp;A Build'!$A$9:$B$12,3,2),0)+$A74&lt;D$60,0,IF(ROUND(INDEX('Useful Life &amp; SG&amp;A Build'!$A$9:$B$12,3,2),0)+$A74=D$60,0.5*IFERROR(#REF!/INDEX('Useful Life &amp; SG&amp;A Build'!$A$9:$B$12,3,2),0),IFERROR(#REF!/INDEX('Useful Life &amp; SG&amp;A Build'!$A$9:$B$12,3,2),0))))</f>
        <v>0</v>
      </c>
      <c r="E74" s="563">
        <f>-IF($A74+1&gt;E$60,0,IF(ROUND(INDEX('Useful Life &amp; SG&amp;A Build'!$A$9:$B$12,3,2),0)+$A74&lt;E$60,0,IF(ROUND(INDEX('Useful Life &amp; SG&amp;A Build'!$A$9:$B$12,3,2),0)+$A74=E$60,0.5*IFERROR(#REF!/INDEX('Useful Life &amp; SG&amp;A Build'!$A$9:$B$12,3,2),0),IFERROR(#REF!/INDEX('Useful Life &amp; SG&amp;A Build'!$A$9:$B$12,3,2),0))))</f>
        <v>0</v>
      </c>
      <c r="F74" s="563">
        <f>-IF($A74+1&gt;F$60,0,IF(ROUND(INDEX('Useful Life &amp; SG&amp;A Build'!$A$9:$B$12,3,2),0)+$A74&lt;F$60,0,IF(ROUND(INDEX('Useful Life &amp; SG&amp;A Build'!$A$9:$B$12,3,2),0)+$A74=F$60,0.5*IFERROR(#REF!/INDEX('Useful Life &amp; SG&amp;A Build'!$A$9:$B$12,3,2),0),IFERROR(#REF!/INDEX('Useful Life &amp; SG&amp;A Build'!$A$9:$B$12,3,2),0))))</f>
        <v>0</v>
      </c>
      <c r="G74" s="563">
        <f>-IF($A74+1&gt;G$60,0,IF(ROUND(INDEX('Useful Life &amp; SG&amp;A Build'!$A$9:$B$12,3,2),0)+$A74&lt;G$60,0,IF(ROUND(INDEX('Useful Life &amp; SG&amp;A Build'!$A$9:$B$12,3,2),0)+$A74=G$60,0.5*IFERROR(#REF!/INDEX('Useful Life &amp; SG&amp;A Build'!$A$9:$B$12,3,2),0),IFERROR(#REF!/INDEX('Useful Life &amp; SG&amp;A Build'!$A$9:$B$12,3,2),0))))</f>
        <v>0</v>
      </c>
      <c r="H74" s="563">
        <f>-IF($A74+1&gt;H$60,0,IF(ROUND(INDEX('Useful Life &amp; SG&amp;A Build'!$A$9:$B$12,3,2),0)+$A74&lt;H$60,0,IF(ROUND(INDEX('Useful Life &amp; SG&amp;A Build'!$A$9:$B$12,3,2),0)+$A74=H$60,0.5*IFERROR(#REF!/INDEX('Useful Life &amp; SG&amp;A Build'!$A$9:$B$12,3,2),0),IFERROR(#REF!/INDEX('Useful Life &amp; SG&amp;A Build'!$A$9:$B$12,3,2),0))))</f>
        <v>0</v>
      </c>
      <c r="I74" s="563">
        <f>-IF($A74+1&gt;I$60,0,IF(ROUND(INDEX('Useful Life &amp; SG&amp;A Build'!$A$9:$B$12,3,2),0)+$A74&lt;I$60,0,IF(ROUND(INDEX('Useful Life &amp; SG&amp;A Build'!$A$9:$B$12,3,2),0)+$A74=I$60,0.5*IFERROR(#REF!/INDEX('Useful Life &amp; SG&amp;A Build'!$A$9:$B$12,3,2),0),IFERROR(#REF!/INDEX('Useful Life &amp; SG&amp;A Build'!$A$9:$B$12,3,2),0))))</f>
        <v>0</v>
      </c>
      <c r="J74" s="563">
        <f>-IF($A74+1&gt;J$60,0,IF(ROUND(INDEX('Useful Life &amp; SG&amp;A Build'!$A$9:$B$12,3,2),0)+$A74&lt;J$60,0,IF(ROUND(INDEX('Useful Life &amp; SG&amp;A Build'!$A$9:$B$12,3,2),0)+$A74=J$60,0.5*IFERROR(#REF!/INDEX('Useful Life &amp; SG&amp;A Build'!$A$9:$B$12,3,2),0),IFERROR(#REF!/INDEX('Useful Life &amp; SG&amp;A Build'!$A$9:$B$12,3,2),0))))</f>
        <v>0</v>
      </c>
      <c r="K74" s="563">
        <f>-IF($A74+1&gt;K$60,0,IF(ROUND(INDEX('Useful Life &amp; SG&amp;A Build'!$A$9:$B$12,3,2),0)+$A74&lt;K$60,0,IF(ROUND(INDEX('Useful Life &amp; SG&amp;A Build'!$A$9:$B$12,3,2),0)+$A74=K$60,0.5*IFERROR(#REF!/INDEX('Useful Life &amp; SG&amp;A Build'!$A$9:$B$12,3,2),0),IFERROR(#REF!/INDEX('Useful Life &amp; SG&amp;A Build'!$A$9:$B$12,3,2),0))))</f>
        <v>0</v>
      </c>
      <c r="L74" s="563">
        <f>-IF($A74+1&gt;L$60,0,IF(ROUND(INDEX('Useful Life &amp; SG&amp;A Build'!$A$9:$B$12,3,2),0)+$A74&lt;L$60,0,IF(ROUND(INDEX('Useful Life &amp; SG&amp;A Build'!$A$9:$B$12,3,2),0)+$A74=L$60,0.5*IFERROR(#REF!/INDEX('Useful Life &amp; SG&amp;A Build'!$A$9:$B$12,3,2),0),IFERROR(#REF!/INDEX('Useful Life &amp; SG&amp;A Build'!$A$9:$B$12,3,2),0))))</f>
        <v>0</v>
      </c>
      <c r="M74" s="263"/>
      <c r="N74" s="263"/>
      <c r="O74" s="263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565"/>
      <c r="AA74" s="263"/>
      <c r="AB74" s="263"/>
    </row>
    <row r="77" spans="1:28" x14ac:dyDescent="0.2">
      <c r="A77" s="734" t="s">
        <v>46</v>
      </c>
      <c r="B77" s="734"/>
      <c r="C77" s="734"/>
      <c r="D77" s="734"/>
      <c r="E77" s="734"/>
      <c r="F77" s="734"/>
      <c r="G77" s="734"/>
      <c r="H77" s="734"/>
      <c r="I77" s="734"/>
      <c r="J77" s="734"/>
      <c r="K77" s="734"/>
      <c r="L77" s="734"/>
      <c r="M77" s="734"/>
    </row>
    <row r="78" spans="1:28" x14ac:dyDescent="0.2">
      <c r="B78" s="227"/>
    </row>
    <row r="79" spans="1:28" x14ac:dyDescent="0.2">
      <c r="A79" s="236" t="s">
        <v>47</v>
      </c>
      <c r="B79" s="219">
        <v>2014</v>
      </c>
      <c r="C79" s="219">
        <f t="shared" ref="C79:M79" si="5">B79+1</f>
        <v>2015</v>
      </c>
      <c r="D79" s="219">
        <f t="shared" si="5"/>
        <v>2016</v>
      </c>
      <c r="E79" s="219">
        <f t="shared" si="5"/>
        <v>2017</v>
      </c>
      <c r="F79" s="219">
        <f t="shared" si="5"/>
        <v>2018</v>
      </c>
      <c r="G79" s="219">
        <f t="shared" si="5"/>
        <v>2019</v>
      </c>
      <c r="H79" s="219">
        <f t="shared" si="5"/>
        <v>2020</v>
      </c>
      <c r="I79" s="219">
        <f t="shared" si="5"/>
        <v>2021</v>
      </c>
      <c r="J79" s="219">
        <f t="shared" si="5"/>
        <v>2022</v>
      </c>
      <c r="K79" s="219">
        <f t="shared" si="5"/>
        <v>2023</v>
      </c>
      <c r="L79" s="219">
        <f t="shared" si="5"/>
        <v>2024</v>
      </c>
      <c r="M79" s="219">
        <f t="shared" si="5"/>
        <v>2025</v>
      </c>
    </row>
    <row r="80" spans="1:28" ht="16" x14ac:dyDescent="0.2">
      <c r="A80" s="220" t="s">
        <v>48</v>
      </c>
      <c r="B80" s="224">
        <v>692</v>
      </c>
      <c r="C80" s="224">
        <v>656</v>
      </c>
      <c r="D80" s="224">
        <v>657</v>
      </c>
      <c r="E80" s="224">
        <v>654</v>
      </c>
      <c r="F80" s="224">
        <v>683</v>
      </c>
      <c r="G80" s="224">
        <v>770</v>
      </c>
      <c r="H80" s="224">
        <v>812</v>
      </c>
      <c r="I80" s="224">
        <f>-'Three Statement Model'!D49</f>
        <v>839</v>
      </c>
      <c r="J80" s="224">
        <f>-'Three Statement Model'!E49</f>
        <v>869</v>
      </c>
      <c r="K80" s="224">
        <f>-'Three Statement Model'!F49</f>
        <v>918</v>
      </c>
      <c r="L80" s="224">
        <f>-'Three Statement Model'!G49</f>
        <v>923</v>
      </c>
      <c r="M80" s="224">
        <f>-'Three Statement Model'!H49</f>
        <v>219</v>
      </c>
    </row>
    <row r="81" spans="1:13" ht="16" x14ac:dyDescent="0.2">
      <c r="A81" s="220" t="s">
        <v>49</v>
      </c>
      <c r="B81" s="224">
        <v>8106</v>
      </c>
      <c r="C81" s="224">
        <v>7592</v>
      </c>
      <c r="D81" s="224">
        <v>7618</v>
      </c>
      <c r="E81" s="224">
        <v>7547</v>
      </c>
      <c r="F81" s="224">
        <v>8023</v>
      </c>
      <c r="G81" s="224">
        <v>8015</v>
      </c>
      <c r="H81" s="224">
        <v>7998</v>
      </c>
      <c r="I81" s="224">
        <v>7848</v>
      </c>
      <c r="J81" s="224">
        <v>8542</v>
      </c>
      <c r="K81" s="224">
        <v>7884</v>
      </c>
      <c r="L81" s="224">
        <v>7815</v>
      </c>
      <c r="M81" s="224">
        <v>7816</v>
      </c>
    </row>
    <row r="82" spans="1:13" ht="16" x14ac:dyDescent="0.2">
      <c r="A82" s="220" t="s">
        <v>50</v>
      </c>
      <c r="B82" s="229">
        <f t="shared" ref="B82:J82" si="6">B81-B80</f>
        <v>7414</v>
      </c>
      <c r="C82" s="229">
        <f t="shared" si="6"/>
        <v>6936</v>
      </c>
      <c r="D82" s="229">
        <f t="shared" si="6"/>
        <v>6961</v>
      </c>
      <c r="E82" s="229">
        <f t="shared" si="6"/>
        <v>6893</v>
      </c>
      <c r="F82" s="229">
        <f t="shared" si="6"/>
        <v>7340</v>
      </c>
      <c r="G82" s="229">
        <f t="shared" si="6"/>
        <v>7245</v>
      </c>
      <c r="H82" s="229">
        <f t="shared" si="6"/>
        <v>7186</v>
      </c>
      <c r="I82" s="229">
        <f t="shared" si="6"/>
        <v>7009</v>
      </c>
      <c r="J82" s="229">
        <f t="shared" si="6"/>
        <v>7673</v>
      </c>
      <c r="K82" s="229">
        <f>K81-K80</f>
        <v>6966</v>
      </c>
      <c r="L82" s="229">
        <f>L81-L80-161</f>
        <v>6731</v>
      </c>
      <c r="M82" s="229">
        <f>-(-475+'Three Statement Model'!L46)</f>
        <v>7260</v>
      </c>
    </row>
    <row r="83" spans="1:13" ht="16" x14ac:dyDescent="0.2">
      <c r="A83" s="220" t="s">
        <v>51</v>
      </c>
      <c r="B83" s="224">
        <v>42140</v>
      </c>
      <c r="C83" s="224">
        <v>40339</v>
      </c>
      <c r="D83" s="224">
        <v>39528</v>
      </c>
      <c r="E83" s="224">
        <v>39403</v>
      </c>
      <c r="F83" s="224">
        <v>42151</v>
      </c>
      <c r="G83" s="224">
        <v>42879</v>
      </c>
      <c r="H83" s="224">
        <v>43638</v>
      </c>
      <c r="I83" s="224">
        <f>'Segment Revenue Hist &amp; Forecast'!F27</f>
        <v>47262</v>
      </c>
      <c r="J83" s="224">
        <f>'Segment Revenue Hist &amp; Forecast'!G27</f>
        <v>51761</v>
      </c>
      <c r="K83" s="224">
        <f>'Segment Revenue Hist &amp; Forecast'!H27</f>
        <v>46298</v>
      </c>
      <c r="L83" s="224">
        <f>'Segment Revenue Hist &amp; Forecast'!I27</f>
        <v>43452</v>
      </c>
      <c r="M83" s="224">
        <f>'Segment Revenue Hist &amp; Forecast'!J27</f>
        <v>41528</v>
      </c>
    </row>
    <row r="84" spans="1:13" x14ac:dyDescent="0.2">
      <c r="A84" s="220" t="s">
        <v>52</v>
      </c>
      <c r="B84" s="230"/>
      <c r="C84" s="230"/>
      <c r="D84" s="231">
        <f>(C82-INTERCEPT($B$82:C82,$B$83:C83))/C83*D83+INTERCEPT($B$82:C82,$B$83:C83)</f>
        <v>6720.754025541366</v>
      </c>
      <c r="E84" s="231">
        <f>(D82-INTERCEPT($B$82:D82,$B$83:D83))/D83*E83+INTERCEPT($B$82:D82,$B$83:D83)</f>
        <v>6937.1798452699823</v>
      </c>
      <c r="F84" s="231">
        <f>(E82-INTERCEPT($B$82:E82,$B$83:E83))/E83*F83+INTERCEPT($B$82:E82,$B$83:E83)</f>
        <v>7397.2816629577947</v>
      </c>
      <c r="G84" s="231">
        <f>(F82-INTERCEPT($B$82:F82,$B$83:F83))/F83*G83+INTERCEPT($B$82:F82,$B$83:F83)</f>
        <v>7467.2056805093307</v>
      </c>
      <c r="H84" s="231">
        <f>(G82-INTERCEPT($B$82:G82,$B$83:G83))/G83*H83+INTERCEPT($B$82:G82,$B$83:G83)</f>
        <v>7346.0621667443465</v>
      </c>
      <c r="I84" s="231">
        <f>(H82-INTERCEPT($B$82:H82,$B$83:H83))/H83*I83+INTERCEPT($B$82:H82,$B$83:H83)</f>
        <v>7526.8447216583809</v>
      </c>
      <c r="J84" s="231">
        <f>(I82-INTERCEPT($B$82:I82,$B$83:I83))/I83*J83+INTERCEPT($B$82:I82,$B$83:I83)</f>
        <v>7083.6793903587868</v>
      </c>
      <c r="K84" s="231">
        <f>(J82-INTERCEPT($B$82:J82,$B$83:J83))/J83*K83+INTERCEPT($B$82:J82,$B$83:J83)</f>
        <v>7419.43446458578</v>
      </c>
      <c r="L84" s="231">
        <f>(K82-INTERCEPT($B$82:K82,$B$83:K83))/K83*L83+INTERCEPT($B$82:K82,$B$83:K83)</f>
        <v>6878.6852049263916</v>
      </c>
      <c r="M84" s="231">
        <f>M88*M83+M86</f>
        <v>6829.1072519887593</v>
      </c>
    </row>
    <row r="85" spans="1:13" x14ac:dyDescent="0.2">
      <c r="A85" s="220" t="s">
        <v>53</v>
      </c>
      <c r="B85" s="232"/>
      <c r="C85" s="228"/>
      <c r="D85" s="228">
        <f t="shared" ref="D85:L85" si="7">D84/D82-1</f>
        <v>-3.4513140993913782E-2</v>
      </c>
      <c r="E85" s="228">
        <f t="shared" si="7"/>
        <v>6.4093783940204485E-3</v>
      </c>
      <c r="F85" s="228">
        <f t="shared" si="7"/>
        <v>7.8040412749038612E-3</v>
      </c>
      <c r="G85" s="228">
        <f t="shared" si="7"/>
        <v>3.0670211250425128E-2</v>
      </c>
      <c r="H85" s="228">
        <f t="shared" si="7"/>
        <v>2.2274167373274034E-2</v>
      </c>
      <c r="I85" s="228">
        <f t="shared" si="7"/>
        <v>7.3882825175971112E-2</v>
      </c>
      <c r="J85" s="228">
        <f t="shared" si="7"/>
        <v>-7.6804458444052259E-2</v>
      </c>
      <c r="K85" s="228">
        <f t="shared" si="7"/>
        <v>6.5092515731521639E-2</v>
      </c>
      <c r="L85" s="228">
        <f t="shared" si="7"/>
        <v>2.1941049610220142E-2</v>
      </c>
      <c r="M85" s="228">
        <f>M84/M82-1</f>
        <v>-5.9351618183366428E-2</v>
      </c>
    </row>
    <row r="86" spans="1:13" x14ac:dyDescent="0.2">
      <c r="A86" s="220" t="s">
        <v>54</v>
      </c>
      <c r="B86" s="232"/>
      <c r="C86" s="233"/>
      <c r="D86" s="233"/>
      <c r="E86" s="233"/>
      <c r="F86" s="233"/>
      <c r="G86" s="233"/>
      <c r="H86" s="233">
        <f>INTERCEPT($E$82:H82,$E$83:H83)</f>
        <v>3723.4961633216249</v>
      </c>
      <c r="I86" s="233">
        <f>INTERCEPT($E$82:I82,$E$83:I83)</f>
        <v>6895.6625043013828</v>
      </c>
      <c r="J86" s="233">
        <f>INTERCEPT($E$82:J82,$E$83:J83)</f>
        <v>5317.0197273032945</v>
      </c>
      <c r="K86" s="233">
        <f>INTERCEPT($E$82:K82,$E$83:K83)</f>
        <v>5502.9417699145342</v>
      </c>
      <c r="L86" s="233">
        <f>INTERCEPT($E$82:L82,$E$83:L83)</f>
        <v>5241.6304202474857</v>
      </c>
      <c r="M86" s="233">
        <f>INTERCEPT($E$82:M82,$E$83:M83)</f>
        <v>5562.2688358134701</v>
      </c>
    </row>
    <row r="87" spans="1:13" x14ac:dyDescent="0.2">
      <c r="A87" s="220" t="s">
        <v>55</v>
      </c>
      <c r="B87" s="232"/>
      <c r="C87" s="233"/>
      <c r="D87" s="233"/>
      <c r="E87" s="233"/>
      <c r="F87" s="233"/>
      <c r="G87" s="233"/>
      <c r="H87" s="233"/>
      <c r="I87" s="233">
        <f>I86/'Three Statement Model'!D160</f>
        <v>5.9496656637630565</v>
      </c>
      <c r="J87" s="233">
        <f>J86/'Three Statement Model'!E160</f>
        <v>4.6477445168735096</v>
      </c>
      <c r="K87" s="233">
        <f>K86/'Three Statement Model'!F160</f>
        <v>4.8356254568669019</v>
      </c>
      <c r="L87" s="233">
        <f>L86/'Three Statement Model'!G160</f>
        <v>4.6592270402199869</v>
      </c>
      <c r="M87" s="233">
        <f>M86/'Three Statement Model'!L160</f>
        <v>4.9796498082484062</v>
      </c>
    </row>
    <row r="88" spans="1:13" x14ac:dyDescent="0.2">
      <c r="A88" s="220" t="s">
        <v>56</v>
      </c>
      <c r="B88" s="232"/>
      <c r="C88" s="230"/>
      <c r="D88" s="228"/>
      <c r="E88" s="230"/>
      <c r="F88" s="230"/>
      <c r="G88" s="230"/>
      <c r="H88" s="234"/>
      <c r="I88" s="234">
        <f>SLOPE($F$82:I82,$F$83:I83)</f>
        <v>-6.0056629896402959E-2</v>
      </c>
      <c r="J88" s="234">
        <f>SLOPE($F$82:J82,$F$83:J83)</f>
        <v>3.2057491761920555E-2</v>
      </c>
      <c r="K88" s="234">
        <f>SLOPE($F$82:K82,$F$83:K83)</f>
        <v>2.8622942329009481E-2</v>
      </c>
      <c r="L88" s="234">
        <f>SLOPE($F$82:L82,$F$83:L83)</f>
        <v>4.0861057485133655E-2</v>
      </c>
      <c r="M88" s="234">
        <f>SLOPE($F$82:M82,$F$83:M83)</f>
        <v>3.0505644774014861E-2</v>
      </c>
    </row>
    <row r="89" spans="1:13" x14ac:dyDescent="0.2">
      <c r="B89" s="227"/>
      <c r="C89" s="227"/>
      <c r="D89" s="227"/>
      <c r="E89" s="227"/>
      <c r="F89" s="227"/>
      <c r="G89" s="227"/>
      <c r="H89" s="227"/>
      <c r="I89" s="227"/>
      <c r="J89" s="227"/>
      <c r="K89" s="227"/>
      <c r="L89" s="227"/>
    </row>
    <row r="90" spans="1:13" x14ac:dyDescent="0.2">
      <c r="I90" s="227"/>
    </row>
    <row r="91" spans="1:13" x14ac:dyDescent="0.2">
      <c r="A91" s="103"/>
      <c r="E91" s="105"/>
    </row>
    <row r="92" spans="1:13" ht="16" x14ac:dyDescent="0.2">
      <c r="A92" s="301" t="s">
        <v>355</v>
      </c>
      <c r="B92" s="302"/>
      <c r="C92" s="235"/>
      <c r="D92" s="235"/>
      <c r="E92" s="222"/>
    </row>
    <row r="93" spans="1:13" ht="16" x14ac:dyDescent="0.2">
      <c r="A93" s="220" t="s">
        <v>383</v>
      </c>
      <c r="B93" s="416"/>
      <c r="C93" s="235"/>
      <c r="D93" s="235"/>
      <c r="E93" s="222"/>
    </row>
    <row r="94" spans="1:13" x14ac:dyDescent="0.2">
      <c r="A94" s="374" t="s">
        <v>381</v>
      </c>
      <c r="B94" s="375">
        <f>AVERAGE(C108:F108)</f>
        <v>3.5743806571660416E-2</v>
      </c>
    </row>
    <row r="95" spans="1:13" x14ac:dyDescent="0.2">
      <c r="A95" s="376" t="s">
        <v>390</v>
      </c>
      <c r="B95" s="192">
        <f>AVERAGE(D109:F109)</f>
        <v>0.30713111628533613</v>
      </c>
    </row>
    <row r="96" spans="1:13" x14ac:dyDescent="0.2">
      <c r="A96" s="417" t="s">
        <v>38</v>
      </c>
      <c r="B96" s="418"/>
    </row>
    <row r="97" spans="1:6" ht="16" x14ac:dyDescent="0.2">
      <c r="A97" s="307" t="s">
        <v>7</v>
      </c>
      <c r="B97" s="228">
        <f>AVERAGE(B113:F113)</f>
        <v>7.5593521458563843E-4</v>
      </c>
      <c r="C97" s="235"/>
      <c r="D97" s="235"/>
      <c r="E97" s="222"/>
    </row>
    <row r="98" spans="1:6" ht="16" x14ac:dyDescent="0.2">
      <c r="A98" s="424" t="s">
        <v>421</v>
      </c>
      <c r="B98" s="228">
        <v>0</v>
      </c>
      <c r="C98" s="235"/>
      <c r="D98" s="235"/>
      <c r="E98" s="222"/>
    </row>
    <row r="99" spans="1:6" ht="16" x14ac:dyDescent="0.2">
      <c r="A99" s="220" t="s">
        <v>382</v>
      </c>
      <c r="B99" s="418"/>
      <c r="C99" s="235"/>
      <c r="D99" s="235"/>
      <c r="E99" s="222"/>
    </row>
    <row r="100" spans="1:6" ht="16" x14ac:dyDescent="0.2">
      <c r="A100" s="307" t="s">
        <v>371</v>
      </c>
      <c r="B100" s="232">
        <f>AVERAGE(B117:F117)</f>
        <v>0.17959377504064836</v>
      </c>
      <c r="C100" s="235"/>
      <c r="D100" s="235"/>
      <c r="E100" s="222"/>
    </row>
    <row r="101" spans="1:6" ht="16" x14ac:dyDescent="0.2">
      <c r="A101" s="307" t="s">
        <v>388</v>
      </c>
      <c r="B101" s="228">
        <f>AVERAGE(C118:F118)</f>
        <v>-9.1804019970436468E-3</v>
      </c>
      <c r="C101" s="235"/>
      <c r="D101" s="235"/>
      <c r="E101" s="222"/>
    </row>
    <row r="106" spans="1:6" hidden="1" outlineLevel="1" x14ac:dyDescent="0.2">
      <c r="A106" s="295" t="s">
        <v>39</v>
      </c>
      <c r="B106" s="236">
        <v>2021</v>
      </c>
      <c r="C106" s="236">
        <f>+B106+1</f>
        <v>2022</v>
      </c>
      <c r="D106" s="236">
        <f>+C106+1</f>
        <v>2023</v>
      </c>
      <c r="E106" s="236">
        <f>+D106+1</f>
        <v>2024</v>
      </c>
      <c r="F106" s="236">
        <f>+E106+1</f>
        <v>2025</v>
      </c>
    </row>
    <row r="107" spans="1:6" ht="16" hidden="1" outlineLevel="1" x14ac:dyDescent="0.2">
      <c r="A107" s="321" t="s">
        <v>158</v>
      </c>
      <c r="B107" s="315">
        <v>18674</v>
      </c>
      <c r="C107" s="315">
        <v>16430</v>
      </c>
      <c r="D107" s="315">
        <v>14212</v>
      </c>
      <c r="E107" s="315">
        <v>13102</v>
      </c>
      <c r="F107" s="315">
        <v>12994</v>
      </c>
    </row>
    <row r="108" spans="1:6" ht="16" hidden="1" outlineLevel="1" x14ac:dyDescent="0.2">
      <c r="A108" s="368" t="s">
        <v>159</v>
      </c>
      <c r="B108" s="369">
        <f>G6/B107</f>
        <v>2.8863660704723144E-2</v>
      </c>
      <c r="C108" s="369">
        <f>H6/C107</f>
        <v>3.3414485696895924E-2</v>
      </c>
      <c r="D108" s="369">
        <f>I6/D107</f>
        <v>3.7996059667886294E-2</v>
      </c>
      <c r="E108" s="369">
        <f>J6/E107</f>
        <v>3.7856815753320103E-2</v>
      </c>
      <c r="F108" s="369">
        <f>K6/F107/0.4</f>
        <v>3.3707865168539332E-2</v>
      </c>
    </row>
    <row r="109" spans="1:6" ht="16" hidden="1" outlineLevel="1" x14ac:dyDescent="0.2">
      <c r="A109" s="368" t="s">
        <v>390</v>
      </c>
      <c r="B109" s="369">
        <f>B107/'Segment Revenue Hist &amp; Forecast'!F27</f>
        <v>0.39511658414794126</v>
      </c>
      <c r="C109" s="369">
        <f>C107/'Segment Revenue Hist &amp; Forecast'!G27</f>
        <v>0.31742045169142791</v>
      </c>
      <c r="D109" s="369">
        <f>D107/'Segment Revenue Hist &amp; Forecast'!H27</f>
        <v>0.30696790358114823</v>
      </c>
      <c r="E109" s="369">
        <f>E107/'Segment Revenue Hist &amp; Forecast'!I27</f>
        <v>0.30152812298628373</v>
      </c>
      <c r="F109" s="369">
        <f>F107/'Segment Revenue Hist &amp; Forecast'!J27</f>
        <v>0.31289732228857636</v>
      </c>
    </row>
    <row r="110" spans="1:6" hidden="1" outlineLevel="1" x14ac:dyDescent="0.2"/>
    <row r="111" spans="1:6" hidden="1" outlineLevel="1" x14ac:dyDescent="0.2">
      <c r="A111" s="295" t="s">
        <v>38</v>
      </c>
      <c r="B111" s="236">
        <v>2021</v>
      </c>
      <c r="C111" s="236">
        <f>+B111+1</f>
        <v>2022</v>
      </c>
      <c r="D111" s="236">
        <f>+C111+1</f>
        <v>2023</v>
      </c>
      <c r="E111" s="236">
        <f>+D111+1</f>
        <v>2024</v>
      </c>
      <c r="F111" s="236">
        <f>+E111+1</f>
        <v>2025</v>
      </c>
    </row>
    <row r="112" spans="1:6" ht="16" hidden="1" outlineLevel="1" x14ac:dyDescent="0.2">
      <c r="A112" s="321" t="s">
        <v>319</v>
      </c>
      <c r="B112" s="315">
        <f>'Segment Revenue Hist &amp; Forecast'!F3+'Segment Revenue Hist &amp; Forecast'!F6+'Segment Revenue Hist &amp; Forecast'!F9+'Segment Revenue Hist &amp; Forecast'!F12</f>
        <v>44816</v>
      </c>
      <c r="C112" s="315">
        <f>'Segment Revenue Hist &amp; Forecast'!G3+'Segment Revenue Hist &amp; Forecast'!G6+'Segment Revenue Hist &amp; Forecast'!G9+'Segment Revenue Hist &amp; Forecast'!G12</f>
        <v>49123</v>
      </c>
      <c r="D112" s="315">
        <f>'Segment Revenue Hist &amp; Forecast'!H3+'Segment Revenue Hist &amp; Forecast'!H6+'Segment Revenue Hist &amp; Forecast'!H9+'Segment Revenue Hist &amp; Forecast'!H12</f>
        <v>43649</v>
      </c>
      <c r="E112" s="315">
        <f>'Segment Revenue Hist &amp; Forecast'!I3+'Segment Revenue Hist &amp; Forecast'!I6+'Segment Revenue Hist &amp; Forecast'!I9+'Segment Revenue Hist &amp; Forecast'!I12</f>
        <v>40618</v>
      </c>
      <c r="F112" s="315">
        <f>'Segment Revenue Hist &amp; Forecast'!J3+'Segment Revenue Hist &amp; Forecast'!J6+'Segment Revenue Hist &amp; Forecast'!J9+'Segment Revenue Hist &amp; Forecast'!J12</f>
        <v>38564</v>
      </c>
    </row>
    <row r="113" spans="1:6" ht="16" hidden="1" outlineLevel="1" x14ac:dyDescent="0.2">
      <c r="A113" s="368" t="s">
        <v>373</v>
      </c>
      <c r="B113" s="369">
        <f>G5/B112</f>
        <v>1.2718671902891825E-3</v>
      </c>
      <c r="C113" s="369">
        <f>H5/C112</f>
        <v>2.0357062882967245E-4</v>
      </c>
      <c r="D113" s="369">
        <f>I5/D112</f>
        <v>8.0185113061009416E-4</v>
      </c>
      <c r="E113" s="369">
        <f>J5/E112</f>
        <v>5.1701216209562259E-4</v>
      </c>
      <c r="F113" s="369">
        <f>K5/F112/0.4</f>
        <v>9.8537496110361988E-4</v>
      </c>
    </row>
    <row r="114" spans="1:6" hidden="1" outlineLevel="1" x14ac:dyDescent="0.2"/>
    <row r="115" spans="1:6" hidden="1" outlineLevel="1" x14ac:dyDescent="0.2">
      <c r="A115" s="295" t="s">
        <v>382</v>
      </c>
      <c r="B115" s="236">
        <v>2021</v>
      </c>
      <c r="C115" s="236">
        <f>+B115+1</f>
        <v>2022</v>
      </c>
      <c r="D115" s="236">
        <f>+C115+1</f>
        <v>2023</v>
      </c>
      <c r="E115" s="236">
        <f>+D115+1</f>
        <v>2024</v>
      </c>
      <c r="F115" s="236">
        <f>+E115+1</f>
        <v>2025</v>
      </c>
    </row>
    <row r="116" spans="1:6" ht="16" hidden="1" outlineLevel="1" x14ac:dyDescent="0.2">
      <c r="A116" s="321" t="s">
        <v>384</v>
      </c>
      <c r="B116" s="315">
        <v>1159</v>
      </c>
      <c r="C116" s="315">
        <v>1144</v>
      </c>
      <c r="D116" s="315">
        <v>1138</v>
      </c>
      <c r="E116" s="315">
        <v>1125</v>
      </c>
      <c r="F116" s="315">
        <v>1117</v>
      </c>
    </row>
    <row r="117" spans="1:6" ht="16" hidden="1" outlineLevel="1" x14ac:dyDescent="0.2">
      <c r="A117" s="368" t="s">
        <v>391</v>
      </c>
      <c r="B117" s="372">
        <f>G4/B116</f>
        <v>0.10094909404659189</v>
      </c>
      <c r="C117" s="372">
        <f>H4/C116</f>
        <v>0.1555944055944056</v>
      </c>
      <c r="D117" s="372">
        <f>I4/D116</f>
        <v>0.31195079086115995</v>
      </c>
      <c r="E117" s="372">
        <f>J4/E116</f>
        <v>0.24711111111111111</v>
      </c>
      <c r="F117" s="372">
        <f>K4/F116</f>
        <v>8.2363473589973146E-2</v>
      </c>
    </row>
    <row r="118" spans="1:6" hidden="1" outlineLevel="1" x14ac:dyDescent="0.2">
      <c r="A118" s="109" t="s">
        <v>389</v>
      </c>
      <c r="C118" s="121">
        <f>C116/B116-1</f>
        <v>-1.2942191544434878E-2</v>
      </c>
      <c r="D118" s="121">
        <f>D116/C116-1</f>
        <v>-5.2447552447552059E-3</v>
      </c>
      <c r="E118" s="121">
        <f>E116/D116-1</f>
        <v>-1.1423550087873435E-2</v>
      </c>
      <c r="F118" s="121">
        <f>F116/E116-1</f>
        <v>-7.1111111111110681E-3</v>
      </c>
    </row>
    <row r="119" spans="1:6" collapsed="1" x14ac:dyDescent="0.2"/>
  </sheetData>
  <mergeCells count="2">
    <mergeCell ref="A1:L1"/>
    <mergeCell ref="A77:M77"/>
  </mergeCells>
  <pageMargins left="0.7" right="0.7" top="0.75" bottom="0.75" header="0.3" footer="0.3"/>
  <pageSetup orientation="portrait" horizontalDpi="0" verticalDpi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A3F67-CCCE-E840-8A0D-782E5B184D71}">
  <sheetPr>
    <tabColor rgb="FFE7F2FF"/>
  </sheetPr>
  <dimension ref="A1"/>
  <sheetViews>
    <sheetView workbookViewId="0">
      <selection activeCell="E25" sqref="E25:E26"/>
    </sheetView>
  </sheetViews>
  <sheetFormatPr baseColWidth="10" defaultRowHeight="15" x14ac:dyDescent="0.2"/>
  <cols>
    <col min="1" max="16384" width="10.83203125" style="100"/>
  </cols>
  <sheetData/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F837F-D3D9-4292-A117-DD282846AC5F}">
  <sheetPr>
    <tabColor rgb="FF0064FF"/>
  </sheetPr>
  <dimension ref="A1:AF56"/>
  <sheetViews>
    <sheetView showGridLines="0" topLeftCell="O1" zoomScale="200" zoomScaleNormal="142" workbookViewId="0">
      <selection activeCell="T8" sqref="T8"/>
    </sheetView>
  </sheetViews>
  <sheetFormatPr baseColWidth="10" defaultColWidth="8.6640625" defaultRowHeight="15" outlineLevelCol="1" x14ac:dyDescent="0.2"/>
  <cols>
    <col min="1" max="1" width="24.33203125" style="7" bestFit="1" customWidth="1"/>
    <col min="2" max="10" width="9.33203125" style="7" customWidth="1" outlineLevel="1"/>
    <col min="11" max="14" width="9.5" style="7" bestFit="1" customWidth="1"/>
    <col min="15" max="15" width="9.6640625" style="7" bestFit="1" customWidth="1"/>
    <col min="16" max="17" width="8.83203125" style="7" bestFit="1" customWidth="1"/>
    <col min="18" max="18" width="5.33203125" style="7" customWidth="1"/>
    <col min="19" max="19" width="39.83203125" style="7" bestFit="1" customWidth="1"/>
    <col min="20" max="24" width="10.33203125" style="7" bestFit="1" customWidth="1"/>
    <col min="25" max="16384" width="8.6640625" style="7"/>
  </cols>
  <sheetData>
    <row r="1" spans="1:32" ht="16" thickBot="1" x14ac:dyDescent="0.25">
      <c r="B1" s="735" t="s">
        <v>341</v>
      </c>
      <c r="C1" s="736"/>
      <c r="D1" s="736"/>
      <c r="E1" s="736"/>
      <c r="F1" s="736"/>
      <c r="G1" s="736"/>
      <c r="H1" s="736"/>
      <c r="I1" s="736"/>
      <c r="J1" s="736"/>
      <c r="K1" s="737" t="s">
        <v>344</v>
      </c>
      <c r="L1" s="737"/>
      <c r="M1" s="737"/>
      <c r="N1" s="737"/>
      <c r="O1" s="737"/>
      <c r="P1" s="737"/>
      <c r="Q1" s="737"/>
      <c r="R1" s="13"/>
      <c r="S1" s="737" t="s">
        <v>355</v>
      </c>
      <c r="T1" s="737"/>
      <c r="U1" s="737"/>
      <c r="V1" s="737"/>
      <c r="W1" s="737"/>
      <c r="X1" s="737"/>
      <c r="Y1" s="737"/>
    </row>
    <row r="2" spans="1:32" x14ac:dyDescent="0.2">
      <c r="A2" s="120" t="s">
        <v>343</v>
      </c>
      <c r="B2" s="119">
        <v>2017</v>
      </c>
      <c r="C2" s="119">
        <v>2018</v>
      </c>
      <c r="D2" s="119">
        <v>2019</v>
      </c>
      <c r="E2" s="119">
        <v>2020</v>
      </c>
      <c r="F2" s="119">
        <v>2021</v>
      </c>
      <c r="G2" s="119">
        <v>2022</v>
      </c>
      <c r="H2" s="119">
        <v>2023</v>
      </c>
      <c r="I2" s="119">
        <v>2024</v>
      </c>
      <c r="J2" s="119">
        <v>2025</v>
      </c>
      <c r="K2" s="115">
        <v>2026</v>
      </c>
      <c r="L2" s="115">
        <f>K2+1</f>
        <v>2027</v>
      </c>
      <c r="M2" s="115">
        <f>L2+1</f>
        <v>2028</v>
      </c>
      <c r="N2" s="115">
        <f>M2+1</f>
        <v>2029</v>
      </c>
      <c r="O2" s="115">
        <f>N2+1</f>
        <v>2030</v>
      </c>
      <c r="P2" s="115">
        <f>O2+1</f>
        <v>2031</v>
      </c>
      <c r="Q2" s="116" t="s">
        <v>204</v>
      </c>
      <c r="S2" s="108" t="s">
        <v>1</v>
      </c>
      <c r="T2" s="107">
        <v>2026</v>
      </c>
      <c r="U2" s="107">
        <f>T2+1</f>
        <v>2027</v>
      </c>
      <c r="V2" s="107">
        <f>U2+1</f>
        <v>2028</v>
      </c>
      <c r="W2" s="107">
        <f>V2+1</f>
        <v>2029</v>
      </c>
      <c r="X2" s="107">
        <f>W2+1</f>
        <v>2030</v>
      </c>
      <c r="Y2" s="107">
        <f>X2+1</f>
        <v>2031</v>
      </c>
      <c r="Z2" s="433"/>
      <c r="AA2" s="433"/>
      <c r="AB2" s="433"/>
      <c r="AC2" s="433"/>
      <c r="AD2" s="433"/>
      <c r="AE2" s="433"/>
      <c r="AF2" s="433"/>
    </row>
    <row r="3" spans="1:32" x14ac:dyDescent="0.2">
      <c r="A3" s="117" t="s">
        <v>1</v>
      </c>
      <c r="B3" s="435">
        <v>17826</v>
      </c>
      <c r="C3" s="435">
        <v>18998</v>
      </c>
      <c r="D3" s="435">
        <v>19064</v>
      </c>
      <c r="E3" s="435">
        <v>18769</v>
      </c>
      <c r="F3" s="435">
        <v>21653</v>
      </c>
      <c r="G3" s="435">
        <v>22478</v>
      </c>
      <c r="H3" s="435">
        <v>19766</v>
      </c>
      <c r="I3" s="435">
        <v>18482</v>
      </c>
      <c r="J3" s="435">
        <v>18681</v>
      </c>
      <c r="K3" s="118">
        <f t="shared" ref="K3:P3" si="0">T3*T7+T8*(T4*T3*(T5))</f>
        <v>19522.431268070755</v>
      </c>
      <c r="L3" s="118">
        <f t="shared" si="0"/>
        <v>22539.450132777361</v>
      </c>
      <c r="M3" s="118">
        <f t="shared" si="0"/>
        <v>21321.822874722857</v>
      </c>
      <c r="N3" s="118">
        <f t="shared" si="0"/>
        <v>17827.647781393287</v>
      </c>
      <c r="O3" s="118">
        <f t="shared" si="0"/>
        <v>17591.24169067113</v>
      </c>
      <c r="P3" s="118">
        <f t="shared" si="0"/>
        <v>17354.835599948969</v>
      </c>
      <c r="Q3" s="123">
        <f>(P3/K3)^(1/COUNTA($K$2:$P$2))-1</f>
        <v>-1.9424359568948613E-2</v>
      </c>
      <c r="S3" s="109" t="s">
        <v>240</v>
      </c>
      <c r="T3" s="111">
        <f>SUMMARY!B7</f>
        <v>47281.218144431783</v>
      </c>
      <c r="U3" s="111">
        <f>T3*(1+U6)</f>
        <v>47281.218144431783</v>
      </c>
      <c r="V3" s="111">
        <f>U3*(1+V6)</f>
        <v>47281.218144431783</v>
      </c>
      <c r="W3" s="111">
        <f>V3*(1+W6)</f>
        <v>47281.218144431783</v>
      </c>
      <c r="X3" s="111">
        <f>W3*(1+X6)</f>
        <v>47281.218144431783</v>
      </c>
      <c r="Y3" s="111">
        <f>X3*(1+Y6)</f>
        <v>47281.218144431783</v>
      </c>
      <c r="AB3" s="114"/>
      <c r="AC3" s="121"/>
    </row>
    <row r="4" spans="1:32" x14ac:dyDescent="0.2">
      <c r="A4" s="109" t="s">
        <v>178</v>
      </c>
      <c r="B4" s="109"/>
      <c r="C4" s="122">
        <f>C3/B3-1</f>
        <v>6.5746662178839843E-2</v>
      </c>
      <c r="D4" s="122">
        <f t="shared" ref="D4:J4" si="1">D3/C3-1</f>
        <v>3.4740498999894509E-3</v>
      </c>
      <c r="E4" s="122">
        <f t="shared" si="1"/>
        <v>-1.5474192194712577E-2</v>
      </c>
      <c r="F4" s="122">
        <f t="shared" si="1"/>
        <v>0.15365762693803608</v>
      </c>
      <c r="G4" s="122">
        <f t="shared" si="1"/>
        <v>3.8100955987622864E-2</v>
      </c>
      <c r="H4" s="122">
        <f t="shared" si="1"/>
        <v>-0.12065130349675235</v>
      </c>
      <c r="I4" s="122">
        <f t="shared" si="1"/>
        <v>-6.49600323788323E-2</v>
      </c>
      <c r="J4" s="122">
        <f t="shared" si="1"/>
        <v>1.0767232983443398E-2</v>
      </c>
      <c r="K4" s="122">
        <f t="shared" ref="K4:P4" si="2">K3/J3-1</f>
        <v>4.5042089185308942E-2</v>
      </c>
      <c r="L4" s="122">
        <f t="shared" si="2"/>
        <v>0.15454114414739872</v>
      </c>
      <c r="M4" s="122">
        <f t="shared" si="2"/>
        <v>-5.4022048048270932E-2</v>
      </c>
      <c r="N4" s="122">
        <f t="shared" si="2"/>
        <v>-0.16387787825927091</v>
      </c>
      <c r="O4" s="122">
        <f t="shared" si="2"/>
        <v>-1.3260644007612399E-2</v>
      </c>
      <c r="P4" s="122">
        <f t="shared" si="2"/>
        <v>-1.3438851837703436E-2</v>
      </c>
      <c r="Q4" s="113"/>
      <c r="S4" s="109" t="s">
        <v>238</v>
      </c>
      <c r="T4" s="113">
        <f>SUMMARY!B14</f>
        <v>0.31</v>
      </c>
      <c r="U4" s="113">
        <v>0.5</v>
      </c>
      <c r="V4" s="113">
        <f>1/(1+EXP(-SUMMARY!$B$16*(V2-SUMMARY!$B$15)))</f>
        <v>0.76852478349901754</v>
      </c>
      <c r="W4" s="113">
        <f>1/(1+EXP(-SUMMARY!$B$16*(W2-SUMMARY!$B$15)))</f>
        <v>0.85814893509951229</v>
      </c>
      <c r="X4" s="113">
        <f>1/(1+EXP(-SUMMARY!$B$16*(X2-SUMMARY!$B$15)))</f>
        <v>0.91682730350607766</v>
      </c>
      <c r="Y4" s="113">
        <f>1/(1+EXP(-SUMMARY!$B$16*(Y2-SUMMARY!$B$15)))</f>
        <v>0.95257412682243336</v>
      </c>
      <c r="Z4" s="113"/>
      <c r="AA4" s="113"/>
      <c r="AB4" s="113"/>
      <c r="AC4" s="113"/>
      <c r="AD4" s="113"/>
      <c r="AE4" s="113"/>
      <c r="AF4" s="113"/>
    </row>
    <row r="5" spans="1:32" x14ac:dyDescent="0.2">
      <c r="K5" s="112"/>
      <c r="L5" s="112"/>
      <c r="M5" s="112"/>
      <c r="N5" s="112"/>
      <c r="O5" s="112"/>
      <c r="P5" s="112"/>
      <c r="Q5" s="113"/>
      <c r="S5" s="109" t="s">
        <v>239</v>
      </c>
      <c r="T5" s="113">
        <f>SUMMARY!B17</f>
        <v>0.37078907435508346</v>
      </c>
      <c r="U5" s="113">
        <f>MAX(0,T5-$T$5/(SUMMARY!$B$18-$T$2+1))</f>
        <v>0.24719271623672229</v>
      </c>
      <c r="V5" s="113">
        <f>MAX(0,U5-$T$5/(SUMMARY!$B$18-$T$2+1))</f>
        <v>0.12359635811836113</v>
      </c>
      <c r="W5" s="113">
        <f>MAX(0,V5-$T$5/(SUMMARY!$B$18-$T$2+1))</f>
        <v>0</v>
      </c>
      <c r="X5" s="113">
        <f>MAX(0,W5-$T$5/(SUMMARY!$B$18-$T$2+1))</f>
        <v>0</v>
      </c>
      <c r="Y5" s="113">
        <f>MAX(0,X5-$T$5/(SUMMARY!$B$18-$T$2+1))</f>
        <v>0</v>
      </c>
      <c r="AB5" s="114"/>
    </row>
    <row r="6" spans="1:32" x14ac:dyDescent="0.2">
      <c r="A6" s="117" t="s">
        <v>235</v>
      </c>
      <c r="B6" s="434">
        <v>13302.37</v>
      </c>
      <c r="C6" s="434">
        <v>13943</v>
      </c>
      <c r="D6" s="434">
        <v>14062</v>
      </c>
      <c r="E6" s="434">
        <v>14292</v>
      </c>
      <c r="F6" s="434">
        <v>14211</v>
      </c>
      <c r="G6" s="434">
        <v>16203</v>
      </c>
      <c r="H6" s="434">
        <v>14094</v>
      </c>
      <c r="I6" s="434">
        <v>12969</v>
      </c>
      <c r="J6" s="434">
        <v>12065</v>
      </c>
      <c r="K6" s="118">
        <f t="shared" ref="K6:P6" si="3">(1+K7)*J6</f>
        <v>11774.15433148201</v>
      </c>
      <c r="L6" s="118">
        <f t="shared" si="3"/>
        <v>10984.031315802351</v>
      </c>
      <c r="M6" s="118">
        <f t="shared" si="3"/>
        <v>10246.930739130263</v>
      </c>
      <c r="N6" s="118">
        <f t="shared" si="3"/>
        <v>9559.2944478839327</v>
      </c>
      <c r="O6" s="118">
        <f t="shared" si="3"/>
        <v>8917.8030639349017</v>
      </c>
      <c r="P6" s="118">
        <f t="shared" si="3"/>
        <v>8319.3599612083344</v>
      </c>
      <c r="Q6" s="123">
        <f>(P6/K6)^(1/COUNTA($K$2:$P$2))-1</f>
        <v>-5.6243334536490219E-2</v>
      </c>
      <c r="S6" s="109" t="s">
        <v>312</v>
      </c>
      <c r="T6" s="113">
        <f>SUMMARY!$B$8</f>
        <v>0</v>
      </c>
      <c r="U6" s="113">
        <f>SUMMARY!$B$8</f>
        <v>0</v>
      </c>
      <c r="V6" s="113">
        <f>SUMMARY!$B$8</f>
        <v>0</v>
      </c>
      <c r="W6" s="113">
        <f>SUMMARY!$B$8</f>
        <v>0</v>
      </c>
      <c r="X6" s="113">
        <f>SUMMARY!$B$8</f>
        <v>0</v>
      </c>
      <c r="Y6" s="113">
        <f>SUMMARY!$B$8</f>
        <v>0</v>
      </c>
      <c r="AB6" s="114"/>
      <c r="AC6" s="121"/>
    </row>
    <row r="7" spans="1:32" x14ac:dyDescent="0.2">
      <c r="A7" s="109" t="s">
        <v>178</v>
      </c>
      <c r="B7" s="109"/>
      <c r="C7" s="122">
        <f t="shared" ref="C7:J7" si="4">C6/B6-1</f>
        <v>4.8159087440809323E-2</v>
      </c>
      <c r="D7" s="122">
        <f t="shared" si="4"/>
        <v>8.5347486193789734E-3</v>
      </c>
      <c r="E7" s="122">
        <f t="shared" si="4"/>
        <v>1.6356137107097046E-2</v>
      </c>
      <c r="F7" s="122">
        <f t="shared" si="4"/>
        <v>-5.6675062972292301E-3</v>
      </c>
      <c r="G7" s="122">
        <f t="shared" si="4"/>
        <v>0.14017310534093319</v>
      </c>
      <c r="H7" s="122">
        <f t="shared" si="4"/>
        <v>-0.13016108128124426</v>
      </c>
      <c r="I7" s="122">
        <f t="shared" si="4"/>
        <v>-7.9821200510855728E-2</v>
      </c>
      <c r="J7" s="122">
        <f t="shared" si="4"/>
        <v>-6.97046803917033E-2</v>
      </c>
      <c r="K7" s="122">
        <f t="shared" ref="K7:P7" si="5">SUM(T11:T13)</f>
        <v>-2.4106561833235826E-2</v>
      </c>
      <c r="L7" s="122">
        <f t="shared" si="5"/>
        <v>-6.7106561833235823E-2</v>
      </c>
      <c r="M7" s="122">
        <f t="shared" si="5"/>
        <v>-6.7106561833235823E-2</v>
      </c>
      <c r="N7" s="122">
        <f t="shared" si="5"/>
        <v>-6.7106561833235823E-2</v>
      </c>
      <c r="O7" s="122">
        <f t="shared" si="5"/>
        <v>-6.7106561833235823E-2</v>
      </c>
      <c r="P7" s="122">
        <f t="shared" si="5"/>
        <v>-6.7106561833235823E-2</v>
      </c>
      <c r="Q7" s="113"/>
      <c r="S7" s="109" t="s">
        <v>16</v>
      </c>
      <c r="T7" s="113">
        <f>SUMMARY!$B$9+SUMMARY!$B$10</f>
        <v>0.39205559376525528</v>
      </c>
      <c r="U7" s="113">
        <f>T7+SUMMARY!$B$10</f>
        <v>0.38705559376525528</v>
      </c>
      <c r="V7" s="113">
        <f>U7+SUMMARY!$B$10</f>
        <v>0.38205559376525527</v>
      </c>
      <c r="W7" s="113">
        <f>V7+SUMMARY!$B$10</f>
        <v>0.37705559376525527</v>
      </c>
      <c r="X7" s="113">
        <f>W7+SUMMARY!$B$10</f>
        <v>0.37205559376525527</v>
      </c>
      <c r="Y7" s="113">
        <f>X7+SUMMARY!$B$10</f>
        <v>0.36705559376525526</v>
      </c>
      <c r="AB7" s="114"/>
    </row>
    <row r="8" spans="1:32" x14ac:dyDescent="0.2">
      <c r="K8" s="112"/>
      <c r="L8" s="112"/>
      <c r="M8" s="112"/>
      <c r="N8" s="112"/>
      <c r="O8" s="112"/>
      <c r="P8" s="112"/>
      <c r="Q8" s="113"/>
      <c r="S8" s="109" t="s">
        <v>17</v>
      </c>
      <c r="T8" s="113">
        <f>SUMMARY!$B$12*1/4</f>
        <v>0.18134604439271984</v>
      </c>
      <c r="U8" s="113">
        <f>SUMMARY!$B$12</f>
        <v>0.72538417757087936</v>
      </c>
      <c r="V8" s="113">
        <f>SUMMARY!$B$12</f>
        <v>0.72538417757087936</v>
      </c>
      <c r="W8" s="113">
        <f>SUMMARY!$B$12</f>
        <v>0.72538417757087936</v>
      </c>
      <c r="X8" s="113">
        <f>SUMMARY!$B$12</f>
        <v>0.72538417757087936</v>
      </c>
      <c r="Y8" s="113">
        <f>SUMMARY!$B$12</f>
        <v>0.72538417757087936</v>
      </c>
      <c r="AB8" s="114"/>
    </row>
    <row r="9" spans="1:32" x14ac:dyDescent="0.2">
      <c r="A9" s="117" t="s">
        <v>3</v>
      </c>
      <c r="B9" s="434">
        <v>3451.62</v>
      </c>
      <c r="C9" s="434">
        <v>3990</v>
      </c>
      <c r="D9" s="434">
        <v>4344</v>
      </c>
      <c r="E9" s="434">
        <v>4810</v>
      </c>
      <c r="F9" s="434">
        <v>5873</v>
      </c>
      <c r="G9" s="434">
        <v>7167</v>
      </c>
      <c r="H9" s="434">
        <v>6736</v>
      </c>
      <c r="I9" s="434">
        <v>5804</v>
      </c>
      <c r="J9" s="434">
        <v>4910</v>
      </c>
      <c r="K9" s="118">
        <f t="shared" ref="K9:P9" si="6">J9*(1+K10)</f>
        <v>4312.7597293054596</v>
      </c>
      <c r="L9" s="118">
        <f t="shared" si="6"/>
        <v>3927.8745728183831</v>
      </c>
      <c r="M9" s="118">
        <f t="shared" si="6"/>
        <v>3704.5781066513223</v>
      </c>
      <c r="N9" s="118">
        <f t="shared" si="6"/>
        <v>3613.9826050827523</v>
      </c>
      <c r="O9" s="118">
        <f t="shared" si="6"/>
        <v>3642.6745938673812</v>
      </c>
      <c r="P9" s="118">
        <f t="shared" si="6"/>
        <v>3789.5958024866991</v>
      </c>
      <c r="Q9" s="123">
        <f>(P9/K9)^(1/COUNTA($K$2:$P$2))-1</f>
        <v>-2.1322498641876853E-2</v>
      </c>
      <c r="AB9" s="114"/>
      <c r="AC9" s="121"/>
    </row>
    <row r="10" spans="1:32" x14ac:dyDescent="0.2">
      <c r="A10" s="109" t="s">
        <v>178</v>
      </c>
      <c r="B10" s="109"/>
      <c r="C10" s="122">
        <f t="shared" ref="C10:J10" si="7">C9/B9-1</f>
        <v>0.15597893163210319</v>
      </c>
      <c r="D10" s="122">
        <f t="shared" si="7"/>
        <v>8.8721804511278091E-2</v>
      </c>
      <c r="E10" s="122">
        <f t="shared" si="7"/>
        <v>0.10727440147329648</v>
      </c>
      <c r="F10" s="122">
        <f t="shared" si="7"/>
        <v>0.22099792099792093</v>
      </c>
      <c r="G10" s="122">
        <f t="shared" si="7"/>
        <v>0.22033032521709517</v>
      </c>
      <c r="H10" s="122">
        <f t="shared" si="7"/>
        <v>-6.013673782614759E-2</v>
      </c>
      <c r="I10" s="122">
        <f t="shared" si="7"/>
        <v>-0.13836104513064129</v>
      </c>
      <c r="J10" s="122">
        <f t="shared" si="7"/>
        <v>-0.15403170227429364</v>
      </c>
      <c r="K10" s="122">
        <f>MIN(T16,(T16-$J$10)/(SUMMARY!$B$30-$J$2)+J10)</f>
        <v>-0.12163752967302247</v>
      </c>
      <c r="L10" s="122">
        <f>MIN(U16,(U16-$J$10)/(SUMMARY!$B$30-$J$2)+K10)</f>
        <v>-8.9243357071751295E-2</v>
      </c>
      <c r="M10" s="122">
        <f>MIN(V16,(V16-$J$10)/(SUMMARY!$B$30-$J$2)+L10)</f>
        <v>-5.6849184470480131E-2</v>
      </c>
      <c r="N10" s="122">
        <f>MIN(W16,(W16-$J$10)/(SUMMARY!$B$30-$J$2)+M10)</f>
        <v>-2.4455011869208967E-2</v>
      </c>
      <c r="O10" s="122">
        <f>MIN(X16,(X16-$J$10)/(SUMMARY!$B$30-$J$2)+N10)</f>
        <v>7.9391607320621962E-3</v>
      </c>
      <c r="P10" s="122">
        <f>MIN(Y16,(Y16-$J$10)/(SUMMARY!$B$30-$J$2)+O10)</f>
        <v>4.0333333333333332E-2</v>
      </c>
      <c r="Q10" s="113"/>
      <c r="S10" s="108" t="s">
        <v>235</v>
      </c>
      <c r="T10" s="108"/>
      <c r="U10" s="108"/>
      <c r="V10" s="108"/>
      <c r="W10" s="108"/>
      <c r="X10" s="108"/>
      <c r="Y10" s="108"/>
      <c r="AB10" s="114"/>
    </row>
    <row r="11" spans="1:32" x14ac:dyDescent="0.2">
      <c r="K11" s="112"/>
      <c r="L11" s="112"/>
      <c r="M11" s="112"/>
      <c r="N11" s="112"/>
      <c r="O11" s="112"/>
      <c r="P11" s="112"/>
      <c r="Q11" s="113"/>
      <c r="S11" s="109" t="s">
        <v>5</v>
      </c>
      <c r="T11" s="113">
        <f>SUMMARY!$B$20</f>
        <v>-1.1432953250602673E-2</v>
      </c>
      <c r="U11" s="113">
        <f>SUMMARY!$B$20</f>
        <v>-1.1432953250602673E-2</v>
      </c>
      <c r="V11" s="113">
        <f>SUMMARY!$B$20</f>
        <v>-1.1432953250602673E-2</v>
      </c>
      <c r="W11" s="113">
        <f>SUMMARY!$B$20</f>
        <v>-1.1432953250602673E-2</v>
      </c>
      <c r="X11" s="113">
        <f>SUMMARY!$B$20</f>
        <v>-1.1432953250602673E-2</v>
      </c>
      <c r="Y11" s="113">
        <f>SUMMARY!$B$20</f>
        <v>-1.1432953250602673E-2</v>
      </c>
      <c r="AB11" s="114"/>
    </row>
    <row r="12" spans="1:32" x14ac:dyDescent="0.2">
      <c r="A12" s="117" t="s">
        <v>4</v>
      </c>
      <c r="B12" s="434">
        <v>2758.21</v>
      </c>
      <c r="C12" s="434">
        <v>3159</v>
      </c>
      <c r="D12" s="434">
        <v>3210</v>
      </c>
      <c r="E12" s="434">
        <v>2597</v>
      </c>
      <c r="F12" s="434">
        <v>3079</v>
      </c>
      <c r="G12" s="434">
        <v>3275</v>
      </c>
      <c r="H12" s="434">
        <v>3053</v>
      </c>
      <c r="I12" s="434">
        <v>3363</v>
      </c>
      <c r="J12" s="434">
        <v>2908</v>
      </c>
      <c r="K12" s="118">
        <f t="shared" ref="K12:P12" si="8">J12*(1+K13)</f>
        <v>2835.0824524044574</v>
      </c>
      <c r="L12" s="118">
        <f t="shared" si="8"/>
        <v>2856.7831444961239</v>
      </c>
      <c r="M12" s="118">
        <f t="shared" si="8"/>
        <v>2878.6499411174336</v>
      </c>
      <c r="N12" s="118">
        <f t="shared" si="8"/>
        <v>2806.4683406730264</v>
      </c>
      <c r="O12" s="118">
        <f t="shared" si="8"/>
        <v>2736.0966801481268</v>
      </c>
      <c r="P12" s="118">
        <f t="shared" si="8"/>
        <v>2667.4895756430692</v>
      </c>
      <c r="Q12" s="123">
        <f>(P12/K12)^(1/COUNTA($K$2:$P$2))-1</f>
        <v>-1.0104144023815098E-2</v>
      </c>
      <c r="S12" s="109" t="s">
        <v>231</v>
      </c>
      <c r="T12" s="113">
        <f>SUMMARY!B21</f>
        <v>4.2999999999999997E-2</v>
      </c>
      <c r="U12" s="113">
        <f>SUMMARY!$B$22</f>
        <v>0</v>
      </c>
      <c r="V12" s="113">
        <f>SUMMARY!$B$22</f>
        <v>0</v>
      </c>
      <c r="W12" s="113">
        <f>SUMMARY!$B$22</f>
        <v>0</v>
      </c>
      <c r="X12" s="113">
        <f>SUMMARY!$B$22</f>
        <v>0</v>
      </c>
      <c r="Y12" s="113">
        <f>SUMMARY!$B$22</f>
        <v>0</v>
      </c>
      <c r="AB12" s="114"/>
      <c r="AC12" s="121"/>
    </row>
    <row r="13" spans="1:32" x14ac:dyDescent="0.2">
      <c r="A13" s="109" t="s">
        <v>178</v>
      </c>
      <c r="B13" s="109"/>
      <c r="C13" s="122">
        <f t="shared" ref="C13:J13" si="9">C12/B12-1</f>
        <v>0.14530800772965069</v>
      </c>
      <c r="D13" s="122">
        <f t="shared" si="9"/>
        <v>1.6144349477682729E-2</v>
      </c>
      <c r="E13" s="122">
        <f t="shared" si="9"/>
        <v>-0.19096573208722745</v>
      </c>
      <c r="F13" s="122">
        <f t="shared" si="9"/>
        <v>0.1855987678090103</v>
      </c>
      <c r="G13" s="122">
        <f t="shared" si="9"/>
        <v>6.3657031503735029E-2</v>
      </c>
      <c r="H13" s="122">
        <f t="shared" si="9"/>
        <v>-6.7786259541984695E-2</v>
      </c>
      <c r="I13" s="122">
        <f t="shared" si="9"/>
        <v>0.10153946937438585</v>
      </c>
      <c r="J13" s="122">
        <f t="shared" si="9"/>
        <v>-0.13529586678560812</v>
      </c>
      <c r="K13" s="122">
        <f t="shared" ref="K13:P13" si="10">SUM(T19:T21)</f>
        <v>-2.5074810039732665E-2</v>
      </c>
      <c r="L13" s="122">
        <f t="shared" si="10"/>
        <v>7.6543424947876915E-3</v>
      </c>
      <c r="M13" s="122">
        <f t="shared" si="10"/>
        <v>7.6543424947876915E-3</v>
      </c>
      <c r="N13" s="122">
        <f t="shared" si="10"/>
        <v>-2.5074810039732665E-2</v>
      </c>
      <c r="O13" s="122">
        <f t="shared" si="10"/>
        <v>-2.5074810039732665E-2</v>
      </c>
      <c r="P13" s="122">
        <f t="shared" si="10"/>
        <v>-2.5074810039732665E-2</v>
      </c>
      <c r="Q13" s="113"/>
      <c r="S13" s="109" t="s">
        <v>237</v>
      </c>
      <c r="T13" s="113">
        <f>SUMMARY!$B$23</f>
        <v>-5.5673608582633149E-2</v>
      </c>
      <c r="U13" s="113">
        <f>SUMMARY!$B$23</f>
        <v>-5.5673608582633149E-2</v>
      </c>
      <c r="V13" s="113">
        <f>SUMMARY!$B$23</f>
        <v>-5.5673608582633149E-2</v>
      </c>
      <c r="W13" s="113">
        <f>SUMMARY!$B$23</f>
        <v>-5.5673608582633149E-2</v>
      </c>
      <c r="X13" s="113">
        <f>SUMMARY!$B$23</f>
        <v>-5.5673608582633149E-2</v>
      </c>
      <c r="Y13" s="113">
        <f>SUMMARY!$B$23</f>
        <v>-5.5673608582633149E-2</v>
      </c>
      <c r="AB13" s="114"/>
    </row>
    <row r="14" spans="1:32" x14ac:dyDescent="0.2">
      <c r="J14" s="616"/>
      <c r="K14" s="616"/>
      <c r="L14" s="616"/>
      <c r="M14" s="112"/>
      <c r="N14" s="112"/>
      <c r="O14" s="112"/>
      <c r="P14" s="112"/>
      <c r="Q14" s="113"/>
      <c r="AB14" s="114"/>
    </row>
    <row r="15" spans="1:32" x14ac:dyDescent="0.2">
      <c r="A15" s="117" t="s">
        <v>6</v>
      </c>
      <c r="B15" s="434">
        <v>2033.25</v>
      </c>
      <c r="C15" s="434">
        <v>1848</v>
      </c>
      <c r="D15" s="434">
        <v>1967</v>
      </c>
      <c r="E15" s="434">
        <v>2325</v>
      </c>
      <c r="F15" s="434">
        <v>2252</v>
      </c>
      <c r="G15" s="434">
        <v>2380</v>
      </c>
      <c r="H15" s="434">
        <v>2332</v>
      </c>
      <c r="I15" s="434">
        <v>2530</v>
      </c>
      <c r="J15" s="434">
        <v>2631</v>
      </c>
      <c r="K15" s="118">
        <f t="shared" ref="K15:P15" si="11">T24*(K12+K9+K6+K3)</f>
        <v>2622.8422749844963</v>
      </c>
      <c r="L15" s="118">
        <f t="shared" si="11"/>
        <v>2749.9925875289823</v>
      </c>
      <c r="M15" s="118">
        <f t="shared" si="11"/>
        <v>2602.8903576321736</v>
      </c>
      <c r="N15" s="118">
        <f t="shared" si="11"/>
        <v>2306.4840639848512</v>
      </c>
      <c r="O15" s="118">
        <f t="shared" si="11"/>
        <v>2243.7466023053435</v>
      </c>
      <c r="P15" s="118">
        <f t="shared" si="11"/>
        <v>2192.1325627856104</v>
      </c>
      <c r="Q15" s="123">
        <f>(P15/K15)^(1/COUNTA($K$2:$P$2))-1</f>
        <v>-2.9454784374493448E-2</v>
      </c>
      <c r="S15" s="108" t="s">
        <v>3</v>
      </c>
      <c r="T15" s="108"/>
      <c r="U15" s="108"/>
      <c r="V15" s="108"/>
      <c r="W15" s="108"/>
      <c r="X15" s="108"/>
      <c r="Y15" s="108"/>
      <c r="AB15" s="114"/>
      <c r="AC15" s="121"/>
    </row>
    <row r="16" spans="1:32" x14ac:dyDescent="0.2">
      <c r="A16" s="109" t="s">
        <v>178</v>
      </c>
      <c r="B16" s="109"/>
      <c r="C16" s="122">
        <f t="shared" ref="C16:P16" si="12">C15/B15-1</f>
        <v>-9.1110291405385513E-2</v>
      </c>
      <c r="D16" s="122">
        <f t="shared" si="12"/>
        <v>6.4393939393939448E-2</v>
      </c>
      <c r="E16" s="122">
        <f t="shared" si="12"/>
        <v>0.18200305033045239</v>
      </c>
      <c r="F16" s="122">
        <f t="shared" si="12"/>
        <v>-3.1397849462365568E-2</v>
      </c>
      <c r="G16" s="122">
        <f t="shared" si="12"/>
        <v>5.6838365896980436E-2</v>
      </c>
      <c r="H16" s="122">
        <f t="shared" si="12"/>
        <v>-2.0168067226890796E-2</v>
      </c>
      <c r="I16" s="122">
        <f t="shared" si="12"/>
        <v>8.4905660377358583E-2</v>
      </c>
      <c r="J16" s="122">
        <f t="shared" si="12"/>
        <v>3.9920948616600782E-2</v>
      </c>
      <c r="K16" s="122">
        <f t="shared" si="12"/>
        <v>-3.1006176417726072E-3</v>
      </c>
      <c r="L16" s="122">
        <f t="shared" si="12"/>
        <v>4.8478062808880784E-2</v>
      </c>
      <c r="M16" s="122">
        <f t="shared" si="12"/>
        <v>-5.3491864146800516E-2</v>
      </c>
      <c r="N16" s="122">
        <f t="shared" si="12"/>
        <v>-0.11387582760764481</v>
      </c>
      <c r="O16" s="122">
        <f t="shared" si="12"/>
        <v>-2.7200474808881991E-2</v>
      </c>
      <c r="P16" s="122">
        <f t="shared" si="12"/>
        <v>-2.30035064862949E-2</v>
      </c>
      <c r="Q16" s="113"/>
      <c r="S16" s="109" t="s">
        <v>345</v>
      </c>
      <c r="T16" s="113">
        <f>SUMMARY!B29</f>
        <v>4.0333333333333332E-2</v>
      </c>
      <c r="U16" s="113">
        <f>T16</f>
        <v>4.0333333333333332E-2</v>
      </c>
      <c r="V16" s="113">
        <f>U16</f>
        <v>4.0333333333333332E-2</v>
      </c>
      <c r="W16" s="113">
        <f>V16</f>
        <v>4.0333333333333332E-2</v>
      </c>
      <c r="X16" s="113">
        <f>W16</f>
        <v>4.0333333333333332E-2</v>
      </c>
      <c r="Y16" s="113">
        <f>X16</f>
        <v>4.0333333333333332E-2</v>
      </c>
      <c r="AB16" s="114"/>
    </row>
    <row r="17" spans="1:29" x14ac:dyDescent="0.2">
      <c r="D17" s="121"/>
      <c r="E17" s="121"/>
      <c r="F17" s="121"/>
      <c r="G17" s="121"/>
      <c r="H17" s="121"/>
      <c r="I17" s="121"/>
      <c r="J17" s="121"/>
      <c r="K17" s="112"/>
      <c r="L17" s="112"/>
      <c r="M17" s="112"/>
      <c r="N17" s="112"/>
      <c r="O17" s="112"/>
      <c r="P17" s="112"/>
      <c r="Q17" s="113"/>
      <c r="S17" s="109"/>
      <c r="T17" s="113"/>
      <c r="U17" s="113"/>
      <c r="V17" s="113"/>
      <c r="W17" s="113"/>
      <c r="X17" s="113"/>
      <c r="Y17" s="113"/>
      <c r="AB17" s="114"/>
    </row>
    <row r="18" spans="1:29" x14ac:dyDescent="0.2">
      <c r="A18" s="117" t="s">
        <v>10</v>
      </c>
      <c r="B18" s="434">
        <v>0</v>
      </c>
      <c r="C18" s="434">
        <v>0</v>
      </c>
      <c r="D18" s="434">
        <v>0</v>
      </c>
      <c r="E18" s="434">
        <v>0</v>
      </c>
      <c r="F18" s="434">
        <v>0</v>
      </c>
      <c r="G18" s="434">
        <v>0</v>
      </c>
      <c r="H18" s="434">
        <v>0</v>
      </c>
      <c r="I18" s="434">
        <v>0</v>
      </c>
      <c r="J18" s="434">
        <v>0</v>
      </c>
      <c r="K18" s="118">
        <f>(T27*T29-'Seg Rev Build--Source Data'!$B$35)*T30</f>
        <v>106.47533202531078</v>
      </c>
      <c r="L18" s="118">
        <f>(U27*U29-'Seg Rev Build--Source Data'!$B$35)*U30</f>
        <v>340.05163059326327</v>
      </c>
      <c r="M18" s="118">
        <f>(V27*V29-'Seg Rev Build--Source Data'!$B$35)*V30</f>
        <v>593.28516946335844</v>
      </c>
      <c r="N18" s="118">
        <f>(W27*W29-'Seg Rev Build--Source Data'!$B$35)*W30</f>
        <v>802.04118507910664</v>
      </c>
      <c r="O18" s="118">
        <f>(X27*X29-'Seg Rev Build--Source Data'!$B$35)*X30</f>
        <v>889.78862874460549</v>
      </c>
      <c r="P18" s="118">
        <f>(Y27*Y29-'Seg Rev Build--Source Data'!$B$35)*Y30</f>
        <v>981.71709769029292</v>
      </c>
      <c r="Q18" s="123">
        <f>(P18/L18)^(1/COUNTA($L$2:$P$2))-1</f>
        <v>0.23619874574586586</v>
      </c>
      <c r="S18" s="108" t="s">
        <v>4</v>
      </c>
      <c r="T18" s="108"/>
      <c r="U18" s="108"/>
      <c r="V18" s="108"/>
      <c r="W18" s="108"/>
      <c r="X18" s="108"/>
      <c r="Y18" s="108"/>
      <c r="AB18" s="114"/>
      <c r="AC18" s="121"/>
    </row>
    <row r="19" spans="1:29" x14ac:dyDescent="0.2">
      <c r="A19" s="109" t="s">
        <v>178</v>
      </c>
      <c r="B19" s="110"/>
      <c r="C19" s="122" t="s">
        <v>179</v>
      </c>
      <c r="D19" s="122" t="s">
        <v>179</v>
      </c>
      <c r="E19" s="122" t="s">
        <v>179</v>
      </c>
      <c r="F19" s="122" t="s">
        <v>179</v>
      </c>
      <c r="G19" s="122" t="s">
        <v>179</v>
      </c>
      <c r="H19" s="122" t="s">
        <v>179</v>
      </c>
      <c r="I19" s="122" t="s">
        <v>179</v>
      </c>
      <c r="J19" s="122" t="s">
        <v>179</v>
      </c>
      <c r="K19" s="122" t="s">
        <v>179</v>
      </c>
      <c r="L19" s="122">
        <f>L18/K18-1</f>
        <v>2.1937127983073856</v>
      </c>
      <c r="M19" s="122">
        <f>M18/L18-1</f>
        <v>0.74469144120349351</v>
      </c>
      <c r="N19" s="122">
        <f>N18/M18-1</f>
        <v>0.35186454400094536</v>
      </c>
      <c r="O19" s="122">
        <f>O18/N18-1</f>
        <v>0.1094051593582992</v>
      </c>
      <c r="P19" s="122">
        <f>P18/O18-1</f>
        <v>0.10331495141198688</v>
      </c>
      <c r="Q19" s="113"/>
      <c r="S19" s="109" t="s">
        <v>5</v>
      </c>
      <c r="T19" s="113">
        <f>SUMMARY!B25</f>
        <v>1.6697498806923283E-2</v>
      </c>
      <c r="U19" s="113">
        <f>T19</f>
        <v>1.6697498806923283E-2</v>
      </c>
      <c r="V19" s="113">
        <f>U19</f>
        <v>1.6697498806923283E-2</v>
      </c>
      <c r="W19" s="113">
        <f>V19</f>
        <v>1.6697498806923283E-2</v>
      </c>
      <c r="X19" s="113">
        <f>W19</f>
        <v>1.6697498806923283E-2</v>
      </c>
      <c r="Y19" s="113">
        <f>X19</f>
        <v>1.6697498806923283E-2</v>
      </c>
      <c r="AB19" s="114"/>
    </row>
    <row r="20" spans="1:29" x14ac:dyDescent="0.2">
      <c r="K20" s="112"/>
      <c r="L20" s="112"/>
      <c r="M20" s="112"/>
      <c r="N20" s="112"/>
      <c r="O20" s="112"/>
      <c r="P20" s="112"/>
      <c r="Q20" s="113"/>
      <c r="S20" s="109" t="s">
        <v>231</v>
      </c>
      <c r="T20" s="113">
        <f>SUMMARY!$B$22</f>
        <v>0</v>
      </c>
      <c r="U20" s="113">
        <f>SUMMARY!B26</f>
        <v>3.2729152534520356E-2</v>
      </c>
      <c r="V20" s="113">
        <f>U20</f>
        <v>3.2729152534520356E-2</v>
      </c>
      <c r="W20" s="113">
        <f>SUMMARY!$B$22</f>
        <v>0</v>
      </c>
      <c r="X20" s="113">
        <f>SUMMARY!$B$22</f>
        <v>0</v>
      </c>
      <c r="Y20" s="113">
        <f>SUMMARY!$B$22</f>
        <v>0</v>
      </c>
      <c r="AB20" s="114"/>
    </row>
    <row r="21" spans="1:29" x14ac:dyDescent="0.2">
      <c r="A21" s="117" t="s">
        <v>236</v>
      </c>
      <c r="B21" s="434">
        <v>0</v>
      </c>
      <c r="C21" s="434">
        <v>0</v>
      </c>
      <c r="D21" s="434">
        <v>0</v>
      </c>
      <c r="E21" s="434">
        <v>0</v>
      </c>
      <c r="F21" s="434">
        <v>0</v>
      </c>
      <c r="G21" s="434">
        <v>0</v>
      </c>
      <c r="H21" s="434">
        <v>0</v>
      </c>
      <c r="I21" s="434">
        <v>0</v>
      </c>
      <c r="J21" s="434">
        <v>0</v>
      </c>
      <c r="K21" s="118">
        <f>(T27*T29-'Seg Rev Build--Source Data'!$B$35)*T33*(1+T34)</f>
        <v>27.242141997901726</v>
      </c>
      <c r="L21" s="118">
        <f>(U27*U29-'Seg Rev Build--Source Data'!$B$35)*U33*(1+U34)</f>
        <v>160.95816436106767</v>
      </c>
      <c r="M21" s="118">
        <f>(V27*V29-'Seg Rev Build--Source Data'!$B$35)*V33*(1+V34)</f>
        <v>432.11560231939603</v>
      </c>
      <c r="N21" s="118">
        <f>(W27*W29-'Seg Rev Build--Source Data'!$B$35)*W33*(1+W34)</f>
        <v>818.78948810541146</v>
      </c>
      <c r="O21" s="118">
        <f>(X27*X29-'Seg Rev Build--Source Data'!$B$35)*X33*(1+X34)</f>
        <v>983.50304351917021</v>
      </c>
      <c r="P21" s="118">
        <f>(Y27*Y29-'Seg Rev Build--Source Data'!$B$35)*Y33*(1+Y34)</f>
        <v>1168.0098145263196</v>
      </c>
      <c r="Q21" s="123">
        <f>(P21/L21)^(1/COUNTA($L$2:$P$2))-1</f>
        <v>0.48643764750601659</v>
      </c>
      <c r="S21" s="109" t="s">
        <v>237</v>
      </c>
      <c r="T21" s="113">
        <f>SUMMARY!B27</f>
        <v>-4.1772308846655948E-2</v>
      </c>
      <c r="U21" s="113">
        <f>T21</f>
        <v>-4.1772308846655948E-2</v>
      </c>
      <c r="V21" s="113">
        <f>U21</f>
        <v>-4.1772308846655948E-2</v>
      </c>
      <c r="W21" s="113">
        <f>V21</f>
        <v>-4.1772308846655948E-2</v>
      </c>
      <c r="X21" s="113">
        <f>W21</f>
        <v>-4.1772308846655948E-2</v>
      </c>
      <c r="Y21" s="113">
        <f>X21</f>
        <v>-4.1772308846655948E-2</v>
      </c>
      <c r="Z21" s="113"/>
      <c r="AB21" s="114"/>
      <c r="AC21" s="121"/>
    </row>
    <row r="22" spans="1:29" x14ac:dyDescent="0.2">
      <c r="A22" s="109" t="s">
        <v>178</v>
      </c>
      <c r="B22" s="109"/>
      <c r="C22" s="122" t="s">
        <v>179</v>
      </c>
      <c r="D22" s="122" t="s">
        <v>179</v>
      </c>
      <c r="E22" s="122" t="s">
        <v>179</v>
      </c>
      <c r="F22" s="122" t="s">
        <v>179</v>
      </c>
      <c r="G22" s="122" t="s">
        <v>179</v>
      </c>
      <c r="H22" s="122" t="s">
        <v>179</v>
      </c>
      <c r="I22" s="122" t="s">
        <v>179</v>
      </c>
      <c r="J22" s="122" t="s">
        <v>179</v>
      </c>
      <c r="K22" s="122" t="s">
        <v>179</v>
      </c>
      <c r="L22" s="122">
        <f>L21/K21-1</f>
        <v>4.9084254231354194</v>
      </c>
      <c r="M22" s="122">
        <f>M21/L21-1</f>
        <v>1.6846454420917558</v>
      </c>
      <c r="N22" s="122">
        <f>N21/M21-1</f>
        <v>0.89483898223190605</v>
      </c>
      <c r="O22" s="122">
        <f>O21/N21-1</f>
        <v>0.20116715933284368</v>
      </c>
      <c r="P22" s="122">
        <f>P21/O21-1</f>
        <v>0.18760162688154702</v>
      </c>
      <c r="Q22" s="113"/>
      <c r="AB22" s="114"/>
    </row>
    <row r="23" spans="1:29" x14ac:dyDescent="0.2">
      <c r="K23" s="112"/>
      <c r="L23" s="112"/>
      <c r="M23" s="112"/>
      <c r="N23" s="112"/>
      <c r="O23" s="112"/>
      <c r="P23" s="112"/>
      <c r="Q23" s="113"/>
      <c r="S23" s="108" t="s">
        <v>6</v>
      </c>
      <c r="T23" s="108"/>
      <c r="U23" s="108"/>
      <c r="V23" s="108"/>
      <c r="W23" s="108"/>
      <c r="X23" s="108"/>
      <c r="Y23" s="108"/>
      <c r="AB23" s="114"/>
    </row>
    <row r="24" spans="1:29" x14ac:dyDescent="0.2">
      <c r="A24" s="117" t="s">
        <v>8</v>
      </c>
      <c r="B24" s="434">
        <v>31.55</v>
      </c>
      <c r="C24" s="434">
        <v>213</v>
      </c>
      <c r="D24" s="434">
        <v>232</v>
      </c>
      <c r="E24" s="434">
        <v>215</v>
      </c>
      <c r="F24" s="434">
        <v>194</v>
      </c>
      <c r="G24" s="434">
        <v>258</v>
      </c>
      <c r="H24" s="434">
        <v>317</v>
      </c>
      <c r="I24" s="434">
        <v>304</v>
      </c>
      <c r="J24" s="434">
        <v>333</v>
      </c>
      <c r="K24" s="118">
        <f t="shared" ref="K24:P24" si="13">J24*(1+K25)</f>
        <v>358.27070153292163</v>
      </c>
      <c r="L24" s="118">
        <f t="shared" si="13"/>
        <v>385.45914587655199</v>
      </c>
      <c r="M24" s="118">
        <f t="shared" si="13"/>
        <v>414.71086668310227</v>
      </c>
      <c r="N24" s="118">
        <f t="shared" si="13"/>
        <v>446.18244186150446</v>
      </c>
      <c r="O24" s="118">
        <f t="shared" si="13"/>
        <v>480.04233170388358</v>
      </c>
      <c r="P24" s="118">
        <f t="shared" si="13"/>
        <v>516.47178061576528</v>
      </c>
      <c r="Q24" s="123">
        <f>(P24/K24)^(1/COUNTA($K$2:$P$2))-1</f>
        <v>6.2851403859381483E-2</v>
      </c>
      <c r="S24" s="109" t="s">
        <v>347</v>
      </c>
      <c r="T24" s="113">
        <f>SUMMARY!$B$32</f>
        <v>6.8224250596411157E-2</v>
      </c>
      <c r="U24" s="113">
        <f>SUMMARY!$B$32</f>
        <v>6.8224250596411157E-2</v>
      </c>
      <c r="V24" s="113">
        <f>SUMMARY!$B$32</f>
        <v>6.8224250596411157E-2</v>
      </c>
      <c r="W24" s="113">
        <f>SUMMARY!$B$32</f>
        <v>6.8224250596411157E-2</v>
      </c>
      <c r="X24" s="113">
        <f>SUMMARY!$B$32</f>
        <v>6.8224250596411157E-2</v>
      </c>
      <c r="Y24" s="113">
        <f>SUMMARY!$B$32</f>
        <v>6.8224250596411157E-2</v>
      </c>
      <c r="AB24" s="114"/>
    </row>
    <row r="25" spans="1:29" x14ac:dyDescent="0.2">
      <c r="A25" s="109" t="s">
        <v>178</v>
      </c>
      <c r="B25" s="109"/>
      <c r="C25" s="122">
        <f>C24/B24-1</f>
        <v>5.751188589540412</v>
      </c>
      <c r="D25" s="122">
        <f t="shared" ref="D25:J25" si="14">D24/C24-1</f>
        <v>8.9201877934272256E-2</v>
      </c>
      <c r="E25" s="122">
        <f t="shared" si="14"/>
        <v>-7.3275862068965525E-2</v>
      </c>
      <c r="F25" s="122">
        <f t="shared" si="14"/>
        <v>-9.7674418604651203E-2</v>
      </c>
      <c r="G25" s="122">
        <f t="shared" si="14"/>
        <v>0.32989690721649478</v>
      </c>
      <c r="H25" s="122">
        <f t="shared" si="14"/>
        <v>0.22868217054263562</v>
      </c>
      <c r="I25" s="122">
        <f t="shared" si="14"/>
        <v>-4.1009463722397443E-2</v>
      </c>
      <c r="J25" s="122">
        <f t="shared" si="14"/>
        <v>9.539473684210531E-2</v>
      </c>
      <c r="K25" s="122">
        <f t="shared" ref="K25:P25" si="15">T37</f>
        <v>7.5887992591356257E-2</v>
      </c>
      <c r="L25" s="122">
        <f t="shared" si="15"/>
        <v>7.5887992591356257E-2</v>
      </c>
      <c r="M25" s="122">
        <f t="shared" si="15"/>
        <v>7.5887992591356257E-2</v>
      </c>
      <c r="N25" s="122">
        <f t="shared" si="15"/>
        <v>7.5887992591356257E-2</v>
      </c>
      <c r="O25" s="122">
        <f t="shared" si="15"/>
        <v>7.5887992591356257E-2</v>
      </c>
      <c r="P25" s="122">
        <f t="shared" si="15"/>
        <v>7.5887992591356257E-2</v>
      </c>
      <c r="Q25" s="113"/>
      <c r="AB25" s="114"/>
    </row>
    <row r="26" spans="1:29" x14ac:dyDescent="0.2">
      <c r="K26" s="112"/>
      <c r="L26" s="112"/>
      <c r="M26" s="112"/>
      <c r="N26" s="112"/>
      <c r="O26" s="112"/>
      <c r="P26" s="112"/>
      <c r="Q26" s="113"/>
      <c r="S26" s="108" t="s">
        <v>10</v>
      </c>
      <c r="T26" s="108"/>
      <c r="U26" s="108"/>
      <c r="V26" s="108"/>
      <c r="W26" s="108"/>
      <c r="X26" s="108"/>
      <c r="Y26" s="108"/>
      <c r="AB26" s="114"/>
    </row>
    <row r="27" spans="1:29" x14ac:dyDescent="0.2">
      <c r="A27" s="117" t="s">
        <v>74</v>
      </c>
      <c r="B27" s="118">
        <f t="shared" ref="B27:J27" si="16">SUM(B3,B6,B9,B12,B15,B18,B21,B24)</f>
        <v>39403.000000000007</v>
      </c>
      <c r="C27" s="118">
        <f t="shared" si="16"/>
        <v>42151</v>
      </c>
      <c r="D27" s="118">
        <f t="shared" si="16"/>
        <v>42879</v>
      </c>
      <c r="E27" s="118">
        <f t="shared" si="16"/>
        <v>43008</v>
      </c>
      <c r="F27" s="118">
        <f t="shared" si="16"/>
        <v>47262</v>
      </c>
      <c r="G27" s="118">
        <f t="shared" si="16"/>
        <v>51761</v>
      </c>
      <c r="H27" s="118">
        <f t="shared" si="16"/>
        <v>46298</v>
      </c>
      <c r="I27" s="118">
        <f t="shared" si="16"/>
        <v>43452</v>
      </c>
      <c r="J27" s="118">
        <f t="shared" si="16"/>
        <v>41528</v>
      </c>
      <c r="K27" s="118">
        <f t="shared" ref="K27:P27" si="17">SUM(K3,K6,K9,K12,K15,K18,K21,K24)</f>
        <v>41559.258231803309</v>
      </c>
      <c r="L27" s="118">
        <f t="shared" si="17"/>
        <v>43944.600694254084</v>
      </c>
      <c r="M27" s="118">
        <f t="shared" si="17"/>
        <v>42194.983657719909</v>
      </c>
      <c r="N27" s="118">
        <f t="shared" si="17"/>
        <v>38180.890354063871</v>
      </c>
      <c r="O27" s="118">
        <f t="shared" si="17"/>
        <v>37484.896634894547</v>
      </c>
      <c r="P27" s="118">
        <f t="shared" si="17"/>
        <v>36989.612194905058</v>
      </c>
      <c r="Q27" s="123">
        <f>(P27/K27)^(1/COUNTA($K$2:$P$2))-1</f>
        <v>-1.9226630549824986E-2</v>
      </c>
      <c r="S27" s="109" t="s">
        <v>242</v>
      </c>
      <c r="T27" s="111">
        <f>SUMMARY!$B$34</f>
        <v>200729.43340820214</v>
      </c>
      <c r="U27" s="111">
        <f>T27*(1+U28)</f>
        <v>210293.86970969656</v>
      </c>
      <c r="V27" s="111">
        <f>U27*(1+V28)</f>
        <v>220314.0360962718</v>
      </c>
      <c r="W27" s="111">
        <f>V27*(1+W28)</f>
        <v>230811.64737723817</v>
      </c>
      <c r="X27" s="111">
        <f>W27*(1+X28)</f>
        <v>241809.45303782239</v>
      </c>
      <c r="Y27" s="111">
        <f>X27*(1+Y28)</f>
        <v>253331.28653981918</v>
      </c>
      <c r="AB27" s="114"/>
    </row>
    <row r="28" spans="1:29" x14ac:dyDescent="0.2">
      <c r="A28" s="109" t="s">
        <v>178</v>
      </c>
      <c r="B28" s="109"/>
      <c r="C28" s="122">
        <f>C27/B27-1</f>
        <v>6.9740882673907878E-2</v>
      </c>
      <c r="D28" s="122">
        <f t="shared" ref="D28:P28" si="18">D27/C27-1</f>
        <v>1.727123911650974E-2</v>
      </c>
      <c r="E28" s="122">
        <f t="shared" si="18"/>
        <v>3.0084656825020151E-3</v>
      </c>
      <c r="F28" s="122">
        <f t="shared" si="18"/>
        <v>9.8911830357142794E-2</v>
      </c>
      <c r="G28" s="122">
        <f t="shared" si="18"/>
        <v>9.5192755279082553E-2</v>
      </c>
      <c r="H28" s="122">
        <f t="shared" si="18"/>
        <v>-0.10554278317652288</v>
      </c>
      <c r="I28" s="122">
        <f t="shared" si="18"/>
        <v>-6.1471337854766994E-2</v>
      </c>
      <c r="J28" s="122">
        <f t="shared" si="18"/>
        <v>-4.4278744361594402E-2</v>
      </c>
      <c r="K28" s="122">
        <f>K27/J27-1</f>
        <v>7.5270255739035008E-4</v>
      </c>
      <c r="L28" s="122">
        <f t="shared" si="18"/>
        <v>5.7396175098846758E-2</v>
      </c>
      <c r="M28" s="122">
        <f t="shared" si="18"/>
        <v>-3.9814152566937433E-2</v>
      </c>
      <c r="N28" s="122">
        <f t="shared" si="18"/>
        <v>-9.513200280435774E-2</v>
      </c>
      <c r="O28" s="122">
        <f t="shared" si="18"/>
        <v>-1.8228849896247734E-2</v>
      </c>
      <c r="P28" s="122">
        <f t="shared" si="18"/>
        <v>-1.32129066491391E-2</v>
      </c>
      <c r="Q28" s="113"/>
      <c r="S28" s="109" t="s">
        <v>241</v>
      </c>
      <c r="T28" s="113">
        <f>SUMMARY!B35</f>
        <v>4.7648399834040463E-2</v>
      </c>
      <c r="U28" s="113">
        <f>T28</f>
        <v>4.7648399834040463E-2</v>
      </c>
      <c r="V28" s="113">
        <f>U28</f>
        <v>4.7648399834040463E-2</v>
      </c>
      <c r="W28" s="113">
        <f>V28</f>
        <v>4.7648399834040463E-2</v>
      </c>
      <c r="X28" s="113">
        <f>W28</f>
        <v>4.7648399834040463E-2</v>
      </c>
      <c r="Y28" s="113">
        <f>X28</f>
        <v>4.7648399834040463E-2</v>
      </c>
      <c r="AB28" s="114"/>
    </row>
    <row r="29" spans="1:29" x14ac:dyDescent="0.2">
      <c r="S29" s="109" t="s">
        <v>18</v>
      </c>
      <c r="T29" s="113">
        <f>MIN(SUMMARY!$B$36+(SUMMARY!$B$37-SUMMARY!$B$36)/(SUMMARY!$B$38-'Segment Revenue Hist &amp; Forecast'!$T$2)*1/3,SUMMARY!$B$37)</f>
        <v>7.1364430253660266E-2</v>
      </c>
      <c r="U29" s="113">
        <f>MIN(T29+(SUMMARY!$B$37-SUMMARY!$B$36)/(SUMMARY!$B$38-'Segment Revenue Hist &amp; Forecast'!$T$2),SUMMARY!$B$37)</f>
        <v>8.2002606192094096E-2</v>
      </c>
      <c r="V29" s="113">
        <f>MIN(U29+(SUMMARY!$B$37-SUMMARY!$B$36)/(SUMMARY!$B$38-'Segment Revenue Hist &amp; Forecast'!$T$2),SUMMARY!$B$37)</f>
        <v>9.2640782130527927E-2</v>
      </c>
      <c r="W29" s="113">
        <f>MIN(V29+(SUMMARY!$B$37-SUMMARY!$B$36)/(SUMMARY!$B$38-'Segment Revenue Hist &amp; Forecast'!$T$2),SUMMARY!$B$37)</f>
        <v>9.9732899422817156E-2</v>
      </c>
      <c r="X29" s="113">
        <f>MIN(W29+(SUMMARY!$B$37-SUMMARY!$B$36)/(SUMMARY!$B$38-'Segment Revenue Hist &amp; Forecast'!$T$2),SUMMARY!$B$37)</f>
        <v>9.9732899422817156E-2</v>
      </c>
      <c r="Y29" s="113">
        <f>MIN(X29+(SUMMARY!$B$37-SUMMARY!$B$36)/(SUMMARY!$B$38-'Segment Revenue Hist &amp; Forecast'!$T$2),SUMMARY!$B$37)</f>
        <v>9.9732899422817156E-2</v>
      </c>
    </row>
    <row r="30" spans="1:29" x14ac:dyDescent="0.2">
      <c r="S30" s="109" t="s">
        <v>348</v>
      </c>
      <c r="T30" s="113">
        <f>SUMMARY!$B$39</f>
        <v>0.08</v>
      </c>
      <c r="U30" s="113">
        <f>SUMMARY!$B$39</f>
        <v>0.08</v>
      </c>
      <c r="V30" s="113">
        <f>SUMMARY!$B$39</f>
        <v>0.08</v>
      </c>
      <c r="W30" s="113">
        <f>SUMMARY!$B$39</f>
        <v>0.08</v>
      </c>
      <c r="X30" s="113">
        <f>SUMMARY!$B$39</f>
        <v>0.08</v>
      </c>
      <c r="Y30" s="113">
        <f>SUMMARY!$B$39</f>
        <v>0.08</v>
      </c>
      <c r="Z30" s="113"/>
    </row>
    <row r="31" spans="1:29" x14ac:dyDescent="0.2">
      <c r="B31" s="16"/>
      <c r="C31" s="16"/>
      <c r="D31" s="16"/>
      <c r="E31" s="16"/>
      <c r="F31" s="16"/>
      <c r="G31" s="16"/>
      <c r="H31" s="16"/>
      <c r="I31" s="16"/>
      <c r="J31" s="16"/>
      <c r="O31" s="114"/>
    </row>
    <row r="32" spans="1:29" x14ac:dyDescent="0.2">
      <c r="O32" s="114"/>
      <c r="S32" s="108" t="s">
        <v>236</v>
      </c>
      <c r="T32" s="108"/>
      <c r="U32" s="108"/>
      <c r="V32" s="108"/>
      <c r="W32" s="108"/>
      <c r="X32" s="108"/>
      <c r="Y32" s="108"/>
    </row>
    <row r="33" spans="15:25" x14ac:dyDescent="0.2">
      <c r="O33" s="114"/>
      <c r="S33" s="109" t="s">
        <v>311</v>
      </c>
      <c r="T33" s="121">
        <f>SUMMARY!B41*1/3</f>
        <v>2.0468321801655136E-2</v>
      </c>
      <c r="U33" s="113">
        <f>MIN(T33+(SUMMARY!$B$41-$T$33)/(SUMMARY!$B$38-'Segment Revenue Hist &amp; Forecast'!$T$2),SUMMARY!$B$41)</f>
        <v>3.4113869669425229E-2</v>
      </c>
      <c r="V33" s="113">
        <f>MIN(U33+(SUMMARY!$B$41-$T$33)/(SUMMARY!$B$38-'Segment Revenue Hist &amp; Forecast'!$T$2),SUMMARY!$B$41)</f>
        <v>4.7759417537195321E-2</v>
      </c>
      <c r="W33" s="113">
        <f>MIN(V33+(SUMMARY!$B$41-$T$33)/(SUMMARY!$B$38-'Segment Revenue Hist &amp; Forecast'!$T$2),SUMMARY!$B$41)</f>
        <v>6.1404965404965407E-2</v>
      </c>
      <c r="X33" s="113">
        <f>MIN(W33+(SUMMARY!$B$41-$T$33)/(SUMMARY!$B$38-'Segment Revenue Hist &amp; Forecast'!$T$2),SUMMARY!$B$41)</f>
        <v>6.1404965404965407E-2</v>
      </c>
      <c r="Y33" s="113">
        <f>MIN(X33+(SUMMARY!$B$41-$T$33)/(SUMMARY!$B$38-'Segment Revenue Hist &amp; Forecast'!$T$2),SUMMARY!$B$41)</f>
        <v>6.1404965404965407E-2</v>
      </c>
    </row>
    <row r="34" spans="15:25" x14ac:dyDescent="0.2">
      <c r="O34" s="114"/>
      <c r="S34" s="109" t="s">
        <v>352</v>
      </c>
      <c r="T34" s="113">
        <v>0</v>
      </c>
      <c r="U34" s="113">
        <f>MIN(T34+SUMMARY!$B$42/SUMMARY!$B$44,SUMMARY!$B$42)</f>
        <v>0.11001066087096849</v>
      </c>
      <c r="V34" s="113">
        <f>MIN(U34+SUMMARY!$B$42/SUMMARY!$B$44,SUMMARY!$B$42)</f>
        <v>0.22002132174193698</v>
      </c>
      <c r="W34" s="113">
        <f>MIN(V34+SUMMARY!$B$42/SUMMARY!$B$44,SUMMARY!$B$42)</f>
        <v>0.33003198261290545</v>
      </c>
      <c r="X34" s="113">
        <f>MIN(W34+SUMMARY!$B$42/SUMMARY!$B$44,SUMMARY!$B$42)</f>
        <v>0.44004264348387395</v>
      </c>
      <c r="Y34" s="113">
        <f>MIN(X34+SUMMARY!$B$42/SUMMARY!$B$44,SUMMARY!$B$42)</f>
        <v>0.55005330435484245</v>
      </c>
    </row>
    <row r="35" spans="15:25" x14ac:dyDescent="0.2">
      <c r="O35" s="114"/>
      <c r="S35"/>
      <c r="T35"/>
      <c r="U35"/>
      <c r="V35"/>
      <c r="W35"/>
      <c r="X35"/>
      <c r="Y35"/>
    </row>
    <row r="36" spans="15:25" x14ac:dyDescent="0.2">
      <c r="O36" s="114"/>
      <c r="S36" s="108" t="s">
        <v>8</v>
      </c>
      <c r="T36" s="108"/>
      <c r="U36" s="108"/>
      <c r="V36" s="108"/>
      <c r="W36" s="108"/>
      <c r="X36" s="108"/>
      <c r="Y36" s="108"/>
    </row>
    <row r="37" spans="15:25" x14ac:dyDescent="0.2">
      <c r="O37" s="114"/>
      <c r="S37" s="109" t="s">
        <v>349</v>
      </c>
      <c r="T37" s="113">
        <f>AVERAGE(D25:J25)</f>
        <v>7.5887992591356257E-2</v>
      </c>
      <c r="U37" s="113">
        <f>T37</f>
        <v>7.5887992591356257E-2</v>
      </c>
      <c r="V37" s="113">
        <f>U37</f>
        <v>7.5887992591356257E-2</v>
      </c>
      <c r="W37" s="113">
        <f>V37</f>
        <v>7.5887992591356257E-2</v>
      </c>
      <c r="X37" s="113">
        <f>W37</f>
        <v>7.5887992591356257E-2</v>
      </c>
      <c r="Y37" s="113">
        <f>X37</f>
        <v>7.5887992591356257E-2</v>
      </c>
    </row>
    <row r="38" spans="15:25" x14ac:dyDescent="0.2">
      <c r="O38" s="114"/>
    </row>
    <row r="39" spans="15:25" x14ac:dyDescent="0.2">
      <c r="O39" s="114"/>
    </row>
    <row r="40" spans="15:25" x14ac:dyDescent="0.2">
      <c r="O40" s="114"/>
    </row>
    <row r="41" spans="15:25" x14ac:dyDescent="0.2">
      <c r="O41" s="114"/>
    </row>
    <row r="42" spans="15:25" x14ac:dyDescent="0.2">
      <c r="O42" s="114"/>
    </row>
    <row r="43" spans="15:25" x14ac:dyDescent="0.2">
      <c r="O43" s="114"/>
    </row>
    <row r="44" spans="15:25" x14ac:dyDescent="0.2">
      <c r="O44" s="114"/>
    </row>
    <row r="45" spans="15:25" x14ac:dyDescent="0.2">
      <c r="O45" s="114"/>
    </row>
    <row r="46" spans="15:25" x14ac:dyDescent="0.2">
      <c r="O46" s="114"/>
    </row>
    <row r="47" spans="15:25" x14ac:dyDescent="0.2">
      <c r="O47" s="114"/>
    </row>
    <row r="48" spans="15:25" x14ac:dyDescent="0.2">
      <c r="O48" s="114"/>
    </row>
    <row r="49" spans="15:15" x14ac:dyDescent="0.2">
      <c r="O49" s="114"/>
    </row>
    <row r="50" spans="15:15" x14ac:dyDescent="0.2">
      <c r="O50" s="114"/>
    </row>
    <row r="51" spans="15:15" x14ac:dyDescent="0.2">
      <c r="O51" s="114"/>
    </row>
    <row r="52" spans="15:15" x14ac:dyDescent="0.2">
      <c r="O52" s="114"/>
    </row>
    <row r="53" spans="15:15" x14ac:dyDescent="0.2">
      <c r="O53" s="114"/>
    </row>
    <row r="54" spans="15:15" x14ac:dyDescent="0.2">
      <c r="O54" s="114"/>
    </row>
    <row r="55" spans="15:15" x14ac:dyDescent="0.2">
      <c r="O55" s="114"/>
    </row>
    <row r="56" spans="15:15" x14ac:dyDescent="0.2">
      <c r="O56" s="114"/>
    </row>
  </sheetData>
  <mergeCells count="3">
    <mergeCell ref="B1:J1"/>
    <mergeCell ref="K1:Q1"/>
    <mergeCell ref="S1:Y1"/>
  </mergeCells>
  <pageMargins left="0.7" right="0.7" top="0.75" bottom="0.75" header="0.3" footer="0.3"/>
  <pageSetup orientation="portrait" horizontalDpi="0" verticalDpi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4FF"/>
  </sheetPr>
  <dimension ref="A1:AD961"/>
  <sheetViews>
    <sheetView showGridLines="0" zoomScale="119" zoomScaleNormal="67" workbookViewId="0">
      <pane ySplit="1" topLeftCell="A65" activePane="bottomLeft" state="frozen"/>
      <selection pane="bottomLeft" activeCell="O89" sqref="O89"/>
    </sheetView>
  </sheetViews>
  <sheetFormatPr baseColWidth="10" defaultColWidth="14.33203125" defaultRowHeight="15" customHeight="1" outlineLevelRow="2" outlineLevelCol="2" x14ac:dyDescent="0.2"/>
  <cols>
    <col min="1" max="1" width="32.83203125" style="7" customWidth="1"/>
    <col min="2" max="2" width="12.33203125" style="7" customWidth="1"/>
    <col min="3" max="3" width="11.1640625" style="7" customWidth="1"/>
    <col min="4" max="7" width="11.6640625" style="7" customWidth="1" outlineLevel="1"/>
    <col min="8" max="11" width="11.6640625" style="7" customWidth="1" outlineLevel="2"/>
    <col min="12" max="14" width="11.6640625" style="7" customWidth="1" outlineLevel="1"/>
    <col min="15" max="15" width="11.83203125" style="7" customWidth="1" outlineLevel="1"/>
    <col min="16" max="16" width="11.6640625" style="7" customWidth="1" outlineLevel="1"/>
    <col min="17" max="22" width="17" style="7" customWidth="1"/>
    <col min="23" max="24" width="9.1640625" style="7" customWidth="1"/>
    <col min="25" max="25" width="21.1640625" style="7" bestFit="1" customWidth="1"/>
    <col min="26" max="30" width="9.5" style="7" bestFit="1" customWidth="1"/>
    <col min="31" max="16384" width="14.33203125" style="7"/>
  </cols>
  <sheetData>
    <row r="1" spans="1:28" customFormat="1" ht="33" x14ac:dyDescent="0.2">
      <c r="A1" s="738" t="s">
        <v>409</v>
      </c>
      <c r="B1" s="738"/>
      <c r="C1" s="738"/>
      <c r="D1" s="17">
        <v>2021</v>
      </c>
      <c r="E1" s="17">
        <f>+D1+1</f>
        <v>2022</v>
      </c>
      <c r="F1" s="17">
        <f>+E1+1</f>
        <v>2023</v>
      </c>
      <c r="G1" s="17">
        <f>+F1+1</f>
        <v>2024</v>
      </c>
      <c r="H1" s="396">
        <v>1</v>
      </c>
      <c r="I1" s="396">
        <v>2</v>
      </c>
      <c r="J1" s="396">
        <v>3</v>
      </c>
      <c r="K1" s="396">
        <v>4</v>
      </c>
      <c r="L1" s="18">
        <f>+G1+1</f>
        <v>2025</v>
      </c>
      <c r="M1" s="125">
        <v>1</v>
      </c>
      <c r="N1" s="125">
        <v>2</v>
      </c>
      <c r="O1" s="125">
        <v>3</v>
      </c>
      <c r="P1" s="126">
        <v>4</v>
      </c>
      <c r="Q1" s="250">
        <f>+L1+1</f>
        <v>2026</v>
      </c>
      <c r="R1" s="250">
        <f>+Q1+1</f>
        <v>2027</v>
      </c>
      <c r="S1" s="250">
        <f>+R1+1</f>
        <v>2028</v>
      </c>
      <c r="T1" s="250">
        <f>+S1+1</f>
        <v>2029</v>
      </c>
      <c r="U1" s="250">
        <f>+T1+1</f>
        <v>2030</v>
      </c>
      <c r="V1" s="250">
        <f>+U1+1</f>
        <v>2031</v>
      </c>
      <c r="W1" s="1"/>
      <c r="X1" s="1"/>
      <c r="Y1" s="1"/>
      <c r="Z1" s="1"/>
      <c r="AA1" s="1"/>
      <c r="AB1" s="1"/>
    </row>
    <row r="2" spans="1:28" customFormat="1" ht="16" x14ac:dyDescent="0.2">
      <c r="A2" s="9" t="s">
        <v>59</v>
      </c>
      <c r="B2" s="9"/>
      <c r="C2" s="10"/>
      <c r="D2" s="11" t="str">
        <f t="shared" ref="D2:T2" si="0">IFERROR(IF(ABS(D103)&gt;1,"ERROR","OK"),"OK")</f>
        <v>OK</v>
      </c>
      <c r="E2" s="11" t="str">
        <f t="shared" si="0"/>
        <v>OK</v>
      </c>
      <c r="F2" s="11" t="str">
        <f t="shared" si="0"/>
        <v>OK</v>
      </c>
      <c r="G2" s="11" t="str">
        <f t="shared" si="0"/>
        <v>OK</v>
      </c>
      <c r="H2" s="11" t="str">
        <f t="shared" si="0"/>
        <v>OK</v>
      </c>
      <c r="I2" s="11" t="str">
        <f t="shared" si="0"/>
        <v>OK</v>
      </c>
      <c r="J2" s="11" t="str">
        <f t="shared" si="0"/>
        <v>OK</v>
      </c>
      <c r="K2" s="11" t="str">
        <f t="shared" si="0"/>
        <v>OK</v>
      </c>
      <c r="L2" s="11" t="str">
        <f t="shared" si="0"/>
        <v>OK</v>
      </c>
      <c r="M2" s="11" t="str">
        <f t="shared" si="0"/>
        <v>OK</v>
      </c>
      <c r="N2" s="11" t="str">
        <f t="shared" si="0"/>
        <v>OK</v>
      </c>
      <c r="O2" s="11" t="str">
        <f t="shared" si="0"/>
        <v>OK</v>
      </c>
      <c r="P2" s="11" t="str">
        <f t="shared" si="0"/>
        <v>OK</v>
      </c>
      <c r="Q2" s="11" t="str">
        <f>IFERROR(IF(ABS(Q103)&gt;1,"ERROR","OK"),"OK")</f>
        <v>OK</v>
      </c>
      <c r="R2" s="11" t="str">
        <f t="shared" si="0"/>
        <v>OK</v>
      </c>
      <c r="S2" s="11" t="str">
        <f t="shared" si="0"/>
        <v>OK</v>
      </c>
      <c r="T2" s="11" t="str">
        <f t="shared" si="0"/>
        <v>OK</v>
      </c>
      <c r="U2" s="11" t="str">
        <f>IFERROR(IF(ABS(U103)&gt;1,"ERROR","OK"),"OK")</f>
        <v>OK</v>
      </c>
      <c r="V2" s="11" t="str">
        <f>IFERROR(IF(ABS(V103)&gt;1,"ERROR","OK"),"OK")</f>
        <v>OK</v>
      </c>
      <c r="W2" s="1"/>
      <c r="X2" s="1"/>
      <c r="Y2" s="1"/>
      <c r="Z2" s="1"/>
      <c r="AA2" s="1"/>
      <c r="AB2" s="1"/>
    </row>
    <row r="3" spans="1:28" customFormat="1" ht="16" x14ac:dyDescent="0.2">
      <c r="A3" s="1"/>
      <c r="B3" s="1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customFormat="1" ht="20" x14ac:dyDescent="0.2">
      <c r="A4" s="251" t="s">
        <v>355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1"/>
      <c r="X4" s="1"/>
      <c r="Y4" s="1"/>
      <c r="Z4" s="1"/>
      <c r="AA4" s="1"/>
      <c r="AB4" s="1"/>
    </row>
    <row r="5" spans="1:28" customFormat="1" ht="16" outlineLevel="1" x14ac:dyDescent="0.2">
      <c r="A5" s="4"/>
      <c r="B5" s="1"/>
      <c r="C5" s="2"/>
      <c r="D5" s="1"/>
      <c r="E5" s="1"/>
      <c r="F5" s="1"/>
      <c r="G5" s="1"/>
      <c r="H5" s="1"/>
      <c r="I5" s="1"/>
      <c r="J5" s="1"/>
      <c r="K5" s="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"/>
      <c r="X5" s="1"/>
      <c r="Y5" s="1"/>
      <c r="Z5" s="1"/>
      <c r="AA5" s="1"/>
      <c r="AB5" s="1"/>
    </row>
    <row r="6" spans="1:28" customFormat="1" ht="16" outlineLevel="1" x14ac:dyDescent="0.2">
      <c r="A6" s="342" t="s">
        <v>374</v>
      </c>
      <c r="B6" s="343"/>
      <c r="C6" s="344"/>
      <c r="D6" s="343"/>
      <c r="E6" s="343"/>
      <c r="F6" s="343"/>
      <c r="G6" s="343"/>
      <c r="H6" s="343"/>
      <c r="I6" s="343"/>
      <c r="J6" s="343"/>
      <c r="K6" s="343"/>
      <c r="L6" s="345"/>
      <c r="M6" s="345"/>
      <c r="N6" s="345"/>
      <c r="O6" s="345"/>
      <c r="P6" s="345"/>
      <c r="Q6" s="345"/>
      <c r="R6" s="345"/>
      <c r="S6" s="345"/>
      <c r="T6" s="345"/>
      <c r="U6" s="345"/>
      <c r="V6" s="345"/>
      <c r="W6" s="1"/>
      <c r="X6" s="1"/>
      <c r="Y6" s="1"/>
      <c r="Z6" s="1"/>
      <c r="AA6" s="1"/>
      <c r="AB6" s="1"/>
    </row>
    <row r="7" spans="1:28" customFormat="1" ht="16" outlineLevel="1" x14ac:dyDescent="0.2">
      <c r="A7" s="323" t="s">
        <v>60</v>
      </c>
      <c r="B7" s="263"/>
      <c r="C7" s="309"/>
      <c r="D7" s="346">
        <f>D43/D40*-1</f>
        <v>0.7762896195675173</v>
      </c>
      <c r="E7" s="346">
        <f>E43/E40*-1</f>
        <v>0.77512026429164815</v>
      </c>
      <c r="F7" s="346">
        <f>F43/F40*-1</f>
        <v>0.78590867856062896</v>
      </c>
      <c r="G7" s="346">
        <f>G43/G40*-1</f>
        <v>0.7789975144987572</v>
      </c>
      <c r="H7" s="346">
        <f t="shared" ref="H7:O7" si="1">H43/H40*-1</f>
        <v>0.76670057646659884</v>
      </c>
      <c r="I7" s="346">
        <f t="shared" si="1"/>
        <v>0.76464254952627042</v>
      </c>
      <c r="J7" s="346">
        <f t="shared" si="1"/>
        <v>0.76527263102170462</v>
      </c>
      <c r="K7" s="346">
        <f t="shared" si="1"/>
        <v>0.79079437912245487</v>
      </c>
      <c r="L7" s="346">
        <f>L43/L40*-1</f>
        <v>0.7740078982854941</v>
      </c>
      <c r="M7" s="346">
        <f t="shared" si="1"/>
        <v>0.76628265084977754</v>
      </c>
      <c r="N7" s="346">
        <f t="shared" si="1"/>
        <v>0.76753549480822203</v>
      </c>
      <c r="O7" s="346">
        <f t="shared" si="1"/>
        <v>0.76757650951199341</v>
      </c>
      <c r="P7" s="346">
        <v>0.78700000000000003</v>
      </c>
      <c r="Q7" s="346">
        <f>Q43/Q40*-1</f>
        <v>0.77368891064141598</v>
      </c>
      <c r="R7" s="346">
        <f>SUMMARY!$B$49+SUMMARY!$B$50</f>
        <v>0.77500000000000002</v>
      </c>
      <c r="S7" s="346">
        <f>SUMMARY!$B$49+SUMMARY!$B$50</f>
        <v>0.77500000000000002</v>
      </c>
      <c r="T7" s="346">
        <f>SUMMARY!$B$49+SUMMARY!$B$50</f>
        <v>0.77500000000000002</v>
      </c>
      <c r="U7" s="346">
        <f>SUMMARY!$B$49+SUMMARY!$B$50</f>
        <v>0.77500000000000002</v>
      </c>
      <c r="V7" s="346">
        <f>SUMMARY!$B$49+SUMMARY!$B$50</f>
        <v>0.77500000000000002</v>
      </c>
      <c r="W7" s="1"/>
      <c r="X7" s="1"/>
      <c r="Y7" s="1"/>
      <c r="Z7" s="1"/>
      <c r="AA7" s="1"/>
      <c r="AB7" s="1"/>
    </row>
    <row r="8" spans="1:28" customFormat="1" ht="16" outlineLevel="1" x14ac:dyDescent="0.2">
      <c r="A8" s="323" t="s">
        <v>61</v>
      </c>
      <c r="B8" s="263"/>
      <c r="C8" s="309"/>
      <c r="D8" s="348"/>
      <c r="E8" s="349">
        <f>'Useful Life &amp; SG&amp;A Build'!J87</f>
        <v>4.6477445168735096</v>
      </c>
      <c r="F8" s="349">
        <f>'Useful Life &amp; SG&amp;A Build'!K87</f>
        <v>4.8356254568669019</v>
      </c>
      <c r="G8" s="349">
        <f>'Useful Life &amp; SG&amp;A Build'!L87</f>
        <v>4.6592270402199869</v>
      </c>
      <c r="H8" s="348"/>
      <c r="I8" s="348"/>
      <c r="J8" s="348"/>
      <c r="K8" s="348"/>
      <c r="L8" s="349">
        <f>'Useful Life &amp; SG&amp;A Build'!M87</f>
        <v>4.9796498082484062</v>
      </c>
      <c r="M8" s="350"/>
      <c r="N8" s="350"/>
      <c r="O8" s="350"/>
      <c r="P8" s="350"/>
      <c r="Q8" s="349">
        <f>SUMMARY!$B$52</f>
        <v>4.7805617055522012</v>
      </c>
      <c r="R8" s="349">
        <f>SUMMARY!$B$52</f>
        <v>4.7805617055522012</v>
      </c>
      <c r="S8" s="349">
        <f>SUMMARY!$B$52</f>
        <v>4.7805617055522012</v>
      </c>
      <c r="T8" s="349">
        <f>SUMMARY!$B$52</f>
        <v>4.7805617055522012</v>
      </c>
      <c r="U8" s="349">
        <f>SUMMARY!$B$52</f>
        <v>4.7805617055522012</v>
      </c>
      <c r="V8" s="349">
        <f>SUMMARY!$B$52</f>
        <v>4.7805617055522012</v>
      </c>
      <c r="W8" s="1"/>
      <c r="X8" s="1"/>
      <c r="Y8" s="1"/>
      <c r="Z8" s="1"/>
      <c r="AA8" s="1"/>
      <c r="AB8" s="1"/>
    </row>
    <row r="9" spans="1:28" customFormat="1" ht="16" outlineLevel="1" x14ac:dyDescent="0.2">
      <c r="A9" s="323" t="s">
        <v>57</v>
      </c>
      <c r="B9" s="263"/>
      <c r="C9" s="309"/>
      <c r="D9" s="351"/>
      <c r="E9" s="346">
        <f>'Useful Life &amp; SG&amp;A Build'!J88</f>
        <v>3.2057491761920555E-2</v>
      </c>
      <c r="F9" s="346">
        <f>'Useful Life &amp; SG&amp;A Build'!K88</f>
        <v>2.8622942329009481E-2</v>
      </c>
      <c r="G9" s="346">
        <f>'Useful Life &amp; SG&amp;A Build'!L88</f>
        <v>4.0861057485133655E-2</v>
      </c>
      <c r="H9" s="348"/>
      <c r="I9" s="348"/>
      <c r="J9" s="348"/>
      <c r="K9" s="348"/>
      <c r="L9" s="346">
        <f>'Useful Life &amp; SG&amp;A Build'!M88</f>
        <v>3.0505644774014861E-2</v>
      </c>
      <c r="M9" s="347"/>
      <c r="N9" s="347"/>
      <c r="O9" s="347"/>
      <c r="P9" s="347"/>
      <c r="Q9" s="346">
        <f>SUMMARY!$B$53</f>
        <v>3.0395359621648299E-2</v>
      </c>
      <c r="R9" s="346">
        <f>SUMMARY!$B$53</f>
        <v>3.0395359621648299E-2</v>
      </c>
      <c r="S9" s="346">
        <f>SUMMARY!$B$53</f>
        <v>3.0395359621648299E-2</v>
      </c>
      <c r="T9" s="346">
        <f>SUMMARY!$B$53</f>
        <v>3.0395359621648299E-2</v>
      </c>
      <c r="U9" s="346">
        <f>SUMMARY!$B$53</f>
        <v>3.0395359621648299E-2</v>
      </c>
      <c r="V9" s="346">
        <f>SUMMARY!$B$53</f>
        <v>3.0395359621648299E-2</v>
      </c>
      <c r="W9" s="1"/>
      <c r="X9" s="1"/>
      <c r="Y9" s="1"/>
      <c r="Z9" s="1"/>
      <c r="AA9" s="1"/>
      <c r="AB9" s="1"/>
    </row>
    <row r="10" spans="1:28" customFormat="1" ht="16" outlineLevel="1" x14ac:dyDescent="0.2">
      <c r="A10" s="323" t="s">
        <v>489</v>
      </c>
      <c r="B10" s="263"/>
      <c r="C10" s="309"/>
      <c r="D10" s="263">
        <v>0</v>
      </c>
      <c r="E10" s="263">
        <v>0</v>
      </c>
      <c r="F10" s="263">
        <v>0</v>
      </c>
      <c r="G10" s="263">
        <v>0</v>
      </c>
      <c r="H10" s="263">
        <v>0</v>
      </c>
      <c r="I10" s="263">
        <v>0</v>
      </c>
      <c r="J10" s="263">
        <v>0</v>
      </c>
      <c r="K10" s="263">
        <v>0</v>
      </c>
      <c r="L10" s="263">
        <v>0</v>
      </c>
      <c r="M10" s="263">
        <v>0</v>
      </c>
      <c r="N10" s="263">
        <v>0</v>
      </c>
      <c r="O10" s="263">
        <v>0</v>
      </c>
      <c r="P10" s="263">
        <v>0</v>
      </c>
      <c r="Q10" s="263">
        <v>0</v>
      </c>
      <c r="R10" s="352">
        <f>MIN('Seg Rev Build--Source Data'!$B$64/SUMMARY!$B$44,'Seg Rev Build--Source Data'!$B$64)</f>
        <v>0.11944444444444445</v>
      </c>
      <c r="S10" s="352">
        <f>MIN('Seg Rev Build--Source Data'!$B$64/SUMMARY!$B$44+R10,'Seg Rev Build--Source Data'!$B$64)</f>
        <v>0.2388888888888889</v>
      </c>
      <c r="T10" s="352">
        <f>MIN('Seg Rev Build--Source Data'!$B$64/SUMMARY!$B$44+S10,'Seg Rev Build--Source Data'!$B$64)</f>
        <v>0.35833333333333334</v>
      </c>
      <c r="U10" s="352">
        <f>MIN('Seg Rev Build--Source Data'!$B$64/SUMMARY!$B$44+T10,'Seg Rev Build--Source Data'!$B$64)</f>
        <v>0.4777777777777778</v>
      </c>
      <c r="V10" s="352">
        <f>MIN('Seg Rev Build--Source Data'!$B$64/SUMMARY!$B$44+U10,'Seg Rev Build--Source Data'!$B$64)</f>
        <v>0.59722222222222221</v>
      </c>
      <c r="W10" s="1"/>
      <c r="X10" s="1"/>
      <c r="Y10" s="1"/>
      <c r="Z10" s="1"/>
      <c r="AA10" s="1"/>
      <c r="AB10" s="1"/>
    </row>
    <row r="11" spans="1:28" customFormat="1" ht="16" outlineLevel="1" x14ac:dyDescent="0.2">
      <c r="A11" s="323" t="s">
        <v>490</v>
      </c>
      <c r="B11" s="263"/>
      <c r="C11" s="309"/>
      <c r="D11" s="347"/>
      <c r="E11" s="347"/>
      <c r="F11" s="346">
        <f>F113/'Useful Life &amp; SG&amp;A Build'!K86</f>
        <v>2.5077495959428129E-2</v>
      </c>
      <c r="G11" s="346">
        <f>G113/'Useful Life &amp; SG&amp;A Build'!L86</f>
        <v>2.7663148366945292E-2</v>
      </c>
      <c r="H11" s="348"/>
      <c r="I11" s="348"/>
      <c r="J11" s="348"/>
      <c r="K11" s="348"/>
      <c r="L11" s="346">
        <f>L113/'Useful Life &amp; SG&amp;A Build'!M86</f>
        <v>2.4989802561326855E-2</v>
      </c>
      <c r="M11" s="347"/>
      <c r="N11" s="347"/>
      <c r="O11" s="347"/>
      <c r="P11" s="347"/>
      <c r="Q11" s="346">
        <f>SUMMARY!$B$54</f>
        <v>2.4989802561326855E-2</v>
      </c>
      <c r="R11" s="346">
        <f>SUMMARY!$B$54</f>
        <v>2.4989802561326855E-2</v>
      </c>
      <c r="S11" s="346">
        <f>SUMMARY!$B$54</f>
        <v>2.4989802561326855E-2</v>
      </c>
      <c r="T11" s="346">
        <f>SUMMARY!$B$54</f>
        <v>2.4989802561326855E-2</v>
      </c>
      <c r="U11" s="346">
        <f>SUMMARY!$B$54</f>
        <v>2.4989802561326855E-2</v>
      </c>
      <c r="V11" s="346">
        <f>SUMMARY!$B$54</f>
        <v>2.4989802561326855E-2</v>
      </c>
      <c r="W11" s="1"/>
      <c r="X11" s="1"/>
      <c r="Y11" s="1"/>
      <c r="Z11" s="1"/>
      <c r="AA11" s="1"/>
      <c r="AB11" s="1"/>
    </row>
    <row r="12" spans="1:28" customFormat="1" ht="16" outlineLevel="1" x14ac:dyDescent="0.2">
      <c r="A12" s="342" t="s">
        <v>375</v>
      </c>
      <c r="B12" s="343"/>
      <c r="C12" s="344"/>
      <c r="D12" s="354"/>
      <c r="E12" s="354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5"/>
      <c r="S12" s="355"/>
      <c r="T12" s="355"/>
      <c r="U12" s="355"/>
      <c r="V12" s="355"/>
      <c r="W12" s="1"/>
      <c r="X12" s="1"/>
      <c r="Y12" s="1"/>
      <c r="Z12" s="1"/>
      <c r="AA12" s="1"/>
      <c r="AB12" s="1"/>
    </row>
    <row r="13" spans="1:28" customFormat="1" ht="16" outlineLevel="1" x14ac:dyDescent="0.2">
      <c r="A13" s="323" t="s">
        <v>62</v>
      </c>
      <c r="B13" s="263"/>
      <c r="C13" s="309"/>
      <c r="D13" s="348"/>
      <c r="E13" s="348"/>
      <c r="F13" s="348"/>
      <c r="G13" s="348"/>
      <c r="H13" s="348"/>
      <c r="I13" s="348"/>
      <c r="J13" s="348"/>
      <c r="K13" s="348"/>
      <c r="L13" s="356">
        <f>'Useful Life &amp; SG&amp;A Build'!$B$12</f>
        <v>4.5</v>
      </c>
      <c r="M13" s="356">
        <f t="shared" ref="M13:P15" si="2">L13</f>
        <v>4.5</v>
      </c>
      <c r="N13" s="356">
        <f t="shared" si="2"/>
        <v>4.5</v>
      </c>
      <c r="O13" s="356">
        <f t="shared" si="2"/>
        <v>4.5</v>
      </c>
      <c r="P13" s="356">
        <f t="shared" si="2"/>
        <v>4.5</v>
      </c>
      <c r="Q13" s="356">
        <f>SUMMARY!$B$75</f>
        <v>4.5</v>
      </c>
      <c r="R13" s="356">
        <f>SUMMARY!$B$75</f>
        <v>4.5</v>
      </c>
      <c r="S13" s="356">
        <f>SUMMARY!$B$75</f>
        <v>4.5</v>
      </c>
      <c r="T13" s="356">
        <f>SUMMARY!$B$75</f>
        <v>4.5</v>
      </c>
      <c r="U13" s="356">
        <f>SUMMARY!$B$75</f>
        <v>4.5</v>
      </c>
      <c r="V13" s="356">
        <f>SUMMARY!$B$75</f>
        <v>4.5</v>
      </c>
      <c r="W13" s="1"/>
      <c r="X13" s="1"/>
      <c r="Y13" s="1"/>
      <c r="Z13" s="1"/>
      <c r="AA13" s="1"/>
      <c r="AB13" s="1"/>
    </row>
    <row r="14" spans="1:28" customFormat="1" ht="16" outlineLevel="1" x14ac:dyDescent="0.2">
      <c r="A14" s="323" t="s">
        <v>63</v>
      </c>
      <c r="B14" s="263"/>
      <c r="C14" s="309"/>
      <c r="D14" s="348"/>
      <c r="E14" s="348"/>
      <c r="F14" s="348"/>
      <c r="G14" s="348"/>
      <c r="H14" s="348"/>
      <c r="I14" s="348"/>
      <c r="J14" s="348"/>
      <c r="K14" s="348"/>
      <c r="L14" s="356">
        <f>'Useful Life &amp; SG&amp;A Build'!$B$10</f>
        <v>3.5</v>
      </c>
      <c r="M14" s="356">
        <f t="shared" si="2"/>
        <v>3.5</v>
      </c>
      <c r="N14" s="356">
        <f t="shared" si="2"/>
        <v>3.5</v>
      </c>
      <c r="O14" s="356">
        <f t="shared" si="2"/>
        <v>3.5</v>
      </c>
      <c r="P14" s="356">
        <f t="shared" si="2"/>
        <v>3.5</v>
      </c>
      <c r="Q14" s="356">
        <f>SUMMARY!$B$77</f>
        <v>3.5</v>
      </c>
      <c r="R14" s="356">
        <f>SUMMARY!$B$77</f>
        <v>3.5</v>
      </c>
      <c r="S14" s="356">
        <f>SUMMARY!$B$77</f>
        <v>3.5</v>
      </c>
      <c r="T14" s="356">
        <f>SUMMARY!$B$77</f>
        <v>3.5</v>
      </c>
      <c r="U14" s="356">
        <f>SUMMARY!$B$77</f>
        <v>3.5</v>
      </c>
      <c r="V14" s="356">
        <f>SUMMARY!$B$77</f>
        <v>3.5</v>
      </c>
      <c r="W14" s="1"/>
      <c r="X14" s="1"/>
      <c r="Y14" s="1"/>
      <c r="Z14" s="1"/>
      <c r="AA14" s="1"/>
      <c r="AB14" s="1"/>
    </row>
    <row r="15" spans="1:28" customFormat="1" ht="16" outlineLevel="1" x14ac:dyDescent="0.2">
      <c r="A15" s="323" t="s">
        <v>64</v>
      </c>
      <c r="B15" s="263"/>
      <c r="C15" s="309"/>
      <c r="D15" s="348"/>
      <c r="E15" s="348"/>
      <c r="F15" s="348"/>
      <c r="G15" s="348"/>
      <c r="H15" s="348"/>
      <c r="I15" s="348"/>
      <c r="J15" s="348"/>
      <c r="K15" s="348"/>
      <c r="L15" s="356">
        <f>'Useful Life &amp; SG&amp;A Build'!$B$11</f>
        <v>7.5</v>
      </c>
      <c r="M15" s="356">
        <f t="shared" si="2"/>
        <v>7.5</v>
      </c>
      <c r="N15" s="356">
        <f t="shared" si="2"/>
        <v>7.5</v>
      </c>
      <c r="O15" s="356">
        <f t="shared" si="2"/>
        <v>7.5</v>
      </c>
      <c r="P15" s="356">
        <f t="shared" si="2"/>
        <v>7.5</v>
      </c>
      <c r="Q15" s="356">
        <f>SUMMARY!$B$79</f>
        <v>7.5</v>
      </c>
      <c r="R15" s="356">
        <f>SUMMARY!$B$79</f>
        <v>7.5</v>
      </c>
      <c r="S15" s="356">
        <f>SUMMARY!$B$79</f>
        <v>7.5</v>
      </c>
      <c r="T15" s="356">
        <f>SUMMARY!$B$79</f>
        <v>7.5</v>
      </c>
      <c r="U15" s="356">
        <f>SUMMARY!$B$79</f>
        <v>7.5</v>
      </c>
      <c r="V15" s="356">
        <f>SUMMARY!$B$79</f>
        <v>7.5</v>
      </c>
    </row>
    <row r="16" spans="1:28" customFormat="1" ht="16" outlineLevel="1" x14ac:dyDescent="0.2">
      <c r="A16" s="323" t="s">
        <v>234</v>
      </c>
      <c r="B16" s="263"/>
      <c r="C16" s="309"/>
      <c r="D16" s="346">
        <f t="shared" ref="D16:O16" si="3">D155/D40</f>
        <v>0.39511658414794126</v>
      </c>
      <c r="E16" s="346">
        <f t="shared" si="3"/>
        <v>0.31742045169142791</v>
      </c>
      <c r="F16" s="346">
        <f t="shared" si="3"/>
        <v>0.30696790358114823</v>
      </c>
      <c r="G16" s="346">
        <f t="shared" si="3"/>
        <v>0.30152812298628373</v>
      </c>
      <c r="H16" s="346">
        <f t="shared" si="3"/>
        <v>0.28540748276251837</v>
      </c>
      <c r="I16" s="346">
        <f t="shared" si="3"/>
        <v>0.2926356589147287</v>
      </c>
      <c r="J16" s="346">
        <f t="shared" si="3"/>
        <v>0.28872419269454735</v>
      </c>
      <c r="K16" s="346">
        <f t="shared" si="3"/>
        <v>0.9316030972182392</v>
      </c>
      <c r="L16" s="346">
        <f t="shared" si="3"/>
        <v>0.31289732228857636</v>
      </c>
      <c r="M16" s="346">
        <f t="shared" si="3"/>
        <v>0.29417132428424775</v>
      </c>
      <c r="N16" s="346">
        <f t="shared" si="3"/>
        <v>0.30260648442466626</v>
      </c>
      <c r="O16" s="346">
        <f t="shared" si="3"/>
        <v>0.23604218362282878</v>
      </c>
      <c r="P16" s="346">
        <f>P155/P40</f>
        <v>0.36880910206729944</v>
      </c>
      <c r="Q16" s="346">
        <f>SUMMARY!$B$64</f>
        <v>0.30713111628533613</v>
      </c>
      <c r="R16" s="346">
        <f>SUMMARY!$B$64</f>
        <v>0.30713111628533613</v>
      </c>
      <c r="S16" s="346">
        <f>SUMMARY!$B$64</f>
        <v>0.30713111628533613</v>
      </c>
      <c r="T16" s="346">
        <f>SUMMARY!$B$64</f>
        <v>0.30713111628533613</v>
      </c>
      <c r="U16" s="346">
        <f>SUMMARY!$B$64</f>
        <v>0.30713111628533613</v>
      </c>
      <c r="V16" s="346">
        <f>SUMMARY!$B$64</f>
        <v>0.30713111628533613</v>
      </c>
      <c r="W16" s="1"/>
      <c r="X16" s="1"/>
      <c r="Y16" s="1"/>
      <c r="Z16" s="1"/>
      <c r="AA16" s="1"/>
      <c r="AB16" s="1"/>
    </row>
    <row r="17" spans="1:28" customFormat="1" ht="16" outlineLevel="1" x14ac:dyDescent="0.2">
      <c r="A17" s="323" t="s">
        <v>372</v>
      </c>
      <c r="B17" s="263"/>
      <c r="C17" s="309"/>
      <c r="D17" s="346">
        <f>D156/D155</f>
        <v>2.8863660704723144E-2</v>
      </c>
      <c r="E17" s="346">
        <f t="shared" ref="E17:L17" si="4">E156/E155</f>
        <v>3.3414485696895924E-2</v>
      </c>
      <c r="F17" s="346">
        <f t="shared" si="4"/>
        <v>3.7996059667886294E-2</v>
      </c>
      <c r="G17" s="346">
        <f t="shared" si="4"/>
        <v>3.7856815753320103E-2</v>
      </c>
      <c r="H17" s="348"/>
      <c r="I17" s="348"/>
      <c r="J17" s="348"/>
      <c r="K17" s="348"/>
      <c r="L17" s="346">
        <f t="shared" si="4"/>
        <v>3.3707865168539325E-2</v>
      </c>
      <c r="M17" s="348"/>
      <c r="N17" s="348"/>
      <c r="O17" s="348"/>
      <c r="P17" s="348"/>
      <c r="Q17" s="346">
        <f>SUMMARY!$B$63</f>
        <v>3.5743806571660416E-2</v>
      </c>
      <c r="R17" s="346">
        <f>SUMMARY!$B$63</f>
        <v>3.5743806571660416E-2</v>
      </c>
      <c r="S17" s="346">
        <f>SUMMARY!$B$63</f>
        <v>3.5743806571660416E-2</v>
      </c>
      <c r="T17" s="346">
        <f>SUMMARY!$B$63</f>
        <v>3.5743806571660416E-2</v>
      </c>
      <c r="U17" s="346">
        <f>SUMMARY!$B$63</f>
        <v>3.5743806571660416E-2</v>
      </c>
      <c r="V17" s="346">
        <f>SUMMARY!$B$63</f>
        <v>3.5743806571660416E-2</v>
      </c>
      <c r="W17" s="1"/>
      <c r="X17" s="1"/>
      <c r="Y17" s="1"/>
      <c r="Z17" s="1"/>
      <c r="AA17" s="1"/>
      <c r="AB17" s="1"/>
    </row>
    <row r="18" spans="1:28" customFormat="1" ht="16" outlineLevel="1" x14ac:dyDescent="0.2">
      <c r="A18" s="323" t="s">
        <v>391</v>
      </c>
      <c r="B18" s="263"/>
      <c r="C18" s="309"/>
      <c r="D18" s="349">
        <f t="shared" ref="D18:L18" si="5">D161/D160</f>
        <v>0.10094909404659189</v>
      </c>
      <c r="E18" s="349">
        <f t="shared" si="5"/>
        <v>0.1555944055944056</v>
      </c>
      <c r="F18" s="349">
        <f t="shared" si="5"/>
        <v>0.31195079086115995</v>
      </c>
      <c r="G18" s="349">
        <f>G161/G160</f>
        <v>0.24711111111111111</v>
      </c>
      <c r="H18" s="348"/>
      <c r="I18" s="348"/>
      <c r="J18" s="348"/>
      <c r="K18" s="348"/>
      <c r="L18" s="349">
        <f t="shared" si="5"/>
        <v>0.20590868397493287</v>
      </c>
      <c r="M18" s="348"/>
      <c r="N18" s="348"/>
      <c r="O18" s="348"/>
      <c r="P18" s="348"/>
      <c r="Q18" s="349">
        <f>SUMMARY!$B$66</f>
        <v>0.17959377504064836</v>
      </c>
      <c r="R18" s="349">
        <f>SUMMARY!$B$66</f>
        <v>0.17959377504064836</v>
      </c>
      <c r="S18" s="349">
        <f>SUMMARY!$B$66</f>
        <v>0.17959377504064836</v>
      </c>
      <c r="T18" s="349">
        <f>SUMMARY!$B$66</f>
        <v>0.17959377504064836</v>
      </c>
      <c r="U18" s="349">
        <f>SUMMARY!$B$66</f>
        <v>0.17959377504064836</v>
      </c>
      <c r="V18" s="349">
        <f>SUMMARY!$B$66</f>
        <v>0.17959377504064836</v>
      </c>
      <c r="W18" s="1"/>
      <c r="X18" s="1"/>
      <c r="Y18" s="1"/>
      <c r="Z18" s="1"/>
      <c r="AA18" s="1"/>
      <c r="AB18" s="1"/>
    </row>
    <row r="19" spans="1:28" customFormat="1" ht="16" outlineLevel="1" x14ac:dyDescent="0.2">
      <c r="A19" s="323" t="s">
        <v>377</v>
      </c>
      <c r="B19" s="263"/>
      <c r="C19" s="309"/>
      <c r="D19" s="347"/>
      <c r="E19" s="346">
        <f>E160/D160-1</f>
        <v>-1.2942191544434878E-2</v>
      </c>
      <c r="F19" s="346">
        <f>F160/E160-1</f>
        <v>-5.2447552447552059E-3</v>
      </c>
      <c r="G19" s="346">
        <f>G160/F160-1</f>
        <v>-1.1423550087873435E-2</v>
      </c>
      <c r="H19" s="348"/>
      <c r="I19" s="348"/>
      <c r="J19" s="348"/>
      <c r="K19" s="348"/>
      <c r="L19" s="346">
        <f>L160/G160-1</f>
        <v>-7.1111111111110681E-3</v>
      </c>
      <c r="M19" s="346">
        <f>M160/H160-1</f>
        <v>-8.0572963294538447E-3</v>
      </c>
      <c r="N19" s="346">
        <f>N160/I160-1</f>
        <v>-1.3392857142857095E-2</v>
      </c>
      <c r="O19" s="346">
        <f>O160/J160-1</f>
        <v>-3.0438675022381401E-2</v>
      </c>
      <c r="P19" s="346">
        <f>SUMMARY!B67</f>
        <v>-0.03</v>
      </c>
      <c r="Q19" s="346">
        <f>Q160/L160-1</f>
        <v>-3.0000000000000027E-2</v>
      </c>
      <c r="R19" s="346">
        <f>SUMMARY!$B$68</f>
        <v>-9.1804019970436468E-3</v>
      </c>
      <c r="S19" s="346">
        <f>SUMMARY!$B$68</f>
        <v>-9.1804019970436468E-3</v>
      </c>
      <c r="T19" s="346">
        <f>SUMMARY!$B$68</f>
        <v>-9.1804019970436468E-3</v>
      </c>
      <c r="U19" s="346">
        <f>SUMMARY!$B$68</f>
        <v>-9.1804019970436468E-3</v>
      </c>
      <c r="V19" s="346">
        <f>SUMMARY!$B$68</f>
        <v>-9.1804019970436468E-3</v>
      </c>
      <c r="W19" s="1"/>
      <c r="X19" s="1"/>
      <c r="Y19" s="1"/>
      <c r="Z19" s="1"/>
      <c r="AA19" s="1"/>
      <c r="AB19" s="1"/>
    </row>
    <row r="20" spans="1:28" customFormat="1" ht="16" outlineLevel="1" x14ac:dyDescent="0.2">
      <c r="A20" s="323" t="s">
        <v>373</v>
      </c>
      <c r="B20" s="263"/>
      <c r="C20" s="309"/>
      <c r="D20" s="346">
        <f>'Useful Life &amp; SG&amp;A Build'!B113</f>
        <v>1.2718671902891825E-3</v>
      </c>
      <c r="E20" s="346">
        <f>'Useful Life &amp; SG&amp;A Build'!C113</f>
        <v>2.0357062882967245E-4</v>
      </c>
      <c r="F20" s="346">
        <f>'Useful Life &amp; SG&amp;A Build'!D113</f>
        <v>8.0185113061009416E-4</v>
      </c>
      <c r="G20" s="346">
        <f>'Useful Life &amp; SG&amp;A Build'!E113</f>
        <v>5.1701216209562259E-4</v>
      </c>
      <c r="H20" s="348"/>
      <c r="I20" s="348"/>
      <c r="J20" s="348"/>
      <c r="K20" s="348"/>
      <c r="L20" s="346">
        <f>'Useful Life &amp; SG&amp;A Build'!F113</f>
        <v>9.8537496110361988E-4</v>
      </c>
      <c r="M20" s="348"/>
      <c r="N20" s="348"/>
      <c r="O20" s="348"/>
      <c r="P20" s="348"/>
      <c r="Q20" s="346">
        <f>SUMMARY!$B$70</f>
        <v>7.5593521458563843E-4</v>
      </c>
      <c r="R20" s="346">
        <f>SUMMARY!$B$70</f>
        <v>7.5593521458563843E-4</v>
      </c>
      <c r="S20" s="346">
        <f>SUMMARY!$B$70</f>
        <v>7.5593521458563843E-4</v>
      </c>
      <c r="T20" s="346">
        <f>SUMMARY!$B$70</f>
        <v>7.5593521458563843E-4</v>
      </c>
      <c r="U20" s="346">
        <f>SUMMARY!$B$70</f>
        <v>7.5593521458563843E-4</v>
      </c>
      <c r="V20" s="346">
        <f>SUMMARY!$B$70</f>
        <v>7.5593521458563843E-4</v>
      </c>
      <c r="W20" s="1"/>
      <c r="X20" s="1"/>
      <c r="Y20" s="1"/>
      <c r="Z20" s="1"/>
      <c r="AA20" s="1"/>
      <c r="AB20" s="1"/>
    </row>
    <row r="21" spans="1:28" customFormat="1" ht="16" outlineLevel="1" x14ac:dyDescent="0.2">
      <c r="A21" s="323" t="s">
        <v>65</v>
      </c>
      <c r="B21" s="263"/>
      <c r="C21" s="309"/>
      <c r="D21" s="275">
        <v>80</v>
      </c>
      <c r="E21" s="275">
        <v>82</v>
      </c>
      <c r="F21" s="275">
        <v>86</v>
      </c>
      <c r="G21" s="275">
        <v>61</v>
      </c>
      <c r="H21" s="275">
        <v>6</v>
      </c>
      <c r="I21" s="275">
        <v>5</v>
      </c>
      <c r="J21" s="275">
        <v>5</v>
      </c>
      <c r="K21" s="356">
        <f>L21-SUM(H21:J21)</f>
        <v>5</v>
      </c>
      <c r="L21" s="275">
        <v>21</v>
      </c>
      <c r="M21" s="275">
        <v>5</v>
      </c>
      <c r="N21" s="275">
        <v>4</v>
      </c>
      <c r="O21" s="275">
        <v>3</v>
      </c>
      <c r="P21" s="275">
        <v>0</v>
      </c>
      <c r="Q21" s="356">
        <f>SUM(M21:P21)</f>
        <v>12</v>
      </c>
      <c r="R21" s="275">
        <v>0</v>
      </c>
      <c r="S21" s="356">
        <f>R21</f>
        <v>0</v>
      </c>
      <c r="T21" s="356">
        <f>S21</f>
        <v>0</v>
      </c>
      <c r="U21" s="356">
        <f>T21</f>
        <v>0</v>
      </c>
      <c r="V21" s="356">
        <f>U21</f>
        <v>0</v>
      </c>
      <c r="W21" s="1"/>
      <c r="X21" s="1"/>
      <c r="Y21" s="1"/>
      <c r="Z21" s="1"/>
      <c r="AA21" s="1"/>
      <c r="AB21" s="1"/>
    </row>
    <row r="22" spans="1:28" customFormat="1" ht="16" outlineLevel="1" x14ac:dyDescent="0.2">
      <c r="A22" s="342" t="s">
        <v>370</v>
      </c>
      <c r="B22" s="357"/>
      <c r="C22" s="358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1"/>
      <c r="X22" s="1"/>
      <c r="Y22" s="1"/>
      <c r="Z22" s="1"/>
      <c r="AA22" s="1"/>
      <c r="AB22" s="1"/>
    </row>
    <row r="23" spans="1:28" customFormat="1" ht="16" outlineLevel="1" x14ac:dyDescent="0.2">
      <c r="A23" s="323" t="s">
        <v>68</v>
      </c>
      <c r="B23" s="263"/>
      <c r="C23" s="359"/>
      <c r="D23" s="263">
        <f t="shared" ref="D23:O23" si="6">D71/D40*D36</f>
        <v>8.1940036392873754</v>
      </c>
      <c r="E23" s="263">
        <f t="shared" si="6"/>
        <v>7.3478101273159329</v>
      </c>
      <c r="F23" s="263">
        <f t="shared" si="6"/>
        <v>8.995312972482612</v>
      </c>
      <c r="G23" s="263">
        <f t="shared" si="6"/>
        <v>7.8876691521679092</v>
      </c>
      <c r="H23" s="263">
        <f t="shared" si="6"/>
        <v>7.8331637843336726</v>
      </c>
      <c r="I23" s="263">
        <f t="shared" si="6"/>
        <v>8.4399224806201545</v>
      </c>
      <c r="J23" s="263">
        <f t="shared" si="6"/>
        <v>8.8808893594494442</v>
      </c>
      <c r="K23" s="263">
        <f t="shared" si="6"/>
        <v>6.736449670203613</v>
      </c>
      <c r="L23" s="263">
        <f t="shared" si="6"/>
        <v>9.1759776536312856</v>
      </c>
      <c r="M23" s="263">
        <f t="shared" si="6"/>
        <v>7.6377324056119535</v>
      </c>
      <c r="N23" s="263">
        <f t="shared" si="6"/>
        <v>8.744437380801017</v>
      </c>
      <c r="O23" s="263">
        <f t="shared" si="6"/>
        <v>9.4633995037220835</v>
      </c>
      <c r="P23" s="263">
        <f>SUMMARY!B83</f>
        <v>6.736449670203613</v>
      </c>
      <c r="Q23" s="263">
        <f>Q71/Q40*Q36</f>
        <v>8.9943838894922834</v>
      </c>
      <c r="R23" s="263">
        <f>SUMMARY!$B$84</f>
        <v>8.3201547089770234</v>
      </c>
      <c r="S23" s="263">
        <f>SUMMARY!$B$84</f>
        <v>8.3201547089770234</v>
      </c>
      <c r="T23" s="263">
        <f>SUMMARY!$B$84</f>
        <v>8.3201547089770234</v>
      </c>
      <c r="U23" s="263">
        <f>SUMMARY!$B$84</f>
        <v>8.3201547089770234</v>
      </c>
      <c r="V23" s="263">
        <f>SUMMARY!$B$84</f>
        <v>8.3201547089770234</v>
      </c>
      <c r="W23" s="1"/>
      <c r="X23" s="1"/>
      <c r="Y23" s="1"/>
      <c r="Z23" s="1"/>
      <c r="AA23" s="1"/>
      <c r="AB23" s="1"/>
    </row>
    <row r="24" spans="1:28" customFormat="1" ht="16" outlineLevel="1" x14ac:dyDescent="0.2">
      <c r="A24" s="323" t="s">
        <v>69</v>
      </c>
      <c r="B24" s="263"/>
      <c r="C24" s="359"/>
      <c r="D24" s="263">
        <f>D72/-D43*D36</f>
        <v>55.830902995448234</v>
      </c>
      <c r="E24" s="263">
        <f>E72/-E43*E36</f>
        <v>54.266468931482265</v>
      </c>
      <c r="F24" s="263">
        <f>F72/-F43*F36</f>
        <v>51.561039960424345</v>
      </c>
      <c r="G24" s="263">
        <f>G72/-G43*G36</f>
        <v>53.463026972731839</v>
      </c>
      <c r="H24" s="263">
        <f t="shared" ref="H24:N24" si="7">H72/-H43*H36</f>
        <v>69.327731092436977</v>
      </c>
      <c r="I24" s="263">
        <f t="shared" si="7"/>
        <v>72.309208673613071</v>
      </c>
      <c r="J24" s="263">
        <f t="shared" si="7"/>
        <v>97.197011621472058</v>
      </c>
      <c r="K24" s="263">
        <f t="shared" si="7"/>
        <v>41.491387126019944</v>
      </c>
      <c r="L24" s="263">
        <f t="shared" si="7"/>
        <v>57.742743365585042</v>
      </c>
      <c r="M24" s="263">
        <f t="shared" si="7"/>
        <v>69.583209288478713</v>
      </c>
      <c r="N24" s="263">
        <f t="shared" si="7"/>
        <v>72.258420762009933</v>
      </c>
      <c r="O24" s="263">
        <f>O72/-O43*O36</f>
        <v>96.897898706896555</v>
      </c>
      <c r="P24" s="263">
        <f>SUMMARY!B86</f>
        <v>41.491387126019944</v>
      </c>
      <c r="Q24" s="263">
        <f>SUMMARY!B86</f>
        <v>41.491387126019944</v>
      </c>
      <c r="R24" s="263">
        <f>SUMMARY!$B$87</f>
        <v>54.57283644513435</v>
      </c>
      <c r="S24" s="263">
        <f>SUMMARY!$B$87</f>
        <v>54.57283644513435</v>
      </c>
      <c r="T24" s="263">
        <f>SUMMARY!$B$87</f>
        <v>54.57283644513435</v>
      </c>
      <c r="U24" s="263">
        <f>SUMMARY!$B$87</f>
        <v>54.57283644513435</v>
      </c>
      <c r="V24" s="263">
        <f>SUMMARY!$B$87</f>
        <v>54.57283644513435</v>
      </c>
      <c r="W24" s="1"/>
      <c r="X24" s="1"/>
      <c r="Y24" s="1"/>
      <c r="Z24" s="1"/>
      <c r="AA24" s="1"/>
      <c r="AB24" s="1"/>
    </row>
    <row r="25" spans="1:28" customFormat="1" ht="16" outlineLevel="1" x14ac:dyDescent="0.2">
      <c r="A25" s="323" t="s">
        <v>70</v>
      </c>
      <c r="B25" s="263"/>
      <c r="C25" s="359"/>
      <c r="D25" s="360">
        <f>D82/-D43*D36</f>
        <v>69.430483251110687</v>
      </c>
      <c r="E25" s="360">
        <f>E82/-E43*E36</f>
        <v>61.890157274245404</v>
      </c>
      <c r="F25" s="360">
        <f>F82/-F43*F36</f>
        <v>57.048177870609578</v>
      </c>
      <c r="G25" s="360">
        <f>G82/-G43*G36</f>
        <v>50.001624863363766</v>
      </c>
      <c r="H25" s="360">
        <f t="shared" ref="H25:O25" si="8">H82/-H43*H36</f>
        <v>61.884122069880583</v>
      </c>
      <c r="I25" s="360">
        <f t="shared" si="8"/>
        <v>70.230920867361306</v>
      </c>
      <c r="J25" s="360">
        <f t="shared" si="8"/>
        <v>88.966519092418366</v>
      </c>
      <c r="K25" s="360">
        <f t="shared" si="8"/>
        <v>40.634632819582954</v>
      </c>
      <c r="L25" s="360">
        <f t="shared" si="8"/>
        <v>56.550415331487415</v>
      </c>
      <c r="M25" s="360">
        <f t="shared" si="8"/>
        <v>62.563262875855912</v>
      </c>
      <c r="N25" s="360">
        <f t="shared" si="8"/>
        <v>70.593594699061299</v>
      </c>
      <c r="O25" s="360">
        <f t="shared" si="8"/>
        <v>88.727101293103445</v>
      </c>
      <c r="P25" s="263">
        <f>SUMMARY!B89</f>
        <v>40.634632819582954</v>
      </c>
      <c r="Q25" s="360">
        <f>Q82/-Q43*Q36</f>
        <v>55.188050161277786</v>
      </c>
      <c r="R25" s="263">
        <f>SUMMARY!$B$90</f>
        <v>58.98417171816336</v>
      </c>
      <c r="S25" s="263">
        <f>SUMMARY!$B$90</f>
        <v>58.98417171816336</v>
      </c>
      <c r="T25" s="263">
        <f>SUMMARY!$B$90</f>
        <v>58.98417171816336</v>
      </c>
      <c r="U25" s="263">
        <f>SUMMARY!$B$90</f>
        <v>58.98417171816336</v>
      </c>
      <c r="V25" s="263">
        <f>SUMMARY!$B$90</f>
        <v>58.98417171816336</v>
      </c>
      <c r="W25" s="1"/>
      <c r="X25" s="1"/>
      <c r="Y25" s="1"/>
      <c r="Z25" s="1"/>
      <c r="AA25" s="1"/>
      <c r="AB25" s="1"/>
    </row>
    <row r="26" spans="1:28" customFormat="1" ht="16" outlineLevel="1" x14ac:dyDescent="0.2">
      <c r="A26" s="361" t="s">
        <v>376</v>
      </c>
      <c r="B26" s="343"/>
      <c r="C26" s="362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45"/>
      <c r="R26" s="343"/>
      <c r="S26" s="343"/>
      <c r="T26" s="343"/>
      <c r="U26" s="343"/>
      <c r="V26" s="343"/>
      <c r="W26" s="1"/>
      <c r="X26" s="1"/>
      <c r="Y26" s="1"/>
      <c r="Z26" s="1"/>
      <c r="AA26" s="1"/>
      <c r="AB26" s="1"/>
    </row>
    <row r="27" spans="1:28" customFormat="1" ht="16" outlineLevel="1" x14ac:dyDescent="0.2">
      <c r="A27" s="323" t="s">
        <v>71</v>
      </c>
      <c r="B27" s="263"/>
      <c r="C27" s="309"/>
      <c r="D27" s="263">
        <f>D137</f>
        <v>-42</v>
      </c>
      <c r="E27" s="263">
        <f t="shared" ref="E27:P27" si="9">E137</f>
        <v>-53</v>
      </c>
      <c r="F27" s="263">
        <f t="shared" si="9"/>
        <v>-11</v>
      </c>
      <c r="G27" s="263">
        <f t="shared" si="9"/>
        <v>-11</v>
      </c>
      <c r="H27" s="263">
        <f t="shared" si="9"/>
        <v>0</v>
      </c>
      <c r="I27" s="263">
        <f t="shared" si="9"/>
        <v>0</v>
      </c>
      <c r="J27" s="263">
        <f t="shared" si="9"/>
        <v>-13</v>
      </c>
      <c r="K27" s="263">
        <f t="shared" si="9"/>
        <v>-4</v>
      </c>
      <c r="L27" s="263">
        <f t="shared" si="9"/>
        <v>-17</v>
      </c>
      <c r="M27" s="263">
        <f t="shared" si="9"/>
        <v>0</v>
      </c>
      <c r="N27" s="263">
        <f t="shared" si="9"/>
        <v>0</v>
      </c>
      <c r="O27" s="263">
        <f t="shared" si="9"/>
        <v>-9</v>
      </c>
      <c r="P27" s="263">
        <f t="shared" si="9"/>
        <v>0</v>
      </c>
      <c r="Q27" s="263">
        <f>SUM(M27:P27)</f>
        <v>-9</v>
      </c>
      <c r="R27" s="235">
        <v>0</v>
      </c>
      <c r="S27" s="263">
        <f t="shared" ref="S27:V28" si="10">R27</f>
        <v>0</v>
      </c>
      <c r="T27" s="263">
        <f t="shared" si="10"/>
        <v>0</v>
      </c>
      <c r="U27" s="263">
        <f t="shared" si="10"/>
        <v>0</v>
      </c>
      <c r="V27" s="263">
        <f t="shared" si="10"/>
        <v>0</v>
      </c>
      <c r="W27" s="1"/>
      <c r="X27" s="1"/>
      <c r="Y27" s="1"/>
      <c r="Z27" s="1"/>
      <c r="AA27" s="1"/>
      <c r="AB27" s="1"/>
    </row>
    <row r="28" spans="1:28" customFormat="1" ht="16" outlineLevel="1" x14ac:dyDescent="0.2">
      <c r="A28" s="323" t="s">
        <v>66</v>
      </c>
      <c r="B28" s="263"/>
      <c r="C28" s="309"/>
      <c r="D28" s="364">
        <f t="shared" ref="D28:L28" si="11">D56/D176*-1</f>
        <v>4.231082180634662E-2</v>
      </c>
      <c r="E28" s="364">
        <f t="shared" si="11"/>
        <v>2.1258503401360544E-2</v>
      </c>
      <c r="F28" s="364">
        <f t="shared" si="11"/>
        <v>3.0042918454935622E-2</v>
      </c>
      <c r="G28" s="364">
        <f t="shared" si="11"/>
        <v>4.5060658578856154E-2</v>
      </c>
      <c r="H28" s="364">
        <f>H56/H176*-1*4</f>
        <v>4.1775456919060053E-2</v>
      </c>
      <c r="I28" s="364">
        <f>I56/I176*-1*4</f>
        <v>4.4444444444444446E-2</v>
      </c>
      <c r="J28" s="364">
        <f>J56/J176*-1*4</f>
        <v>4.5494313210848646E-2</v>
      </c>
      <c r="K28" s="364">
        <f>K56/K176*-1*4</f>
        <v>4.5217391304347827E-2</v>
      </c>
      <c r="L28" s="364">
        <f t="shared" si="11"/>
        <v>4.4580419580419584E-2</v>
      </c>
      <c r="M28" s="364">
        <f>M56/AVERAGE(L176:M176)*-1*4</f>
        <v>4.1612483745123538E-2</v>
      </c>
      <c r="N28" s="364">
        <f>N56/AVERAGE(M176:N176)*-1*4</f>
        <v>4.1078305519897301E-2</v>
      </c>
      <c r="O28" s="364">
        <f>O56/AVERAGE(N176:O176)*-1*4</f>
        <v>4.1201716738197426E-2</v>
      </c>
      <c r="P28" s="364">
        <f>AVERAGE(M28:O28)</f>
        <v>4.129750200107276E-2</v>
      </c>
      <c r="Q28" s="364">
        <f>Q56/AVERAGE(M176:P176)*-1</f>
        <v>4.1203467383478944E-2</v>
      </c>
      <c r="R28" s="364">
        <f>Q28</f>
        <v>4.1203467383478944E-2</v>
      </c>
      <c r="S28" s="364">
        <f t="shared" si="10"/>
        <v>4.1203467383478944E-2</v>
      </c>
      <c r="T28" s="364">
        <f t="shared" si="10"/>
        <v>4.1203467383478944E-2</v>
      </c>
      <c r="U28" s="364">
        <f t="shared" si="10"/>
        <v>4.1203467383478944E-2</v>
      </c>
      <c r="V28" s="364">
        <f t="shared" si="10"/>
        <v>4.1203467383478944E-2</v>
      </c>
      <c r="W28" s="1"/>
      <c r="X28" s="1"/>
      <c r="Y28" s="1"/>
      <c r="Z28" s="1"/>
      <c r="AA28" s="1"/>
      <c r="AB28" s="1"/>
    </row>
    <row r="29" spans="1:28" customFormat="1" ht="16" outlineLevel="1" x14ac:dyDescent="0.2">
      <c r="A29" s="323" t="s">
        <v>67</v>
      </c>
      <c r="B29" s="365"/>
      <c r="C29" s="366"/>
      <c r="D29" s="346">
        <f>D58/D57*-1</f>
        <v>0.24358435002103493</v>
      </c>
      <c r="E29" s="346">
        <f>E58/E57*-1</f>
        <v>0.18981481481481483</v>
      </c>
      <c r="F29" s="346">
        <f>F58/F57*-1</f>
        <v>0.20693512304250558</v>
      </c>
      <c r="G29" s="346">
        <f>G58/G57*-1</f>
        <v>0.2350400987045034</v>
      </c>
      <c r="H29" s="346">
        <f t="shared" ref="H29:N29" si="12">H58/H57*-1</f>
        <v>0.24615384615384617</v>
      </c>
      <c r="I29" s="346">
        <f t="shared" si="12"/>
        <v>0.25831202046035806</v>
      </c>
      <c r="J29" s="346">
        <f t="shared" si="12"/>
        <v>0.23876404494382023</v>
      </c>
      <c r="K29" s="235">
        <v>0</v>
      </c>
      <c r="L29" s="346">
        <f t="shared" si="12"/>
        <v>0.28725868725868725</v>
      </c>
      <c r="M29" s="346">
        <f t="shared" si="12"/>
        <v>0.40540540540540543</v>
      </c>
      <c r="N29" s="346">
        <f t="shared" si="12"/>
        <v>0.40711462450592883</v>
      </c>
      <c r="O29" s="346">
        <f>O58/O57*-1</f>
        <v>0.1547049441786284</v>
      </c>
      <c r="P29" s="346">
        <f>SUMMARY!B57</f>
        <v>0.23200000000000001</v>
      </c>
      <c r="Q29" s="346">
        <f>-Q58/Q57</f>
        <v>0.2515021739518139</v>
      </c>
      <c r="R29" s="346">
        <f>SUMMARY!B58</f>
        <v>0.32835820895522388</v>
      </c>
      <c r="S29" s="346">
        <f>SUMMARY!$B$59</f>
        <v>0.32266666666666666</v>
      </c>
      <c r="T29" s="346">
        <f>SUMMARY!$B$59</f>
        <v>0.32266666666666666</v>
      </c>
      <c r="U29" s="346">
        <f>SUMMARY!$B$59</f>
        <v>0.32266666666666666</v>
      </c>
      <c r="V29" s="346">
        <f>SUMMARY!$B$59</f>
        <v>0.32266666666666666</v>
      </c>
      <c r="W29" s="1"/>
      <c r="X29" s="1"/>
      <c r="Y29" s="1"/>
      <c r="Z29" s="1"/>
      <c r="AA29" s="1"/>
      <c r="AB29" s="1"/>
    </row>
    <row r="30" spans="1:28" customFormat="1" ht="16" outlineLevel="1" x14ac:dyDescent="0.2">
      <c r="A30" s="323" t="s">
        <v>491</v>
      </c>
      <c r="B30" s="263"/>
      <c r="C30" s="309"/>
      <c r="D30" s="346">
        <f>D84/'Segment Revenue Hist &amp; Forecast'!J15</f>
        <v>0.27023945267958949</v>
      </c>
      <c r="E30" s="346">
        <f>E84/'Segment Revenue Hist &amp; Forecast'!K15</f>
        <v>0.42053615290554208</v>
      </c>
      <c r="F30" s="346">
        <f>F84/'Segment Revenue Hist &amp; Forecast'!L15</f>
        <v>0.40581927568131615</v>
      </c>
      <c r="G30" s="346">
        <f>G84/'Segment Revenue Hist &amp; Forecast'!M15</f>
        <v>0.38418829170725854</v>
      </c>
      <c r="H30" s="346">
        <f>H171/H170</f>
        <v>1.5968858131487889</v>
      </c>
      <c r="I30" s="346">
        <f>I171/I170</f>
        <v>1.5932203389830508</v>
      </c>
      <c r="J30" s="346">
        <f>J171/J170</f>
        <v>1.4608985024958403</v>
      </c>
      <c r="K30" s="346">
        <f>K171/K170</f>
        <v>1.1032482598607889</v>
      </c>
      <c r="L30" s="346">
        <f>L171/L170</f>
        <v>0.3614595210946408</v>
      </c>
      <c r="M30" s="346">
        <f>M171/M170/4</f>
        <v>0.38471502590673573</v>
      </c>
      <c r="N30" s="346">
        <f>N171/N170/4</f>
        <v>0.38253012048192769</v>
      </c>
      <c r="O30" s="346">
        <f>O171/O170/4</f>
        <v>0.36082910321489003</v>
      </c>
      <c r="P30" s="346">
        <f>P171/P170/4</f>
        <v>0.27075517157366841</v>
      </c>
      <c r="Q30" s="353">
        <v>0.36</v>
      </c>
      <c r="R30" s="346">
        <f>Q30</f>
        <v>0.36</v>
      </c>
      <c r="S30" s="346">
        <f>R30</f>
        <v>0.36</v>
      </c>
      <c r="T30" s="346">
        <f>S30</f>
        <v>0.36</v>
      </c>
      <c r="U30" s="346">
        <f>T30</f>
        <v>0.36</v>
      </c>
      <c r="V30" s="346">
        <f>U30</f>
        <v>0.36</v>
      </c>
      <c r="W30" s="1"/>
      <c r="X30" s="1"/>
      <c r="Y30" s="1"/>
      <c r="Z30" s="1"/>
      <c r="AA30" s="1"/>
      <c r="AB30" s="1"/>
    </row>
    <row r="31" spans="1:28" customFormat="1" ht="16" outlineLevel="1" x14ac:dyDescent="0.2">
      <c r="A31" s="361" t="s">
        <v>495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"/>
      <c r="X31" s="1"/>
      <c r="Y31" s="1"/>
      <c r="Z31" s="1"/>
      <c r="AA31" s="1"/>
      <c r="AB31" s="1"/>
    </row>
    <row r="32" spans="1:28" s="604" customFormat="1" ht="16" outlineLevel="1" x14ac:dyDescent="0.2">
      <c r="A32" s="568" t="s">
        <v>72</v>
      </c>
      <c r="B32" s="367"/>
      <c r="C32" s="569"/>
      <c r="D32" s="367">
        <f>-D135/(D124+D127)</f>
        <v>6.7394399620313239E-2</v>
      </c>
      <c r="E32" s="367">
        <f>-E135/(E124+E127)</f>
        <v>1.3809145129224651</v>
      </c>
      <c r="F32" s="367">
        <f>-F135/(F124+F127)</f>
        <v>1.116331096196868</v>
      </c>
      <c r="G32" s="367">
        <f>-G135/(G124+G127)</f>
        <v>0.47555555555555556</v>
      </c>
      <c r="H32" s="570" t="s">
        <v>179</v>
      </c>
      <c r="I32" s="367">
        <f>-I135/(I124+I127)</f>
        <v>0.18525519848771266</v>
      </c>
      <c r="J32" s="570" t="s">
        <v>179</v>
      </c>
      <c r="K32" s="367">
        <f>-K135/(K124+K127)</f>
        <v>0.11688311688311688</v>
      </c>
      <c r="L32" s="367">
        <f>-L135/(L124+L127)</f>
        <v>0.34698275862068967</v>
      </c>
      <c r="M32" s="570" t="s">
        <v>179</v>
      </c>
      <c r="N32" s="367">
        <f>-N135/(N124+N127)</f>
        <v>0.12059369202226346</v>
      </c>
      <c r="O32" s="367">
        <f>-O135/(O124+O127)</f>
        <v>0.34313725490196079</v>
      </c>
      <c r="P32" s="367">
        <f>-P135/(P124+P127)</f>
        <v>0.30817778522054001</v>
      </c>
      <c r="Q32" s="367">
        <f>SUMMARY!$B$94</f>
        <v>0.34698275862068967</v>
      </c>
      <c r="R32" s="367">
        <f>SUMMARY!$B$94</f>
        <v>0.34698275862068967</v>
      </c>
      <c r="S32" s="367">
        <f>SUMMARY!$B$94</f>
        <v>0.34698275862068967</v>
      </c>
      <c r="T32" s="367">
        <f>SUMMARY!$B$94</f>
        <v>0.34698275862068967</v>
      </c>
      <c r="U32" s="367">
        <f>SUMMARY!$B$94</f>
        <v>0.34698275862068967</v>
      </c>
      <c r="V32" s="367">
        <f>SUMMARY!$B$94</f>
        <v>0.34698275862068967</v>
      </c>
      <c r="W32" s="8"/>
      <c r="X32" s="8"/>
      <c r="Y32" s="8"/>
      <c r="Z32" s="8"/>
      <c r="AA32" s="8"/>
      <c r="AB32" s="8"/>
    </row>
    <row r="33" spans="1:28" customFormat="1" ht="16" outlineLevel="1" x14ac:dyDescent="0.2">
      <c r="A33" s="312" t="s">
        <v>479</v>
      </c>
      <c r="B33" s="263"/>
      <c r="C33" s="309"/>
      <c r="D33" s="549">
        <f t="shared" ref="D33:O33" si="13">D62</f>
        <v>263</v>
      </c>
      <c r="E33" s="549">
        <f t="shared" si="13"/>
        <v>249.3</v>
      </c>
      <c r="F33" s="549">
        <f t="shared" si="13"/>
        <v>225.7</v>
      </c>
      <c r="G33" s="549">
        <f t="shared" si="13"/>
        <v>218.5</v>
      </c>
      <c r="H33" s="549">
        <f t="shared" si="13"/>
        <v>217.2</v>
      </c>
      <c r="I33" s="549">
        <f t="shared" si="13"/>
        <v>217.1</v>
      </c>
      <c r="J33" s="549">
        <f t="shared" si="13"/>
        <v>216.7</v>
      </c>
      <c r="K33" s="549">
        <f t="shared" si="13"/>
        <v>215.39999999999998</v>
      </c>
      <c r="L33" s="549">
        <f t="shared" si="13"/>
        <v>216.6</v>
      </c>
      <c r="M33" s="549">
        <f t="shared" si="13"/>
        <v>213</v>
      </c>
      <c r="N33" s="549">
        <f t="shared" si="13"/>
        <v>212</v>
      </c>
      <c r="O33" s="549">
        <f t="shared" si="13"/>
        <v>212.1</v>
      </c>
      <c r="P33" s="549">
        <f>(1+P34)*K33</f>
        <v>210.85066096286684</v>
      </c>
      <c r="Q33" s="549">
        <f>AVERAGE(M33:P33)</f>
        <v>211.98766524071672</v>
      </c>
      <c r="R33" s="549">
        <f>Q33*(1+R34)</f>
        <v>208.75370919881306</v>
      </c>
      <c r="S33" s="549">
        <f>R33*(1+S34)</f>
        <v>202.42914979757086</v>
      </c>
      <c r="T33" s="549">
        <f>S33*(1+T34)</f>
        <v>197.93032576994227</v>
      </c>
      <c r="U33" s="549">
        <f>T33*(1+U34)</f>
        <v>193.53148446541363</v>
      </c>
      <c r="V33" s="549">
        <f>U33*(1+V34)</f>
        <v>189.23040384888043</v>
      </c>
      <c r="W33" s="1"/>
      <c r="X33" s="1"/>
      <c r="Y33" s="1"/>
      <c r="Z33" s="1"/>
      <c r="AA33" s="1"/>
      <c r="AB33" s="1"/>
    </row>
    <row r="34" spans="1:28" customFormat="1" ht="16" outlineLevel="1" x14ac:dyDescent="0.2">
      <c r="A34" s="578" t="s">
        <v>478</v>
      </c>
      <c r="B34" s="263"/>
      <c r="C34" s="309"/>
      <c r="D34" s="347"/>
      <c r="E34" s="571" t="s">
        <v>179</v>
      </c>
      <c r="F34" s="550">
        <f>F33/E33-1</f>
        <v>-9.4665062174087544E-2</v>
      </c>
      <c r="G34" s="550">
        <f>G33/F33-1</f>
        <v>-3.1900753212228627E-2</v>
      </c>
      <c r="H34" s="348"/>
      <c r="I34" s="348"/>
      <c r="J34" s="348"/>
      <c r="K34" s="348"/>
      <c r="L34" s="550">
        <f>L33/G33-1</f>
        <v>-8.6956521739131043E-3</v>
      </c>
      <c r="M34" s="550">
        <f>M33/H33-1</f>
        <v>-1.933701657458553E-2</v>
      </c>
      <c r="N34" s="550">
        <f>N33/I33-1</f>
        <v>-2.3491478581298963E-2</v>
      </c>
      <c r="O34" s="550">
        <f>O33/J33-1</f>
        <v>-2.1227503461005992E-2</v>
      </c>
      <c r="P34" s="550">
        <f>SUMMARY!B96</f>
        <v>-2.1120422642215142E-2</v>
      </c>
      <c r="Q34" s="550">
        <f>Q33/L33-1</f>
        <v>-2.1294250966220063E-2</v>
      </c>
      <c r="R34" s="579">
        <f>SUMMARY!B100</f>
        <v>-1.525539723375624E-2</v>
      </c>
      <c r="S34" s="579">
        <f>SUMMARY!B104</f>
        <v>-3.0296752213484268E-2</v>
      </c>
      <c r="T34" s="579">
        <f>SUMMARY!$B$108</f>
        <v>-2.2224190696485218E-2</v>
      </c>
      <c r="U34" s="579">
        <f>SUMMARY!$B$108</f>
        <v>-2.2224190696485218E-2</v>
      </c>
      <c r="V34" s="579">
        <f>SUMMARY!$B$108</f>
        <v>-2.2224190696485218E-2</v>
      </c>
      <c r="W34" s="1"/>
      <c r="X34" s="1"/>
      <c r="Y34" s="1"/>
      <c r="Z34" s="1"/>
      <c r="AA34" s="1"/>
      <c r="AB34" s="1"/>
    </row>
    <row r="35" spans="1:28" s="605" customFormat="1" ht="16" outlineLevel="1" x14ac:dyDescent="0.2">
      <c r="A35" s="594" t="s">
        <v>496</v>
      </c>
      <c r="B35" s="365"/>
      <c r="C35" s="366"/>
      <c r="D35" s="579"/>
      <c r="E35" s="579">
        <f>E136/D136-1</f>
        <v>0.21126760563380276</v>
      </c>
      <c r="F35" s="579">
        <f>F136/E136-1</f>
        <v>0.14680232558139528</v>
      </c>
      <c r="G35" s="579">
        <f>G136/F136-1</f>
        <v>1.5209125475285079E-2</v>
      </c>
      <c r="H35" s="595"/>
      <c r="I35" s="595"/>
      <c r="J35" s="595"/>
      <c r="K35" s="595"/>
      <c r="L35" s="579">
        <f t="shared" ref="L35:Q35" si="14">L136/G136-1</f>
        <v>7.4906367041198685E-3</v>
      </c>
      <c r="M35" s="579">
        <f t="shared" si="14"/>
        <v>0</v>
      </c>
      <c r="N35" s="579">
        <f t="shared" si="14"/>
        <v>-9.8522167487684609E-3</v>
      </c>
      <c r="O35" s="579">
        <f t="shared" si="14"/>
        <v>-1.4851485148514865E-2</v>
      </c>
      <c r="P35" s="579">
        <f t="shared" si="14"/>
        <v>-1.0000000000000009E-2</v>
      </c>
      <c r="Q35" s="579">
        <f t="shared" si="14"/>
        <v>-8.6741016109045388E-3</v>
      </c>
      <c r="R35" s="579">
        <f>SUMMARY!$B$110</f>
        <v>0</v>
      </c>
      <c r="S35" s="579">
        <f>SUMMARY!$B$110</f>
        <v>0</v>
      </c>
      <c r="T35" s="579">
        <f>SUMMARY!$B$110</f>
        <v>0</v>
      </c>
      <c r="U35" s="579">
        <f>SUMMARY!$B$110</f>
        <v>0</v>
      </c>
      <c r="V35" s="579">
        <f>SUMMARY!$B$110</f>
        <v>0</v>
      </c>
      <c r="W35" s="596"/>
      <c r="X35" s="596"/>
      <c r="Y35" s="596"/>
      <c r="Z35" s="596"/>
      <c r="AA35" s="596"/>
      <c r="AB35" s="596"/>
    </row>
    <row r="36" spans="1:28" customFormat="1" ht="16" outlineLevel="1" x14ac:dyDescent="0.2">
      <c r="A36" s="342" t="s">
        <v>73</v>
      </c>
      <c r="B36" s="343"/>
      <c r="C36" s="344"/>
      <c r="D36" s="345">
        <v>365</v>
      </c>
      <c r="E36" s="343">
        <f>D36</f>
        <v>365</v>
      </c>
      <c r="F36" s="343">
        <f>E36</f>
        <v>365</v>
      </c>
      <c r="G36" s="343">
        <f>F36</f>
        <v>365</v>
      </c>
      <c r="H36" s="345">
        <v>90</v>
      </c>
      <c r="I36" s="343">
        <f>H36</f>
        <v>90</v>
      </c>
      <c r="J36" s="343">
        <f>I36</f>
        <v>90</v>
      </c>
      <c r="K36" s="343">
        <f>J36</f>
        <v>90</v>
      </c>
      <c r="L36" s="343">
        <f>G36</f>
        <v>365</v>
      </c>
      <c r="M36" s="343">
        <f>K36</f>
        <v>90</v>
      </c>
      <c r="N36" s="343">
        <f>M36</f>
        <v>90</v>
      </c>
      <c r="O36" s="343">
        <f>N36</f>
        <v>90</v>
      </c>
      <c r="P36" s="343">
        <f>O36</f>
        <v>90</v>
      </c>
      <c r="Q36" s="343">
        <f>L36</f>
        <v>365</v>
      </c>
      <c r="R36" s="343">
        <f>Q36</f>
        <v>365</v>
      </c>
      <c r="S36" s="343">
        <f>R36</f>
        <v>365</v>
      </c>
      <c r="T36" s="343">
        <f>S36</f>
        <v>365</v>
      </c>
      <c r="U36" s="343">
        <f>T36</f>
        <v>365</v>
      </c>
      <c r="V36" s="343">
        <f>U36</f>
        <v>365</v>
      </c>
      <c r="W36" s="1"/>
      <c r="X36" s="1"/>
      <c r="Y36" s="1"/>
      <c r="Z36" s="1"/>
      <c r="AA36" s="1"/>
      <c r="AB36" s="1"/>
    </row>
    <row r="37" spans="1:28" customFormat="1" ht="16" x14ac:dyDescent="0.2">
      <c r="A37" s="1"/>
      <c r="B37" s="1"/>
      <c r="C37" s="2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557"/>
      <c r="R37" s="3">
        <f>Q37*P40+P37</f>
        <v>0</v>
      </c>
      <c r="S37" s="3"/>
      <c r="T37" s="3"/>
      <c r="U37" s="3"/>
      <c r="V37" s="3"/>
      <c r="W37" s="1"/>
      <c r="X37" s="1"/>
      <c r="Y37" s="1"/>
      <c r="Z37" s="1"/>
      <c r="AA37" s="1"/>
      <c r="AB37" s="1"/>
    </row>
    <row r="38" spans="1:28" customFormat="1" ht="20" x14ac:dyDescent="0.2">
      <c r="A38" s="251" t="s">
        <v>392</v>
      </c>
      <c r="B38" s="251"/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51"/>
      <c r="V38" s="251"/>
      <c r="W38" s="1"/>
      <c r="X38" s="1"/>
      <c r="Y38" s="1"/>
      <c r="Z38" s="1"/>
      <c r="AA38" s="1"/>
      <c r="AB38" s="1"/>
    </row>
    <row r="39" spans="1:28" customFormat="1" ht="16" outlineLevel="1" x14ac:dyDescent="0.2">
      <c r="A39" s="4"/>
      <c r="B39" s="4"/>
      <c r="C39" s="5"/>
      <c r="D39" s="660"/>
      <c r="E39" s="660"/>
      <c r="F39" s="4"/>
      <c r="G39" s="4"/>
      <c r="H39" s="556"/>
      <c r="I39" s="556"/>
      <c r="J39" s="556"/>
      <c r="K39" s="555"/>
      <c r="L39" s="4"/>
      <c r="M39" s="556"/>
      <c r="N39" s="556"/>
      <c r="O39" s="556"/>
      <c r="P39" s="4"/>
      <c r="Q39" s="4"/>
      <c r="R39" s="4"/>
      <c r="S39" s="4"/>
      <c r="T39" s="4"/>
      <c r="U39" s="4"/>
      <c r="V39" s="4"/>
      <c r="W39" s="1"/>
      <c r="X39" s="1"/>
      <c r="Y39" s="1"/>
      <c r="Z39" s="1"/>
      <c r="AA39" s="1"/>
      <c r="AB39" s="1"/>
    </row>
    <row r="40" spans="1:28" customFormat="1" ht="16" outlineLevel="1" x14ac:dyDescent="0.2">
      <c r="A40" s="308" t="s">
        <v>74</v>
      </c>
      <c r="B40" s="308"/>
      <c r="C40" s="327"/>
      <c r="D40" s="235">
        <v>47262</v>
      </c>
      <c r="E40" s="235">
        <v>51761</v>
      </c>
      <c r="F40" s="235">
        <v>46298</v>
      </c>
      <c r="G40" s="235">
        <v>43452</v>
      </c>
      <c r="H40" s="235">
        <v>8847</v>
      </c>
      <c r="I40" s="235">
        <v>9288</v>
      </c>
      <c r="J40" s="235">
        <v>9445</v>
      </c>
      <c r="K40" s="235">
        <v>13948</v>
      </c>
      <c r="L40" s="235">
        <v>41528</v>
      </c>
      <c r="M40" s="235">
        <v>8767</v>
      </c>
      <c r="N40" s="235">
        <v>9438</v>
      </c>
      <c r="O40" s="235">
        <v>9672</v>
      </c>
      <c r="P40" s="308">
        <f>Q40-SUM(M40:O40)</f>
        <v>13682.258231803309</v>
      </c>
      <c r="Q40" s="308">
        <f t="shared" ref="Q40:V40" si="15">SUM(Q41:Q42)</f>
        <v>41559.258231803309</v>
      </c>
      <c r="R40" s="308">
        <f t="shared" si="15"/>
        <v>43944.600694254084</v>
      </c>
      <c r="S40" s="308">
        <f t="shared" si="15"/>
        <v>42194.983657719909</v>
      </c>
      <c r="T40" s="308">
        <f t="shared" si="15"/>
        <v>38180.890354063871</v>
      </c>
      <c r="U40" s="308">
        <f t="shared" si="15"/>
        <v>37484.896634894547</v>
      </c>
      <c r="V40" s="308">
        <f t="shared" si="15"/>
        <v>36989.612194905058</v>
      </c>
      <c r="W40" s="1"/>
      <c r="X40" s="1"/>
      <c r="Y40" s="1"/>
      <c r="Z40" s="1"/>
      <c r="AA40" s="1"/>
      <c r="AB40" s="1"/>
    </row>
    <row r="41" spans="1:28" customFormat="1" ht="16" hidden="1" outlineLevel="2" x14ac:dyDescent="0.2">
      <c r="A41" s="323" t="s">
        <v>75</v>
      </c>
      <c r="B41" s="308"/>
      <c r="C41" s="327"/>
      <c r="D41" s="308">
        <f>E41</f>
        <v>0</v>
      </c>
      <c r="E41" s="308">
        <f>F41</f>
        <v>0</v>
      </c>
      <c r="F41" s="308">
        <f>G41</f>
        <v>0</v>
      </c>
      <c r="G41" s="308">
        <f>H41</f>
        <v>0</v>
      </c>
      <c r="H41" s="308">
        <v>0</v>
      </c>
      <c r="I41" s="308">
        <v>0</v>
      </c>
      <c r="J41" s="308">
        <v>0</v>
      </c>
      <c r="K41" s="308">
        <v>0</v>
      </c>
      <c r="L41" s="308">
        <f>M41</f>
        <v>0</v>
      </c>
      <c r="M41" s="308">
        <f>N41</f>
        <v>0</v>
      </c>
      <c r="N41" s="308">
        <f>O41</f>
        <v>0</v>
      </c>
      <c r="O41" s="308">
        <f>P41</f>
        <v>0</v>
      </c>
      <c r="P41" s="263">
        <v>0</v>
      </c>
      <c r="Q41" s="263">
        <f>'Segment Revenue Hist &amp; Forecast'!K3+'Segment Revenue Hist &amp; Forecast'!K6+'Segment Revenue Hist &amp; Forecast'!K9+'Segment Revenue Hist &amp; Forecast'!K12+'Segment Revenue Hist &amp; Forecast'!K15+'Segment Revenue Hist &amp; Forecast'!K18+'Segment Revenue Hist &amp; Forecast'!K24</f>
        <v>41532.016089805409</v>
      </c>
      <c r="R41" s="263">
        <f>'Segment Revenue Hist &amp; Forecast'!L3+'Segment Revenue Hist &amp; Forecast'!L6+'Segment Revenue Hist &amp; Forecast'!L9+'Segment Revenue Hist &amp; Forecast'!L12+'Segment Revenue Hist &amp; Forecast'!L15+'Segment Revenue Hist &amp; Forecast'!L18+'Segment Revenue Hist &amp; Forecast'!L24</f>
        <v>43783.642529893019</v>
      </c>
      <c r="S41" s="263">
        <f>'Segment Revenue Hist &amp; Forecast'!M3+'Segment Revenue Hist &amp; Forecast'!M6+'Segment Revenue Hist &amp; Forecast'!M9+'Segment Revenue Hist &amp; Forecast'!M12+'Segment Revenue Hist &amp; Forecast'!M15+'Segment Revenue Hist &amp; Forecast'!M18+'Segment Revenue Hist &amp; Forecast'!M24</f>
        <v>41762.868055400511</v>
      </c>
      <c r="T41" s="263">
        <f>'Segment Revenue Hist &amp; Forecast'!N3+'Segment Revenue Hist &amp; Forecast'!N6+'Segment Revenue Hist &amp; Forecast'!N9+'Segment Revenue Hist &amp; Forecast'!N12+'Segment Revenue Hist &amp; Forecast'!N15+'Segment Revenue Hist &amp; Forecast'!N18+'Segment Revenue Hist &amp; Forecast'!N24</f>
        <v>37362.100865958462</v>
      </c>
      <c r="U41" s="263">
        <f>'Segment Revenue Hist &amp; Forecast'!O3+'Segment Revenue Hist &amp; Forecast'!O6+'Segment Revenue Hist &amp; Forecast'!O9+'Segment Revenue Hist &amp; Forecast'!O12+'Segment Revenue Hist &amp; Forecast'!O15+'Segment Revenue Hist &amp; Forecast'!O18+'Segment Revenue Hist &amp; Forecast'!O24</f>
        <v>36501.393591375374</v>
      </c>
      <c r="V41" s="263">
        <f>'Segment Revenue Hist &amp; Forecast'!P3+'Segment Revenue Hist &amp; Forecast'!P6+'Segment Revenue Hist &amp; Forecast'!P9+'Segment Revenue Hist &amp; Forecast'!P12+'Segment Revenue Hist &amp; Forecast'!P15+'Segment Revenue Hist &amp; Forecast'!P18+'Segment Revenue Hist &amp; Forecast'!P24</f>
        <v>35821.602380378739</v>
      </c>
      <c r="W41" s="1"/>
      <c r="X41" s="1"/>
      <c r="Y41" s="1"/>
      <c r="Z41" s="1"/>
      <c r="AA41" s="1"/>
      <c r="AB41" s="1"/>
    </row>
    <row r="42" spans="1:28" customFormat="1" ht="16" hidden="1" outlineLevel="2" x14ac:dyDescent="0.2">
      <c r="A42" s="323" t="s">
        <v>76</v>
      </c>
      <c r="B42" s="308"/>
      <c r="C42" s="327"/>
      <c r="D42" s="308">
        <f t="shared" ref="D42:J42" si="16">E42</f>
        <v>0</v>
      </c>
      <c r="E42" s="308">
        <f t="shared" si="16"/>
        <v>0</v>
      </c>
      <c r="F42" s="308">
        <f t="shared" si="16"/>
        <v>0</v>
      </c>
      <c r="G42" s="308">
        <f t="shared" si="16"/>
        <v>0</v>
      </c>
      <c r="H42" s="308">
        <f t="shared" si="16"/>
        <v>0</v>
      </c>
      <c r="I42" s="308">
        <f t="shared" si="16"/>
        <v>0</v>
      </c>
      <c r="J42" s="308">
        <f t="shared" si="16"/>
        <v>0</v>
      </c>
      <c r="K42" s="308">
        <v>0</v>
      </c>
      <c r="L42" s="308">
        <v>0</v>
      </c>
      <c r="M42" s="308">
        <v>0</v>
      </c>
      <c r="N42" s="308">
        <v>0</v>
      </c>
      <c r="O42" s="308">
        <v>0</v>
      </c>
      <c r="P42" s="263">
        <f>Q42</f>
        <v>27.242141997901726</v>
      </c>
      <c r="Q42" s="263">
        <f>'Segment Revenue Hist &amp; Forecast'!K21</f>
        <v>27.242141997901726</v>
      </c>
      <c r="R42" s="263">
        <f>'Segment Revenue Hist &amp; Forecast'!L21</f>
        <v>160.95816436106767</v>
      </c>
      <c r="S42" s="263">
        <f>'Segment Revenue Hist &amp; Forecast'!M21</f>
        <v>432.11560231939603</v>
      </c>
      <c r="T42" s="263">
        <f>'Segment Revenue Hist &amp; Forecast'!N21</f>
        <v>818.78948810541146</v>
      </c>
      <c r="U42" s="263">
        <f>'Segment Revenue Hist &amp; Forecast'!O21</f>
        <v>983.50304351917021</v>
      </c>
      <c r="V42" s="263">
        <f>'Segment Revenue Hist &amp; Forecast'!P21</f>
        <v>1168.0098145263196</v>
      </c>
      <c r="W42" s="1"/>
      <c r="X42" s="1"/>
      <c r="Y42" s="1"/>
      <c r="Z42" s="1"/>
      <c r="AA42" s="1"/>
      <c r="AB42" s="1"/>
    </row>
    <row r="43" spans="1:28" customFormat="1" ht="16" outlineLevel="1" collapsed="1" x14ac:dyDescent="0.2">
      <c r="A43" s="263" t="s">
        <v>77</v>
      </c>
      <c r="B43" s="263"/>
      <c r="C43" s="309"/>
      <c r="D43" s="235">
        <v>-36689</v>
      </c>
      <c r="E43" s="235">
        <v>-40121</v>
      </c>
      <c r="F43" s="235">
        <v>-36386</v>
      </c>
      <c r="G43" s="235">
        <v>-33849</v>
      </c>
      <c r="H43" s="235">
        <v>-6783</v>
      </c>
      <c r="I43" s="235">
        <v>-7102</v>
      </c>
      <c r="J43" s="235">
        <v>-7228</v>
      </c>
      <c r="K43" s="235">
        <v>-11030</v>
      </c>
      <c r="L43" s="235">
        <v>-32143</v>
      </c>
      <c r="M43" s="235">
        <v>-6718</v>
      </c>
      <c r="N43" s="235">
        <v>-7244</v>
      </c>
      <c r="O43" s="235">
        <v>-7424</v>
      </c>
      <c r="P43" s="263">
        <f>P40*P7*-1</f>
        <v>-10767.937228429204</v>
      </c>
      <c r="Q43" s="328">
        <f>SUM(M43:P43)</f>
        <v>-32153.937228429204</v>
      </c>
      <c r="R43" s="328">
        <f>-R7*R41</f>
        <v>-33932.322960667094</v>
      </c>
      <c r="S43" s="328">
        <f>-S7*S41</f>
        <v>-32366.222742935399</v>
      </c>
      <c r="T43" s="328">
        <f>-T7*T41</f>
        <v>-28955.628171117809</v>
      </c>
      <c r="U43" s="328">
        <f>-U7*U41</f>
        <v>-28288.580033315917</v>
      </c>
      <c r="V43" s="328">
        <f>-V7*V41</f>
        <v>-27761.741844793523</v>
      </c>
      <c r="W43" s="1"/>
      <c r="X43" s="1"/>
      <c r="Y43" s="1"/>
      <c r="Z43" s="1"/>
      <c r="AA43" s="1"/>
      <c r="AB43" s="1"/>
    </row>
    <row r="44" spans="1:28" customFormat="1" ht="16" outlineLevel="1" x14ac:dyDescent="0.2">
      <c r="A44" s="324" t="s">
        <v>78</v>
      </c>
      <c r="B44" s="324"/>
      <c r="C44" s="329"/>
      <c r="D44" s="324">
        <f>SUM(D40:D43)</f>
        <v>10573</v>
      </c>
      <c r="E44" s="324">
        <f>SUM(E40:E43)</f>
        <v>11640</v>
      </c>
      <c r="F44" s="324">
        <f>SUM(F40:F43)</f>
        <v>9912</v>
      </c>
      <c r="G44" s="324">
        <f>SUM(G40:G43)</f>
        <v>9603</v>
      </c>
      <c r="H44" s="324">
        <f t="shared" ref="H44:O44" si="17">SUM(H40:H43)</f>
        <v>2064</v>
      </c>
      <c r="I44" s="324">
        <f t="shared" si="17"/>
        <v>2186</v>
      </c>
      <c r="J44" s="324">
        <f t="shared" si="17"/>
        <v>2217</v>
      </c>
      <c r="K44" s="324">
        <f t="shared" si="17"/>
        <v>2918</v>
      </c>
      <c r="L44" s="324">
        <f t="shared" si="17"/>
        <v>9385</v>
      </c>
      <c r="M44" s="324">
        <f t="shared" si="17"/>
        <v>2049</v>
      </c>
      <c r="N44" s="324">
        <f t="shared" si="17"/>
        <v>2194</v>
      </c>
      <c r="O44" s="324">
        <f t="shared" si="17"/>
        <v>2248</v>
      </c>
      <c r="P44" s="324">
        <f>SUM(P40:P43)</f>
        <v>2941.5631453720071</v>
      </c>
      <c r="Q44" s="324">
        <f t="shared" ref="Q44:V44" si="18">Q40+Q43</f>
        <v>9405.3210033741052</v>
      </c>
      <c r="R44" s="324">
        <f t="shared" si="18"/>
        <v>10012.277733586991</v>
      </c>
      <c r="S44" s="324">
        <f t="shared" si="18"/>
        <v>9828.7609147845105</v>
      </c>
      <c r="T44" s="324">
        <f t="shared" si="18"/>
        <v>9225.2621829460622</v>
      </c>
      <c r="U44" s="324">
        <f t="shared" si="18"/>
        <v>9196.3166015786301</v>
      </c>
      <c r="V44" s="324">
        <f t="shared" si="18"/>
        <v>9227.8703501115342</v>
      </c>
      <c r="W44" s="1"/>
      <c r="X44" s="1"/>
      <c r="Y44" s="1"/>
      <c r="Z44" s="1"/>
      <c r="AA44" s="1"/>
      <c r="AB44" s="1"/>
    </row>
    <row r="45" spans="1:28" customFormat="1" ht="16" outlineLevel="1" x14ac:dyDescent="0.2">
      <c r="A45" s="308" t="s">
        <v>79</v>
      </c>
      <c r="B45" s="308"/>
      <c r="C45" s="327"/>
      <c r="D45" s="330"/>
      <c r="E45" s="330"/>
      <c r="F45" s="330"/>
      <c r="G45" s="330"/>
      <c r="H45" s="330"/>
      <c r="I45" s="330"/>
      <c r="J45" s="330"/>
      <c r="K45" s="330"/>
      <c r="L45" s="330"/>
      <c r="M45" s="331"/>
      <c r="N45" s="331"/>
      <c r="O45" s="331"/>
      <c r="P45" s="330"/>
      <c r="Q45" s="331"/>
      <c r="R45" s="330"/>
      <c r="S45" s="330"/>
      <c r="T45" s="330"/>
      <c r="U45" s="330"/>
      <c r="V45" s="330"/>
      <c r="W45" s="1"/>
      <c r="X45" s="1"/>
      <c r="Y45" s="1"/>
      <c r="Z45" s="1"/>
      <c r="AA45" s="1"/>
      <c r="AB45" s="1"/>
    </row>
    <row r="46" spans="1:28" customFormat="1" ht="16" outlineLevel="1" x14ac:dyDescent="0.2">
      <c r="A46" s="263" t="s">
        <v>80</v>
      </c>
      <c r="B46" s="263"/>
      <c r="C46" s="309"/>
      <c r="D46" s="235">
        <f>-7928-D49</f>
        <v>-7089</v>
      </c>
      <c r="E46" s="235">
        <f>-8635-E49</f>
        <v>-7766</v>
      </c>
      <c r="F46" s="235">
        <f>-7970-F49</f>
        <v>-7052</v>
      </c>
      <c r="G46" s="235">
        <f>-7876-G49</f>
        <v>-6953</v>
      </c>
      <c r="H46" s="235">
        <f>-1737+219</f>
        <v>-1518</v>
      </c>
      <c r="I46" s="235">
        <f>-1810+218</f>
        <v>-1592</v>
      </c>
      <c r="J46" s="235">
        <f>-1871+213</f>
        <v>-1658</v>
      </c>
      <c r="K46" s="235">
        <f>-2673+216</f>
        <v>-2457</v>
      </c>
      <c r="L46" s="235">
        <f>-7651-L49</f>
        <v>-6785</v>
      </c>
      <c r="M46" s="235">
        <f>-1721+211</f>
        <v>-1510</v>
      </c>
      <c r="N46" s="235">
        <f>-1829+211</f>
        <v>-1618</v>
      </c>
      <c r="O46" s="235">
        <v>-1256</v>
      </c>
      <c r="P46" s="308">
        <f>Q46-SUM(M46:O46)</f>
        <v>-2085.3135092083758</v>
      </c>
      <c r="Q46" s="308">
        <f t="shared" ref="Q46:V46" si="19">SUM(Q47:Q48)</f>
        <v>-6469.3135092083758</v>
      </c>
      <c r="R46" s="308">
        <f t="shared" si="19"/>
        <v>-6604.6913246447593</v>
      </c>
      <c r="S46" s="308">
        <f t="shared" si="19"/>
        <v>-6683.3094375675364</v>
      </c>
      <c r="T46" s="308">
        <f t="shared" si="19"/>
        <v>-6699.3659065409211</v>
      </c>
      <c r="U46" s="308">
        <f t="shared" si="19"/>
        <v>-6615.1676225117862</v>
      </c>
      <c r="V46" s="308">
        <f t="shared" si="19"/>
        <v>-6505.5170067675053</v>
      </c>
      <c r="W46" s="1"/>
      <c r="X46" s="8"/>
      <c r="Y46" s="1"/>
      <c r="Z46" s="1"/>
      <c r="AA46" s="1"/>
      <c r="AB46" s="1"/>
    </row>
    <row r="47" spans="1:28" customFormat="1" ht="16" hidden="1" outlineLevel="2" x14ac:dyDescent="0.2">
      <c r="A47" s="332" t="s">
        <v>81</v>
      </c>
      <c r="B47" s="263"/>
      <c r="C47" s="309"/>
      <c r="D47" s="235">
        <v>0</v>
      </c>
      <c r="E47" s="235">
        <v>0</v>
      </c>
      <c r="F47" s="235">
        <v>0</v>
      </c>
      <c r="G47" s="235">
        <v>0</v>
      </c>
      <c r="H47" s="235">
        <v>0</v>
      </c>
      <c r="I47" s="235">
        <v>0</v>
      </c>
      <c r="J47" s="235">
        <v>0</v>
      </c>
      <c r="K47" s="235">
        <v>0</v>
      </c>
      <c r="L47" s="235">
        <v>0</v>
      </c>
      <c r="M47" s="235">
        <v>0</v>
      </c>
      <c r="N47" s="235">
        <v>0</v>
      </c>
      <c r="O47" s="235">
        <v>0</v>
      </c>
      <c r="P47" s="263">
        <v>0</v>
      </c>
      <c r="Q47" s="263">
        <f t="shared" ref="Q47:V47" si="20">-(Q8*Q160+Q9*Q41)</f>
        <v>-6442.0713672104739</v>
      </c>
      <c r="R47" s="263">
        <f t="shared" si="20"/>
        <v>-6462.9587188045971</v>
      </c>
      <c r="S47" s="263">
        <f t="shared" si="20"/>
        <v>-6354.4214513577735</v>
      </c>
      <c r="T47" s="263">
        <f t="shared" si="20"/>
        <v>-6173.9759850066157</v>
      </c>
      <c r="U47" s="263">
        <f t="shared" si="20"/>
        <v>-6101.5604775628863</v>
      </c>
      <c r="V47" s="263">
        <f t="shared" si="20"/>
        <v>-6035.06860924996</v>
      </c>
      <c r="W47" s="1"/>
      <c r="X47" s="8"/>
      <c r="Y47" s="1"/>
      <c r="Z47" s="1"/>
      <c r="AA47" s="1"/>
      <c r="AB47" s="1"/>
    </row>
    <row r="48" spans="1:28" customFormat="1" ht="16" hidden="1" outlineLevel="2" x14ac:dyDescent="0.2">
      <c r="A48" s="332" t="s">
        <v>82</v>
      </c>
      <c r="B48" s="263"/>
      <c r="C48" s="309"/>
      <c r="D48" s="235">
        <v>0</v>
      </c>
      <c r="E48" s="235">
        <v>0</v>
      </c>
      <c r="F48" s="235">
        <v>0</v>
      </c>
      <c r="G48" s="235">
        <v>0</v>
      </c>
      <c r="H48" s="235">
        <v>0</v>
      </c>
      <c r="I48" s="235">
        <v>0</v>
      </c>
      <c r="J48" s="235">
        <v>0</v>
      </c>
      <c r="K48" s="235">
        <v>0</v>
      </c>
      <c r="L48" s="235">
        <v>0</v>
      </c>
      <c r="M48" s="235">
        <v>0</v>
      </c>
      <c r="N48" s="235">
        <v>0</v>
      </c>
      <c r="O48" s="235">
        <v>0</v>
      </c>
      <c r="P48" s="263">
        <v>0</v>
      </c>
      <c r="Q48" s="263">
        <f t="shared" ref="Q48:V48" si="21">-(1-Q10)*Q42</f>
        <v>-27.242141997901726</v>
      </c>
      <c r="R48" s="263">
        <f t="shared" si="21"/>
        <v>-141.73260584016236</v>
      </c>
      <c r="S48" s="263">
        <f t="shared" si="21"/>
        <v>-328.88798620976252</v>
      </c>
      <c r="T48" s="263">
        <f t="shared" si="21"/>
        <v>-525.38992153430559</v>
      </c>
      <c r="U48" s="263">
        <f t="shared" si="21"/>
        <v>-513.60714494889987</v>
      </c>
      <c r="V48" s="263">
        <f t="shared" si="21"/>
        <v>-470.4483975175454</v>
      </c>
      <c r="W48" s="1"/>
      <c r="X48" s="8"/>
      <c r="Y48" s="1"/>
      <c r="Z48" s="1"/>
      <c r="AA48" s="1"/>
      <c r="AB48" s="1"/>
    </row>
    <row r="49" spans="1:28" customFormat="1" ht="16" outlineLevel="1" collapsed="1" x14ac:dyDescent="0.2">
      <c r="A49" s="263" t="s">
        <v>83</v>
      </c>
      <c r="B49" s="263"/>
      <c r="C49" s="309"/>
      <c r="D49" s="235">
        <v>-839</v>
      </c>
      <c r="E49" s="235">
        <v>-869</v>
      </c>
      <c r="F49" s="235">
        <v>-918</v>
      </c>
      <c r="G49" s="235">
        <v>-923</v>
      </c>
      <c r="H49" s="235">
        <v>-219</v>
      </c>
      <c r="I49" s="235">
        <f>-437-H49</f>
        <v>-218</v>
      </c>
      <c r="J49" s="235">
        <f>-650-SUM(H49:I49)</f>
        <v>-213</v>
      </c>
      <c r="K49" s="263">
        <f>L49-SUM(H49:J49)</f>
        <v>-216</v>
      </c>
      <c r="L49" s="235">
        <v>-866</v>
      </c>
      <c r="M49" s="235">
        <v>-211</v>
      </c>
      <c r="N49" s="235">
        <f>-422-M49</f>
        <v>-211</v>
      </c>
      <c r="O49" s="235">
        <f>-628-SUM(M49:N49)</f>
        <v>-206</v>
      </c>
      <c r="P49" s="263">
        <f>Q49/4</f>
        <v>-185.64396825396824</v>
      </c>
      <c r="Q49" s="263">
        <f>-(Q162+Q167+Q157)-Q21</f>
        <v>-742.57587301587296</v>
      </c>
      <c r="R49" s="263">
        <f>-(R162+R167+R157)</f>
        <v>-612.66260116589069</v>
      </c>
      <c r="S49" s="263">
        <f>-(S162+S167+S157)</f>
        <v>-483.26034685296156</v>
      </c>
      <c r="T49" s="263">
        <f>-(T162+T167+T157)</f>
        <v>-397.6374407215817</v>
      </c>
      <c r="U49" s="263">
        <f>-(U162+U167+U157)</f>
        <v>-389.98150929758577</v>
      </c>
      <c r="V49" s="263">
        <f>-(V162+V167+V157)</f>
        <v>-450.70308856957342</v>
      </c>
      <c r="W49" s="1"/>
      <c r="X49" s="8"/>
      <c r="Y49" s="1"/>
      <c r="Z49" s="1"/>
      <c r="AA49" s="1"/>
      <c r="AB49" s="1"/>
    </row>
    <row r="50" spans="1:28" customFormat="1" ht="16" outlineLevel="1" x14ac:dyDescent="0.2">
      <c r="A50" s="263" t="s">
        <v>84</v>
      </c>
      <c r="B50" s="263"/>
      <c r="C50" s="309"/>
      <c r="D50" s="235">
        <v>-254</v>
      </c>
      <c r="E50" s="235">
        <v>34</v>
      </c>
      <c r="F50" s="235">
        <v>-147</v>
      </c>
      <c r="G50" s="235">
        <v>-153</v>
      </c>
      <c r="H50" s="235">
        <v>-15</v>
      </c>
      <c r="I50" s="235">
        <v>7</v>
      </c>
      <c r="J50" s="235">
        <v>4</v>
      </c>
      <c r="K50" s="235">
        <v>7</v>
      </c>
      <c r="L50" s="235">
        <v>3</v>
      </c>
      <c r="M50" s="235">
        <v>-109</v>
      </c>
      <c r="N50" s="235">
        <v>-114</v>
      </c>
      <c r="O50" s="235">
        <v>5</v>
      </c>
      <c r="P50" s="263">
        <v>0</v>
      </c>
      <c r="Q50" s="263">
        <v>0</v>
      </c>
      <c r="R50" s="263">
        <v>0</v>
      </c>
      <c r="S50" s="263">
        <v>0</v>
      </c>
      <c r="T50" s="263">
        <v>0</v>
      </c>
      <c r="U50" s="263">
        <v>0</v>
      </c>
      <c r="V50" s="263">
        <v>0</v>
      </c>
      <c r="W50" s="1"/>
      <c r="X50" s="1"/>
      <c r="Y50" s="1"/>
      <c r="Z50" s="1"/>
      <c r="AA50" s="1"/>
      <c r="AB50" s="1"/>
    </row>
    <row r="51" spans="1:28" customFormat="1" ht="16" outlineLevel="1" x14ac:dyDescent="0.2">
      <c r="A51" s="317" t="s">
        <v>85</v>
      </c>
      <c r="B51" s="317"/>
      <c r="C51" s="318"/>
      <c r="D51" s="333">
        <v>0</v>
      </c>
      <c r="E51" s="333">
        <v>0</v>
      </c>
      <c r="F51" s="333">
        <v>0</v>
      </c>
      <c r="G51" s="333">
        <v>0</v>
      </c>
      <c r="H51" s="333">
        <v>0</v>
      </c>
      <c r="I51" s="380">
        <v>0</v>
      </c>
      <c r="J51" s="333">
        <v>0</v>
      </c>
      <c r="K51" s="380">
        <v>-475</v>
      </c>
      <c r="L51" s="333">
        <v>-475</v>
      </c>
      <c r="M51" s="333">
        <v>0</v>
      </c>
      <c r="N51" s="333">
        <v>0</v>
      </c>
      <c r="O51" s="333">
        <v>-171</v>
      </c>
      <c r="P51" s="333">
        <v>0</v>
      </c>
      <c r="Q51" s="317">
        <v>0</v>
      </c>
      <c r="R51" s="317">
        <v>0</v>
      </c>
      <c r="S51" s="317">
        <v>0</v>
      </c>
      <c r="T51" s="317">
        <v>0</v>
      </c>
      <c r="U51" s="317">
        <v>0</v>
      </c>
      <c r="V51" s="317">
        <v>0</v>
      </c>
      <c r="W51" s="1"/>
      <c r="X51" s="1"/>
      <c r="Y51" s="1"/>
      <c r="Z51" s="1"/>
      <c r="AA51" s="1"/>
      <c r="AB51" s="1"/>
    </row>
    <row r="52" spans="1:28" customFormat="1" ht="16" outlineLevel="1" x14ac:dyDescent="0.2">
      <c r="A52" s="308" t="s">
        <v>86</v>
      </c>
      <c r="B52" s="263"/>
      <c r="C52" s="309"/>
      <c r="D52" s="308">
        <f t="shared" ref="D52:L52" si="22">SUM(D44:D51)</f>
        <v>2391</v>
      </c>
      <c r="E52" s="308">
        <f t="shared" si="22"/>
        <v>3039</v>
      </c>
      <c r="F52" s="308">
        <f t="shared" si="22"/>
        <v>1795</v>
      </c>
      <c r="G52" s="308">
        <f t="shared" si="22"/>
        <v>1574</v>
      </c>
      <c r="H52" s="308">
        <f t="shared" si="22"/>
        <v>312</v>
      </c>
      <c r="I52" s="308">
        <f t="shared" si="22"/>
        <v>383</v>
      </c>
      <c r="J52" s="308">
        <f t="shared" si="22"/>
        <v>350</v>
      </c>
      <c r="K52" s="308">
        <f t="shared" si="22"/>
        <v>-223</v>
      </c>
      <c r="L52" s="308">
        <f t="shared" si="22"/>
        <v>1262</v>
      </c>
      <c r="M52" s="308">
        <f>M44+M46+SUM(M49:M51)</f>
        <v>219</v>
      </c>
      <c r="N52" s="308">
        <f>N44+N46+SUM(N49:N51)</f>
        <v>251</v>
      </c>
      <c r="O52" s="308">
        <f>O44+O46+SUM(O49:O51)</f>
        <v>620</v>
      </c>
      <c r="P52" s="308">
        <f>P44+P46+SUM(P49:P51)</f>
        <v>670.605667909663</v>
      </c>
      <c r="Q52" s="308">
        <f>SUM(M52:P52)</f>
        <v>1760.605667909663</v>
      </c>
      <c r="R52" s="308">
        <f>R44+SUM(R47:R51)</f>
        <v>2794.9238077763403</v>
      </c>
      <c r="S52" s="308">
        <f>S44+SUM(S47:S51)</f>
        <v>2662.1911303640127</v>
      </c>
      <c r="T52" s="308">
        <f>T44+SUM(T47:T51)</f>
        <v>2128.2588356835595</v>
      </c>
      <c r="U52" s="308">
        <f>U44+SUM(U47:U51)</f>
        <v>2191.1674697692579</v>
      </c>
      <c r="V52" s="308">
        <f>V44+SUM(V47:V51)</f>
        <v>2271.6502547744558</v>
      </c>
      <c r="W52" s="1"/>
      <c r="X52" s="1"/>
      <c r="Y52" s="1"/>
      <c r="Z52" s="1"/>
      <c r="AA52" s="1"/>
      <c r="AB52" s="1"/>
    </row>
    <row r="53" spans="1:28" customFormat="1" ht="16" outlineLevel="1" x14ac:dyDescent="0.2">
      <c r="A53" s="322" t="s">
        <v>87</v>
      </c>
      <c r="B53" s="313"/>
      <c r="C53" s="314"/>
      <c r="D53" s="322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22"/>
      <c r="R53" s="322"/>
      <c r="S53" s="322"/>
      <c r="T53" s="322"/>
      <c r="U53" s="322"/>
      <c r="V53" s="322"/>
      <c r="W53" s="1"/>
      <c r="X53" s="1"/>
      <c r="Y53" s="1"/>
      <c r="Z53" s="1"/>
      <c r="AA53" s="1"/>
      <c r="AB53" s="1"/>
    </row>
    <row r="54" spans="1:28" customFormat="1" ht="16" outlineLevel="1" x14ac:dyDescent="0.2">
      <c r="A54" s="313" t="s">
        <v>483</v>
      </c>
      <c r="B54" s="322"/>
      <c r="C54" s="335"/>
      <c r="D54" s="235">
        <v>0</v>
      </c>
      <c r="E54" s="235">
        <v>0</v>
      </c>
      <c r="F54" s="235">
        <v>0</v>
      </c>
      <c r="G54" s="235">
        <v>21</v>
      </c>
      <c r="H54" s="235">
        <v>0</v>
      </c>
      <c r="I54" s="235">
        <v>0</v>
      </c>
      <c r="J54" s="235">
        <v>0</v>
      </c>
      <c r="K54" s="235">
        <v>0</v>
      </c>
      <c r="L54" s="235">
        <v>0</v>
      </c>
      <c r="M54" s="235">
        <v>0</v>
      </c>
      <c r="N54" s="235">
        <v>-4</v>
      </c>
      <c r="O54" s="235">
        <v>0</v>
      </c>
      <c r="P54" s="263">
        <v>0</v>
      </c>
      <c r="Q54" s="322">
        <v>0</v>
      </c>
      <c r="R54" s="322">
        <v>0</v>
      </c>
      <c r="S54" s="322">
        <v>0</v>
      </c>
      <c r="T54" s="322">
        <v>0</v>
      </c>
      <c r="U54" s="322">
        <v>0</v>
      </c>
      <c r="V54" s="322">
        <v>0</v>
      </c>
      <c r="W54" s="1"/>
      <c r="X54" s="1"/>
      <c r="Y54" s="1"/>
      <c r="Z54" s="1"/>
      <c r="AA54" s="1"/>
      <c r="AB54" s="1"/>
    </row>
    <row r="55" spans="1:28" customFormat="1" ht="16" outlineLevel="1" x14ac:dyDescent="0.2">
      <c r="A55" s="263" t="s">
        <v>88</v>
      </c>
      <c r="B55" s="263"/>
      <c r="C55" s="309"/>
      <c r="D55" s="235">
        <v>38</v>
      </c>
      <c r="E55" s="235">
        <v>10</v>
      </c>
      <c r="F55" s="235">
        <v>28</v>
      </c>
      <c r="G55" s="235">
        <v>78</v>
      </c>
      <c r="H55" s="235">
        <v>25</v>
      </c>
      <c r="I55" s="235">
        <v>21</v>
      </c>
      <c r="J55" s="235">
        <v>19</v>
      </c>
      <c r="K55" s="235">
        <v>19</v>
      </c>
      <c r="L55" s="235">
        <v>84</v>
      </c>
      <c r="M55" s="235">
        <v>15</v>
      </c>
      <c r="N55" s="235">
        <v>18</v>
      </c>
      <c r="O55" s="235">
        <v>19</v>
      </c>
      <c r="P55" s="263">
        <v>0</v>
      </c>
      <c r="Q55" s="263">
        <v>0</v>
      </c>
      <c r="R55" s="263">
        <v>0</v>
      </c>
      <c r="S55" s="263">
        <v>0</v>
      </c>
      <c r="T55" s="263">
        <v>0</v>
      </c>
      <c r="U55" s="263">
        <v>0</v>
      </c>
      <c r="V55" s="263">
        <v>0</v>
      </c>
      <c r="W55" s="606"/>
      <c r="X55" s="606"/>
      <c r="Y55" s="606"/>
      <c r="Z55" s="606"/>
      <c r="AA55" s="606"/>
      <c r="AB55" s="1"/>
    </row>
    <row r="56" spans="1:28" customFormat="1" ht="16" outlineLevel="1" x14ac:dyDescent="0.2">
      <c r="A56" s="317" t="s">
        <v>89</v>
      </c>
      <c r="B56" s="317"/>
      <c r="C56" s="318"/>
      <c r="D56" s="333">
        <v>-52</v>
      </c>
      <c r="E56" s="333">
        <v>-25</v>
      </c>
      <c r="F56" s="333">
        <v>-35</v>
      </c>
      <c r="G56" s="333">
        <v>-52</v>
      </c>
      <c r="H56" s="333">
        <v>-12</v>
      </c>
      <c r="I56" s="380">
        <v>-13</v>
      </c>
      <c r="J56" s="333">
        <v>-13</v>
      </c>
      <c r="K56" s="380">
        <v>-13</v>
      </c>
      <c r="L56" s="333">
        <v>-51</v>
      </c>
      <c r="M56" s="333">
        <v>-12</v>
      </c>
      <c r="N56" s="333">
        <v>-12</v>
      </c>
      <c r="O56" s="333">
        <v>-12</v>
      </c>
      <c r="P56" s="378">
        <f>-P28*AVERAGE(O176:P176)/4</f>
        <v>-11.981437768061234</v>
      </c>
      <c r="Q56" s="317">
        <f>SUM(M56:P56)</f>
        <v>-47.981437768061234</v>
      </c>
      <c r="R56" s="317">
        <f>-R28*AVERAGE(Q176:R176)</f>
        <v>-46.765935480248601</v>
      </c>
      <c r="S56" s="317">
        <f>-S28*AVERAGE(R176:S176)</f>
        <v>-46.765935480248601</v>
      </c>
      <c r="T56" s="317">
        <f>-T28*AVERAGE(S176:T176)</f>
        <v>-46.765935480248601</v>
      </c>
      <c r="U56" s="317">
        <f>-U28*AVERAGE(T176:U176)</f>
        <v>-46.765935480248601</v>
      </c>
      <c r="V56" s="317">
        <f>-V28*AVERAGE(U176:V176)</f>
        <v>-46.765935480248601</v>
      </c>
      <c r="W56" s="607"/>
      <c r="X56" s="607"/>
      <c r="Y56" s="607"/>
      <c r="Z56" s="607"/>
      <c r="AA56" s="607"/>
      <c r="AB56" s="606"/>
    </row>
    <row r="57" spans="1:28" customFormat="1" ht="16" outlineLevel="1" x14ac:dyDescent="0.2">
      <c r="A57" s="308" t="s">
        <v>90</v>
      </c>
      <c r="B57" s="263"/>
      <c r="C57" s="309"/>
      <c r="D57" s="308">
        <f>SUM(D52:D56)</f>
        <v>2377</v>
      </c>
      <c r="E57" s="308">
        <f>SUM(E52:E56)</f>
        <v>3024</v>
      </c>
      <c r="F57" s="308">
        <f>SUM(F52:F56)</f>
        <v>1788</v>
      </c>
      <c r="G57" s="308">
        <f>SUM(G52:G56)</f>
        <v>1621</v>
      </c>
      <c r="H57" s="308">
        <f t="shared" ref="H57:O57" si="23">SUM(H52:H56)</f>
        <v>325</v>
      </c>
      <c r="I57" s="308">
        <f t="shared" si="23"/>
        <v>391</v>
      </c>
      <c r="J57" s="308">
        <f t="shared" si="23"/>
        <v>356</v>
      </c>
      <c r="K57" s="308">
        <f t="shared" si="23"/>
        <v>-217</v>
      </c>
      <c r="L57" s="308">
        <f t="shared" si="23"/>
        <v>1295</v>
      </c>
      <c r="M57" s="308">
        <f t="shared" si="23"/>
        <v>222</v>
      </c>
      <c r="N57" s="308">
        <f t="shared" si="23"/>
        <v>253</v>
      </c>
      <c r="O57" s="308">
        <f t="shared" si="23"/>
        <v>627</v>
      </c>
      <c r="P57" s="308">
        <f>SUM(P52:P56)</f>
        <v>658.62423014160174</v>
      </c>
      <c r="Q57" s="308">
        <f>SUM(M57:P57)</f>
        <v>1760.6242301416019</v>
      </c>
      <c r="R57" s="308">
        <f>SUM(R52:R56)</f>
        <v>2748.1578722960917</v>
      </c>
      <c r="S57" s="308">
        <f>SUM(S52:S56)</f>
        <v>2615.4251948837641</v>
      </c>
      <c r="T57" s="308">
        <f>SUM(T52:T56)</f>
        <v>2081.4929002033109</v>
      </c>
      <c r="U57" s="308">
        <f>SUM(U52:U56)</f>
        <v>2144.4015342890093</v>
      </c>
      <c r="V57" s="308">
        <f>SUM(V52:V56)</f>
        <v>2224.8843192942072</v>
      </c>
      <c r="W57" s="606"/>
      <c r="X57" s="606"/>
      <c r="Y57" s="606"/>
      <c r="Z57" s="606"/>
      <c r="AA57" s="606"/>
      <c r="AB57" s="1"/>
    </row>
    <row r="58" spans="1:28" customFormat="1" ht="16" outlineLevel="1" x14ac:dyDescent="0.2">
      <c r="A58" s="263" t="s">
        <v>91</v>
      </c>
      <c r="B58" s="263"/>
      <c r="C58" s="309"/>
      <c r="D58" s="235">
        <v>-579</v>
      </c>
      <c r="E58" s="235">
        <v>-574</v>
      </c>
      <c r="F58" s="235">
        <v>-370</v>
      </c>
      <c r="G58" s="235">
        <v>-381</v>
      </c>
      <c r="H58" s="235">
        <v>-80</v>
      </c>
      <c r="I58" s="235">
        <v>-101</v>
      </c>
      <c r="J58" s="235">
        <v>-85</v>
      </c>
      <c r="K58" s="235">
        <v>-106</v>
      </c>
      <c r="L58" s="235">
        <v>-372</v>
      </c>
      <c r="M58" s="235">
        <v>-90</v>
      </c>
      <c r="N58" s="235">
        <v>-103</v>
      </c>
      <c r="O58" s="235">
        <v>-97</v>
      </c>
      <c r="P58" s="263">
        <f>-P29*P57</f>
        <v>-152.80082139285162</v>
      </c>
      <c r="Q58" s="328">
        <f>SUM(M58:P58)</f>
        <v>-442.80082139285162</v>
      </c>
      <c r="R58" s="328">
        <f>R57*-R29</f>
        <v>-902.38019687334349</v>
      </c>
      <c r="S58" s="328">
        <f>S57*-S29</f>
        <v>-843.9105295491612</v>
      </c>
      <c r="T58" s="328">
        <f>T57*-T29</f>
        <v>-671.62837579893494</v>
      </c>
      <c r="U58" s="328">
        <f>U57*-U29</f>
        <v>-691.92689506392037</v>
      </c>
      <c r="V58" s="328">
        <f>V57*-V29</f>
        <v>-717.89600702559756</v>
      </c>
      <c r="W58" s="1"/>
      <c r="X58" s="1"/>
      <c r="Y58" s="1"/>
      <c r="Z58" s="1"/>
      <c r="AA58" s="1"/>
      <c r="AB58" s="1"/>
    </row>
    <row r="59" spans="1:28" customFormat="1" ht="16" outlineLevel="1" x14ac:dyDescent="0.2">
      <c r="A59" s="263" t="s">
        <v>92</v>
      </c>
      <c r="B59" s="7"/>
      <c r="C59" s="7"/>
      <c r="D59" s="235">
        <v>0</v>
      </c>
      <c r="E59" s="235">
        <v>4</v>
      </c>
      <c r="F59" s="235">
        <v>1</v>
      </c>
      <c r="G59" s="235">
        <v>1</v>
      </c>
      <c r="H59" s="235">
        <v>1</v>
      </c>
      <c r="I59" s="235">
        <v>1</v>
      </c>
      <c r="J59" s="235">
        <v>2</v>
      </c>
      <c r="K59" s="235">
        <v>0</v>
      </c>
      <c r="L59" s="235">
        <v>4</v>
      </c>
      <c r="M59" s="235">
        <v>1</v>
      </c>
      <c r="N59" s="235">
        <v>1</v>
      </c>
      <c r="O59" s="235">
        <v>-1</v>
      </c>
      <c r="P59" s="378">
        <v>0</v>
      </c>
      <c r="Q59" s="235">
        <v>0</v>
      </c>
      <c r="R59" s="235">
        <v>0</v>
      </c>
      <c r="S59" s="235">
        <v>0</v>
      </c>
      <c r="T59" s="235">
        <v>0</v>
      </c>
      <c r="U59" s="235">
        <v>0</v>
      </c>
      <c r="V59" s="235">
        <v>0</v>
      </c>
      <c r="W59" s="1"/>
      <c r="X59" s="1"/>
      <c r="Y59" s="1"/>
      <c r="Z59" s="1"/>
      <c r="AA59" s="1"/>
      <c r="AB59" s="1"/>
    </row>
    <row r="60" spans="1:28" customFormat="1" ht="17" outlineLevel="1" thickBot="1" x14ac:dyDescent="0.25">
      <c r="A60" s="336" t="s">
        <v>93</v>
      </c>
      <c r="B60" s="336"/>
      <c r="C60" s="337"/>
      <c r="D60" s="336">
        <f t="shared" ref="D60:O60" si="24">SUM(D57:D59)</f>
        <v>1798</v>
      </c>
      <c r="E60" s="336">
        <f t="shared" si="24"/>
        <v>2454</v>
      </c>
      <c r="F60" s="336">
        <f>SUM(F57:F59)</f>
        <v>1419</v>
      </c>
      <c r="G60" s="336">
        <f>SUM(G57:G59)</f>
        <v>1241</v>
      </c>
      <c r="H60" s="336">
        <f t="shared" si="24"/>
        <v>246</v>
      </c>
      <c r="I60" s="336">
        <f t="shared" si="24"/>
        <v>291</v>
      </c>
      <c r="J60" s="336">
        <f t="shared" si="24"/>
        <v>273</v>
      </c>
      <c r="K60" s="336">
        <f t="shared" si="24"/>
        <v>-323</v>
      </c>
      <c r="L60" s="336">
        <f t="shared" si="24"/>
        <v>927</v>
      </c>
      <c r="M60" s="336">
        <f t="shared" si="24"/>
        <v>133</v>
      </c>
      <c r="N60" s="336">
        <f t="shared" si="24"/>
        <v>151</v>
      </c>
      <c r="O60" s="336">
        <f t="shared" si="24"/>
        <v>529</v>
      </c>
      <c r="P60" s="336">
        <f>SUM(P57:P59)</f>
        <v>505.82340874875013</v>
      </c>
      <c r="Q60" s="336">
        <f>SUM(M60:P60)</f>
        <v>1318.8234087487501</v>
      </c>
      <c r="R60" s="336">
        <f>SUM(R57:R59)</f>
        <v>1845.7776754227482</v>
      </c>
      <c r="S60" s="336">
        <f>SUM(S57:S59)</f>
        <v>1771.5146653346028</v>
      </c>
      <c r="T60" s="336">
        <f>SUM(T57:T59)</f>
        <v>1409.864524404376</v>
      </c>
      <c r="U60" s="336">
        <f>SUM(U57:U59)</f>
        <v>1452.474639225089</v>
      </c>
      <c r="V60" s="336">
        <f>SUM(V57:V59)</f>
        <v>1506.9883122686097</v>
      </c>
      <c r="AB60" s="1"/>
    </row>
    <row r="61" spans="1:28" customFormat="1" ht="17" outlineLevel="1" thickTop="1" x14ac:dyDescent="0.2">
      <c r="A61" s="322"/>
      <c r="B61" s="322"/>
      <c r="C61" s="335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1"/>
      <c r="X61" s="1"/>
      <c r="Y61" s="1"/>
      <c r="Z61" s="1"/>
      <c r="AA61" s="1"/>
      <c r="AB61" s="1"/>
    </row>
    <row r="62" spans="1:28" s="124" customFormat="1" ht="16" outlineLevel="1" x14ac:dyDescent="0.2">
      <c r="A62" s="338" t="s">
        <v>313</v>
      </c>
      <c r="B62" s="339"/>
      <c r="C62" s="340"/>
      <c r="D62" s="275">
        <v>263</v>
      </c>
      <c r="E62" s="275">
        <v>249.3</v>
      </c>
      <c r="F62" s="275">
        <v>225.7</v>
      </c>
      <c r="G62" s="275">
        <v>218.5</v>
      </c>
      <c r="H62" s="275">
        <v>217.2</v>
      </c>
      <c r="I62" s="275">
        <v>217.1</v>
      </c>
      <c r="J62" s="275">
        <v>216.7</v>
      </c>
      <c r="K62" s="356">
        <f>L62*4-SUM(H62:J62)</f>
        <v>215.39999999999998</v>
      </c>
      <c r="L62" s="275">
        <v>216.6</v>
      </c>
      <c r="M62" s="275">
        <v>213</v>
      </c>
      <c r="N62" s="275">
        <v>212</v>
      </c>
      <c r="O62" s="275">
        <v>212.1</v>
      </c>
      <c r="P62" s="356">
        <f t="shared" ref="P62:V62" si="25">P33</f>
        <v>210.85066096286684</v>
      </c>
      <c r="Q62" s="339">
        <f t="shared" si="25"/>
        <v>211.98766524071672</v>
      </c>
      <c r="R62" s="339">
        <f t="shared" si="25"/>
        <v>208.75370919881306</v>
      </c>
      <c r="S62" s="339">
        <f t="shared" si="25"/>
        <v>202.42914979757086</v>
      </c>
      <c r="T62" s="339">
        <f t="shared" si="25"/>
        <v>197.93032576994227</v>
      </c>
      <c r="U62" s="339">
        <f t="shared" si="25"/>
        <v>193.53148446541363</v>
      </c>
      <c r="V62" s="339">
        <f t="shared" si="25"/>
        <v>189.23040384888043</v>
      </c>
      <c r="W62" s="608"/>
      <c r="X62" s="608"/>
      <c r="Y62" s="608"/>
      <c r="Z62" s="608"/>
      <c r="AA62" s="608"/>
      <c r="AB62" s="608"/>
    </row>
    <row r="63" spans="1:28" customFormat="1" ht="16" outlineLevel="1" x14ac:dyDescent="0.2">
      <c r="A63" s="263"/>
      <c r="B63" s="263"/>
      <c r="C63" s="309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63"/>
      <c r="R63" s="263"/>
      <c r="S63" s="263"/>
      <c r="T63" s="263"/>
      <c r="U63" s="263"/>
      <c r="V63" s="263"/>
      <c r="W63" s="1"/>
      <c r="X63" s="1"/>
      <c r="Y63" s="1"/>
      <c r="Z63" s="1"/>
      <c r="AA63" s="1"/>
      <c r="AB63" s="1"/>
    </row>
    <row r="64" spans="1:28" customFormat="1" ht="16" outlineLevel="1" x14ac:dyDescent="0.2">
      <c r="A64" s="339" t="s">
        <v>94</v>
      </c>
      <c r="B64" s="263"/>
      <c r="C64" s="309"/>
      <c r="D64" s="341">
        <f>D60/D62</f>
        <v>6.836501901140684</v>
      </c>
      <c r="E64" s="341">
        <f>E60/E62</f>
        <v>9.8435619735258726</v>
      </c>
      <c r="F64" s="341">
        <f t="shared" ref="F64:O64" si="26">F60/F62</f>
        <v>6.2871067789100579</v>
      </c>
      <c r="G64" s="341">
        <f t="shared" si="26"/>
        <v>5.6796338672768876</v>
      </c>
      <c r="H64" s="341">
        <f t="shared" si="26"/>
        <v>1.132596685082873</v>
      </c>
      <c r="I64" s="341">
        <f t="shared" si="26"/>
        <v>1.3403961308152925</v>
      </c>
      <c r="J64" s="341">
        <f t="shared" si="26"/>
        <v>1.2598061836640517</v>
      </c>
      <c r="K64" s="341">
        <f>K60/K62</f>
        <v>-1.4995357474466111</v>
      </c>
      <c r="L64" s="341">
        <f t="shared" si="26"/>
        <v>4.2797783933518003</v>
      </c>
      <c r="M64" s="551">
        <f>M60/M62-0.01</f>
        <v>0.61441314553990611</v>
      </c>
      <c r="N64" s="341">
        <f t="shared" si="26"/>
        <v>0.71226415094339623</v>
      </c>
      <c r="O64" s="341">
        <f t="shared" si="26"/>
        <v>2.494106553512494</v>
      </c>
      <c r="P64" s="341">
        <f t="shared" ref="P64:V64" si="27">P60/P62</f>
        <v>2.3989652507555159</v>
      </c>
      <c r="Q64" s="341">
        <f t="shared" si="27"/>
        <v>6.2212271041864478</v>
      </c>
      <c r="R64" s="341">
        <f t="shared" si="27"/>
        <v>8.8418916363534628</v>
      </c>
      <c r="S64" s="341">
        <f t="shared" si="27"/>
        <v>8.7512824467529367</v>
      </c>
      <c r="T64" s="341">
        <f t="shared" si="27"/>
        <v>7.1230344259781857</v>
      </c>
      <c r="U64" s="341">
        <f t="shared" si="27"/>
        <v>7.5051077256872043</v>
      </c>
      <c r="V64" s="341">
        <f t="shared" si="27"/>
        <v>7.9637747508698018</v>
      </c>
      <c r="W64" s="1"/>
      <c r="X64" s="1"/>
      <c r="Y64" s="1"/>
      <c r="Z64" s="1"/>
      <c r="AA64" s="1"/>
      <c r="AB64" s="1"/>
    </row>
    <row r="65" spans="1:28" customFormat="1" ht="16" x14ac:dyDescent="0.2">
      <c r="A65" s="1"/>
      <c r="B65" s="1"/>
      <c r="C65" s="2"/>
      <c r="D65" s="659"/>
      <c r="E65" s="659"/>
      <c r="F65" s="659"/>
      <c r="G65" s="659"/>
      <c r="H65" s="659"/>
      <c r="I65" s="659"/>
      <c r="J65" s="659"/>
      <c r="K65" s="659"/>
      <c r="L65" s="659"/>
      <c r="M65" s="659"/>
      <c r="N65" s="659"/>
      <c r="O65" s="659"/>
      <c r="P65" s="8"/>
      <c r="Q65" s="8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customFormat="1" ht="20" x14ac:dyDescent="0.2">
      <c r="A66" s="251" t="s">
        <v>393</v>
      </c>
      <c r="B66" s="251"/>
      <c r="C66" s="251"/>
      <c r="D66" s="251"/>
      <c r="E66" s="251"/>
      <c r="F66" s="251"/>
      <c r="G66" s="251"/>
      <c r="H66" s="251"/>
      <c r="I66" s="251"/>
      <c r="J66" s="251"/>
      <c r="K66" s="251"/>
      <c r="L66" s="251"/>
      <c r="M66" s="251"/>
      <c r="N66" s="251"/>
      <c r="O66" s="251"/>
      <c r="P66" s="251"/>
      <c r="Q66" s="251"/>
      <c r="R66" s="251"/>
      <c r="S66" s="251"/>
      <c r="T66" s="251"/>
      <c r="U66" s="251"/>
      <c r="V66" s="251"/>
      <c r="W66" s="1"/>
      <c r="X66" s="1"/>
      <c r="Y66" s="1"/>
      <c r="Z66" s="1"/>
      <c r="AA66" s="1"/>
      <c r="AB66" s="1"/>
    </row>
    <row r="67" spans="1:28" customFormat="1" ht="16" outlineLevel="1" x14ac:dyDescent="0.2">
      <c r="A67" s="1"/>
      <c r="B67" s="1"/>
      <c r="C67" s="2"/>
      <c r="D67" s="3"/>
      <c r="E67" s="3"/>
      <c r="F67" s="3"/>
      <c r="G67" s="3"/>
      <c r="H67" s="3"/>
      <c r="I67" s="3"/>
      <c r="J67" s="3"/>
      <c r="K67" s="3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customFormat="1" ht="16" outlineLevel="1" x14ac:dyDescent="0.2">
      <c r="A68" s="308" t="s">
        <v>95</v>
      </c>
      <c r="B68" s="263"/>
      <c r="C68" s="309"/>
      <c r="D68" s="235"/>
      <c r="E68" s="235"/>
      <c r="F68" s="235"/>
      <c r="G68" s="235"/>
      <c r="H68" s="235"/>
      <c r="I68" s="235"/>
      <c r="J68" s="235"/>
      <c r="K68" s="235"/>
      <c r="L68" s="263"/>
      <c r="M68" s="263"/>
      <c r="N68" s="263"/>
      <c r="O68" s="263"/>
      <c r="P68" s="263"/>
      <c r="Q68" s="263"/>
      <c r="R68" s="263"/>
      <c r="S68" s="263"/>
      <c r="T68" s="263"/>
      <c r="U68" s="263"/>
      <c r="V68" s="263"/>
      <c r="W68" s="1"/>
      <c r="X68" s="1"/>
      <c r="Y68" s="1"/>
      <c r="Z68" s="1"/>
      <c r="AA68" s="1"/>
      <c r="AB68" s="1"/>
    </row>
    <row r="69" spans="1:28" customFormat="1" ht="16" outlineLevel="1" x14ac:dyDescent="0.2">
      <c r="A69" s="308" t="s">
        <v>96</v>
      </c>
      <c r="B69" s="263"/>
      <c r="C69" s="309"/>
      <c r="D69" s="235"/>
      <c r="E69" s="235"/>
      <c r="F69" s="235"/>
      <c r="G69" s="235"/>
      <c r="H69" s="235"/>
      <c r="I69" s="235"/>
      <c r="J69" s="235"/>
      <c r="K69" s="235"/>
      <c r="L69" s="263"/>
      <c r="M69" s="263"/>
      <c r="N69" s="263"/>
      <c r="O69" s="263"/>
      <c r="P69" s="263"/>
      <c r="Q69" s="263"/>
      <c r="R69" s="263"/>
      <c r="S69" s="263"/>
      <c r="T69" s="263"/>
      <c r="U69" s="263"/>
      <c r="V69" s="263"/>
      <c r="W69" s="1"/>
      <c r="X69" s="1"/>
      <c r="Y69" s="1"/>
      <c r="Z69" s="1"/>
      <c r="AA69" s="1"/>
      <c r="AB69" s="1"/>
    </row>
    <row r="70" spans="1:28" customFormat="1" ht="16" outlineLevel="1" x14ac:dyDescent="0.2">
      <c r="A70" s="263" t="s">
        <v>97</v>
      </c>
      <c r="B70" s="263"/>
      <c r="C70" s="7"/>
      <c r="D70" s="235">
        <v>5494</v>
      </c>
      <c r="E70" s="235">
        <v>2936</v>
      </c>
      <c r="F70" s="235">
        <v>1874</v>
      </c>
      <c r="G70" s="235">
        <v>1447</v>
      </c>
      <c r="H70" s="235">
        <v>1214</v>
      </c>
      <c r="I70" s="235">
        <v>1387</v>
      </c>
      <c r="J70" s="235">
        <v>643</v>
      </c>
      <c r="K70" s="263">
        <f>L70</f>
        <v>1578</v>
      </c>
      <c r="L70" s="235">
        <v>1578</v>
      </c>
      <c r="M70" s="235">
        <v>1147</v>
      </c>
      <c r="N70" s="235">
        <v>1456</v>
      </c>
      <c r="O70" s="235">
        <v>923</v>
      </c>
      <c r="P70" s="263">
        <f>O70+P141</f>
        <v>1568.7649260106145</v>
      </c>
      <c r="Q70" s="263">
        <f>P141+O70</f>
        <v>1568.7649260106145</v>
      </c>
      <c r="R70" s="263">
        <f>R141+Q70</f>
        <v>2321.9164181219057</v>
      </c>
      <c r="S70" s="263">
        <f>S141+R70</f>
        <v>2607.7389605534163</v>
      </c>
      <c r="T70" s="263">
        <f>T141+S70</f>
        <v>2632.4205424758838</v>
      </c>
      <c r="U70" s="263">
        <f>U141+T70</f>
        <v>2703.9440317866793</v>
      </c>
      <c r="V70" s="263">
        <f>V141+U70</f>
        <v>2855.7759499969106</v>
      </c>
      <c r="W70" s="1"/>
      <c r="X70" s="1"/>
      <c r="Y70" s="1"/>
      <c r="Z70" s="1"/>
      <c r="AA70" s="1"/>
      <c r="AB70" s="1"/>
    </row>
    <row r="71" spans="1:28" customFormat="1" ht="16" outlineLevel="1" x14ac:dyDescent="0.2">
      <c r="A71" s="263" t="s">
        <v>98</v>
      </c>
      <c r="B71" s="263"/>
      <c r="C71" s="7"/>
      <c r="D71" s="235">
        <v>1061</v>
      </c>
      <c r="E71" s="235">
        <v>1042</v>
      </c>
      <c r="F71" s="235">
        <v>1141</v>
      </c>
      <c r="G71" s="235">
        <v>939</v>
      </c>
      <c r="H71" s="235">
        <v>770</v>
      </c>
      <c r="I71" s="235">
        <v>871</v>
      </c>
      <c r="J71" s="235">
        <v>932</v>
      </c>
      <c r="K71" s="263">
        <f t="shared" ref="K71:K78" si="28">L71</f>
        <v>1044</v>
      </c>
      <c r="L71" s="235">
        <v>1044</v>
      </c>
      <c r="M71" s="235">
        <v>744</v>
      </c>
      <c r="N71" s="235">
        <v>917</v>
      </c>
      <c r="O71" s="235">
        <v>1017</v>
      </c>
      <c r="P71" s="263">
        <f>P148</f>
        <v>1024.1093772585787</v>
      </c>
      <c r="Q71" s="383">
        <f>P71</f>
        <v>1024.1093772585787</v>
      </c>
      <c r="R71" s="383">
        <f>R148</f>
        <v>998.04569745549611</v>
      </c>
      <c r="S71" s="383">
        <f>S148</f>
        <v>951.98225564801828</v>
      </c>
      <c r="T71" s="383">
        <f>T148</f>
        <v>851.66701221144888</v>
      </c>
      <c r="U71" s="383">
        <f>U148</f>
        <v>832.04723773563171</v>
      </c>
      <c r="V71" s="383">
        <f>V148</f>
        <v>816.55143487181022</v>
      </c>
      <c r="W71" s="1"/>
      <c r="X71" s="1"/>
      <c r="Y71" s="1"/>
      <c r="Z71" s="1"/>
      <c r="AA71" s="1"/>
      <c r="AB71" s="1"/>
    </row>
    <row r="72" spans="1:28" customFormat="1" ht="16" outlineLevel="1" x14ac:dyDescent="0.2">
      <c r="A72" s="263" t="s">
        <v>99</v>
      </c>
      <c r="B72" s="263"/>
      <c r="C72" s="7"/>
      <c r="D72" s="235">
        <v>5612</v>
      </c>
      <c r="E72" s="235">
        <v>5965</v>
      </c>
      <c r="F72" s="235">
        <v>5140</v>
      </c>
      <c r="G72" s="235">
        <v>4958</v>
      </c>
      <c r="H72" s="235">
        <v>5225</v>
      </c>
      <c r="I72" s="235">
        <v>5706</v>
      </c>
      <c r="J72" s="235">
        <v>7806</v>
      </c>
      <c r="K72" s="263">
        <f t="shared" si="28"/>
        <v>5085</v>
      </c>
      <c r="L72" s="235">
        <v>5085</v>
      </c>
      <c r="M72" s="235">
        <v>5194</v>
      </c>
      <c r="N72" s="235">
        <v>5816</v>
      </c>
      <c r="O72" s="235">
        <v>7993</v>
      </c>
      <c r="P72" s="263">
        <f>Q72</f>
        <v>4964.1850232604265</v>
      </c>
      <c r="Q72" s="263">
        <f>-P43*P24/P36</f>
        <v>4964.1850232604265</v>
      </c>
      <c r="R72" s="263">
        <f t="shared" ref="R72:V72" si="29">-R43*R24/R36</f>
        <v>5073.3783866738686</v>
      </c>
      <c r="S72" s="263">
        <f t="shared" si="29"/>
        <v>4839.2235071150717</v>
      </c>
      <c r="T72" s="263">
        <f t="shared" si="29"/>
        <v>4329.2897543795525</v>
      </c>
      <c r="U72" s="263">
        <f t="shared" si="29"/>
        <v>4229.5563052691587</v>
      </c>
      <c r="V72" s="263">
        <f t="shared" si="29"/>
        <v>4150.7862935012581</v>
      </c>
      <c r="W72" s="1"/>
      <c r="X72" s="1"/>
      <c r="Y72" s="1"/>
      <c r="Z72" s="1"/>
      <c r="AA72" s="1"/>
      <c r="AB72" s="1"/>
    </row>
    <row r="73" spans="1:28" customFormat="1" ht="16" outlineLevel="1" x14ac:dyDescent="0.2">
      <c r="A73" s="263" t="s">
        <v>100</v>
      </c>
      <c r="B73" s="263"/>
      <c r="C73" s="309"/>
      <c r="D73" s="235">
        <v>373</v>
      </c>
      <c r="E73" s="235">
        <v>596</v>
      </c>
      <c r="F73" s="235">
        <v>647</v>
      </c>
      <c r="G73" s="235">
        <v>553</v>
      </c>
      <c r="H73" s="235">
        <v>544</v>
      </c>
      <c r="I73" s="235">
        <v>598</v>
      </c>
      <c r="J73" s="235">
        <v>574</v>
      </c>
      <c r="K73" s="263">
        <f t="shared" si="28"/>
        <v>517</v>
      </c>
      <c r="L73" s="235">
        <v>517</v>
      </c>
      <c r="M73" s="235">
        <v>500</v>
      </c>
      <c r="N73" s="235">
        <v>688</v>
      </c>
      <c r="O73" s="235">
        <v>640</v>
      </c>
      <c r="P73" s="263">
        <f>Q73</f>
        <v>640</v>
      </c>
      <c r="Q73" s="263">
        <f>O73</f>
        <v>640</v>
      </c>
      <c r="R73" s="263">
        <f>Q73</f>
        <v>640</v>
      </c>
      <c r="S73" s="263">
        <f>R73</f>
        <v>640</v>
      </c>
      <c r="T73" s="263">
        <f>S73</f>
        <v>640</v>
      </c>
      <c r="U73" s="263">
        <f>T73</f>
        <v>640</v>
      </c>
      <c r="V73" s="263">
        <f>U73</f>
        <v>640</v>
      </c>
      <c r="W73" s="1"/>
      <c r="X73" s="1"/>
      <c r="Y73" s="1"/>
      <c r="Z73" s="1"/>
      <c r="AA73" s="1"/>
      <c r="AB73" s="1"/>
    </row>
    <row r="74" spans="1:28" customFormat="1" ht="16" outlineLevel="1" x14ac:dyDescent="0.2">
      <c r="A74" s="324" t="s">
        <v>101</v>
      </c>
      <c r="B74" s="324"/>
      <c r="C74" s="329"/>
      <c r="D74" s="324">
        <f t="shared" ref="D74:O74" si="30">SUM(D70:D73)</f>
        <v>12540</v>
      </c>
      <c r="E74" s="324">
        <f t="shared" si="30"/>
        <v>10539</v>
      </c>
      <c r="F74" s="324">
        <f t="shared" si="30"/>
        <v>8802</v>
      </c>
      <c r="G74" s="324">
        <f t="shared" si="30"/>
        <v>7897</v>
      </c>
      <c r="H74" s="324">
        <f t="shared" si="30"/>
        <v>7753</v>
      </c>
      <c r="I74" s="324">
        <f t="shared" si="30"/>
        <v>8562</v>
      </c>
      <c r="J74" s="324">
        <f t="shared" si="30"/>
        <v>9955</v>
      </c>
      <c r="K74" s="324">
        <f>SUM(K70:K73)</f>
        <v>8224</v>
      </c>
      <c r="L74" s="324">
        <f t="shared" si="30"/>
        <v>8224</v>
      </c>
      <c r="M74" s="324">
        <f t="shared" si="30"/>
        <v>7585</v>
      </c>
      <c r="N74" s="324">
        <f t="shared" si="30"/>
        <v>8877</v>
      </c>
      <c r="O74" s="324">
        <f t="shared" si="30"/>
        <v>10573</v>
      </c>
      <c r="P74" s="324">
        <f t="shared" ref="P74:V74" si="31">SUM(P70:P73)</f>
        <v>8197.0593265296193</v>
      </c>
      <c r="Q74" s="324">
        <f t="shared" si="31"/>
        <v>8197.0593265296193</v>
      </c>
      <c r="R74" s="324">
        <f t="shared" si="31"/>
        <v>9033.3405022512707</v>
      </c>
      <c r="S74" s="324">
        <f t="shared" si="31"/>
        <v>9038.9447233165065</v>
      </c>
      <c r="T74" s="324">
        <f t="shared" si="31"/>
        <v>8453.3773090668856</v>
      </c>
      <c r="U74" s="324">
        <f t="shared" si="31"/>
        <v>8405.5475747914697</v>
      </c>
      <c r="V74" s="324">
        <f t="shared" si="31"/>
        <v>8463.1136783699785</v>
      </c>
      <c r="W74" s="1"/>
      <c r="X74" s="1"/>
      <c r="Y74" s="1"/>
      <c r="Z74" s="1"/>
      <c r="AA74" s="1"/>
      <c r="AB74" s="1"/>
    </row>
    <row r="75" spans="1:28" customFormat="1" ht="16" outlineLevel="1" x14ac:dyDescent="0.2">
      <c r="A75" s="321" t="s">
        <v>102</v>
      </c>
      <c r="B75" s="313"/>
      <c r="C75" s="314"/>
      <c r="D75" s="235">
        <v>2260</v>
      </c>
      <c r="E75" s="235">
        <v>2250</v>
      </c>
      <c r="F75" s="235">
        <v>2352</v>
      </c>
      <c r="G75" s="235">
        <v>2260</v>
      </c>
      <c r="H75" s="235">
        <v>2196</v>
      </c>
      <c r="I75" s="235">
        <v>2183</v>
      </c>
      <c r="J75" s="235">
        <v>2196</v>
      </c>
      <c r="K75" s="263">
        <f>L75</f>
        <v>2122</v>
      </c>
      <c r="L75" s="235">
        <v>2122</v>
      </c>
      <c r="M75" s="235">
        <v>2089</v>
      </c>
      <c r="N75" s="235">
        <v>2046</v>
      </c>
      <c r="O75" s="235">
        <v>2037</v>
      </c>
      <c r="P75" s="263">
        <f>O75-P110-P127</f>
        <v>2002.2445881092599</v>
      </c>
      <c r="Q75" s="313">
        <f>P75</f>
        <v>2002.2445881092599</v>
      </c>
      <c r="R75" s="313">
        <f>Q75-R110-R127</f>
        <v>2095.2793653106864</v>
      </c>
      <c r="S75" s="313">
        <f>R75-S110-S127</f>
        <v>2295.1091272342805</v>
      </c>
      <c r="T75" s="313">
        <f>S75-T110-T127</f>
        <v>2531.4569627374913</v>
      </c>
      <c r="U75" s="313">
        <f>T75-U110-U127</f>
        <v>2765.3872979798125</v>
      </c>
      <c r="V75" s="313">
        <f>U75-V110-V127</f>
        <v>2930.8652173334858</v>
      </c>
      <c r="W75" s="1"/>
      <c r="X75" s="1"/>
      <c r="Y75" s="1"/>
      <c r="Z75" s="1"/>
      <c r="AA75" s="1"/>
      <c r="AB75" s="1"/>
    </row>
    <row r="76" spans="1:28" customFormat="1" ht="16" outlineLevel="1" x14ac:dyDescent="0.2">
      <c r="A76" s="263" t="s">
        <v>103</v>
      </c>
      <c r="B76" s="308"/>
      <c r="C76" s="327"/>
      <c r="D76" s="235">
        <v>2612</v>
      </c>
      <c r="E76" s="235">
        <v>2654</v>
      </c>
      <c r="F76" s="235">
        <v>2746</v>
      </c>
      <c r="G76" s="235">
        <v>2758</v>
      </c>
      <c r="H76" s="235">
        <v>2771</v>
      </c>
      <c r="I76" s="235">
        <v>2860</v>
      </c>
      <c r="J76" s="235">
        <v>2842</v>
      </c>
      <c r="K76" s="263">
        <f t="shared" si="28"/>
        <v>2833</v>
      </c>
      <c r="L76" s="235">
        <v>2833</v>
      </c>
      <c r="M76" s="235">
        <v>2821</v>
      </c>
      <c r="N76" s="235">
        <v>2816</v>
      </c>
      <c r="O76" s="235">
        <v>2838</v>
      </c>
      <c r="P76" s="263">
        <f>Q76</f>
        <v>2838</v>
      </c>
      <c r="Q76" s="263">
        <f t="shared" ref="Q76:R78" si="32">O76</f>
        <v>2838</v>
      </c>
      <c r="R76" s="263">
        <f t="shared" si="32"/>
        <v>2838</v>
      </c>
      <c r="S76" s="263">
        <f t="shared" ref="S76:V78" si="33">Q76</f>
        <v>2838</v>
      </c>
      <c r="T76" s="263">
        <f t="shared" si="33"/>
        <v>2838</v>
      </c>
      <c r="U76" s="263">
        <f t="shared" si="33"/>
        <v>2838</v>
      </c>
      <c r="V76" s="263">
        <f t="shared" si="33"/>
        <v>2838</v>
      </c>
      <c r="W76" s="1"/>
      <c r="X76" s="1"/>
      <c r="Y76" s="1"/>
      <c r="Z76" s="1"/>
      <c r="AA76" s="1"/>
      <c r="AB76" s="1"/>
    </row>
    <row r="77" spans="1:28" customFormat="1" ht="16" outlineLevel="1" x14ac:dyDescent="0.2">
      <c r="A77" s="312" t="s">
        <v>104</v>
      </c>
      <c r="B77" s="308"/>
      <c r="C77" s="327"/>
      <c r="D77" s="235">
        <v>986</v>
      </c>
      <c r="E77" s="235">
        <v>1384</v>
      </c>
      <c r="F77" s="235">
        <v>1383</v>
      </c>
      <c r="G77" s="235">
        <v>1383</v>
      </c>
      <c r="H77" s="235">
        <v>1383</v>
      </c>
      <c r="I77" s="235">
        <v>1383</v>
      </c>
      <c r="J77" s="235">
        <v>1383</v>
      </c>
      <c r="K77" s="263">
        <f t="shared" si="28"/>
        <v>908</v>
      </c>
      <c r="L77" s="235">
        <v>908</v>
      </c>
      <c r="M77" s="235">
        <v>908</v>
      </c>
      <c r="N77" s="235">
        <v>908</v>
      </c>
      <c r="O77" s="235">
        <v>790</v>
      </c>
      <c r="P77" s="263">
        <f>Q77</f>
        <v>790</v>
      </c>
      <c r="Q77" s="263">
        <f t="shared" si="32"/>
        <v>790</v>
      </c>
      <c r="R77" s="263">
        <f t="shared" si="32"/>
        <v>790</v>
      </c>
      <c r="S77" s="263">
        <f t="shared" si="33"/>
        <v>790</v>
      </c>
      <c r="T77" s="263">
        <f t="shared" si="33"/>
        <v>790</v>
      </c>
      <c r="U77" s="263">
        <f t="shared" si="33"/>
        <v>790</v>
      </c>
      <c r="V77" s="263">
        <f t="shared" si="33"/>
        <v>790</v>
      </c>
      <c r="W77" s="1"/>
      <c r="X77" s="1"/>
      <c r="Y77" s="1"/>
      <c r="Z77" s="1"/>
      <c r="AA77" s="1"/>
      <c r="AB77" s="1"/>
    </row>
    <row r="78" spans="1:28" customFormat="1" ht="16" outlineLevel="1" x14ac:dyDescent="0.2">
      <c r="A78" s="312" t="s">
        <v>105</v>
      </c>
      <c r="B78" s="308"/>
      <c r="C78" s="327"/>
      <c r="D78" s="333">
        <v>669</v>
      </c>
      <c r="E78" s="333">
        <v>677</v>
      </c>
      <c r="F78" s="333">
        <v>520</v>
      </c>
      <c r="G78" s="333">
        <v>669</v>
      </c>
      <c r="H78" s="333">
        <v>649</v>
      </c>
      <c r="I78" s="333">
        <v>636</v>
      </c>
      <c r="J78" s="333">
        <v>642</v>
      </c>
      <c r="K78" s="378">
        <f t="shared" si="28"/>
        <v>695</v>
      </c>
      <c r="L78" s="333">
        <v>695</v>
      </c>
      <c r="M78" s="333">
        <v>725</v>
      </c>
      <c r="N78" s="333">
        <v>606</v>
      </c>
      <c r="O78" s="333">
        <v>548</v>
      </c>
      <c r="P78" s="378">
        <f>Q78</f>
        <v>548</v>
      </c>
      <c r="Q78" s="317">
        <f t="shared" si="32"/>
        <v>548</v>
      </c>
      <c r="R78" s="317">
        <f t="shared" si="32"/>
        <v>548</v>
      </c>
      <c r="S78" s="317">
        <f t="shared" si="33"/>
        <v>548</v>
      </c>
      <c r="T78" s="317">
        <f t="shared" si="33"/>
        <v>548</v>
      </c>
      <c r="U78" s="317">
        <f t="shared" si="33"/>
        <v>548</v>
      </c>
      <c r="V78" s="317">
        <f t="shared" si="33"/>
        <v>548</v>
      </c>
      <c r="W78" s="1"/>
      <c r="X78" s="1"/>
      <c r="Y78" s="1"/>
      <c r="Z78" s="1"/>
      <c r="AA78" s="1"/>
      <c r="AB78" s="1"/>
    </row>
    <row r="79" spans="1:28" customFormat="1" ht="17" outlineLevel="1" thickBot="1" x14ac:dyDescent="0.25">
      <c r="A79" s="384" t="s">
        <v>106</v>
      </c>
      <c r="B79" s="385"/>
      <c r="C79" s="386"/>
      <c r="D79" s="566">
        <f t="shared" ref="D79:O79" si="34">SUM(D74:D78)</f>
        <v>19067</v>
      </c>
      <c r="E79" s="566">
        <f t="shared" si="34"/>
        <v>17504</v>
      </c>
      <c r="F79" s="566">
        <f t="shared" si="34"/>
        <v>15803</v>
      </c>
      <c r="G79" s="566">
        <f t="shared" si="34"/>
        <v>14967</v>
      </c>
      <c r="H79" s="566">
        <f t="shared" si="34"/>
        <v>14752</v>
      </c>
      <c r="I79" s="566">
        <f t="shared" si="34"/>
        <v>15624</v>
      </c>
      <c r="J79" s="566">
        <f t="shared" si="34"/>
        <v>17018</v>
      </c>
      <c r="K79" s="566">
        <f t="shared" si="34"/>
        <v>14782</v>
      </c>
      <c r="L79" s="566">
        <f t="shared" si="34"/>
        <v>14782</v>
      </c>
      <c r="M79" s="566">
        <f t="shared" si="34"/>
        <v>14128</v>
      </c>
      <c r="N79" s="566">
        <f t="shared" si="34"/>
        <v>15253</v>
      </c>
      <c r="O79" s="566">
        <f t="shared" si="34"/>
        <v>16786</v>
      </c>
      <c r="P79" s="566">
        <f t="shared" ref="P79:V79" si="35">SUM(P74:P78)</f>
        <v>14375.30391463888</v>
      </c>
      <c r="Q79" s="566">
        <f t="shared" si="35"/>
        <v>14375.30391463888</v>
      </c>
      <c r="R79" s="566">
        <f t="shared" si="35"/>
        <v>15304.619867561956</v>
      </c>
      <c r="S79" s="566">
        <f t="shared" si="35"/>
        <v>15510.053850550787</v>
      </c>
      <c r="T79" s="566">
        <f t="shared" si="35"/>
        <v>15160.834271804377</v>
      </c>
      <c r="U79" s="566">
        <f t="shared" si="35"/>
        <v>15346.934872771282</v>
      </c>
      <c r="V79" s="566">
        <f t="shared" si="35"/>
        <v>15569.978895703465</v>
      </c>
      <c r="W79" s="1"/>
      <c r="X79" s="1"/>
      <c r="Y79" s="1"/>
      <c r="Z79" s="1"/>
      <c r="AA79" s="1"/>
      <c r="AB79" s="1"/>
    </row>
    <row r="80" spans="1:28" customFormat="1" ht="17" outlineLevel="1" thickTop="1" x14ac:dyDescent="0.2">
      <c r="A80" s="308" t="s">
        <v>107</v>
      </c>
      <c r="B80" s="263"/>
      <c r="C80" s="7"/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263"/>
      <c r="R80" s="263"/>
      <c r="S80" s="263"/>
      <c r="T80" s="263"/>
      <c r="U80" s="263"/>
      <c r="V80" s="263"/>
      <c r="W80" s="1"/>
      <c r="X80" s="1"/>
      <c r="Y80" s="1"/>
      <c r="Z80" s="1"/>
      <c r="AA80" s="1"/>
      <c r="AB80" s="1"/>
    </row>
    <row r="81" spans="1:28" customFormat="1" ht="16" outlineLevel="1" x14ac:dyDescent="0.2">
      <c r="A81" s="308" t="s">
        <v>108</v>
      </c>
      <c r="B81" s="263"/>
      <c r="C81" s="7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63"/>
      <c r="R81" s="263"/>
      <c r="S81" s="263"/>
      <c r="T81" s="263"/>
      <c r="U81" s="263"/>
      <c r="V81" s="263"/>
      <c r="W81" s="1"/>
      <c r="X81" s="1"/>
      <c r="Y81" s="1"/>
      <c r="Z81" s="1"/>
      <c r="AA81" s="1"/>
      <c r="AB81" s="1"/>
    </row>
    <row r="82" spans="1:28" customFormat="1" ht="16" outlineLevel="1" x14ac:dyDescent="0.2">
      <c r="A82" s="263" t="s">
        <v>109</v>
      </c>
      <c r="B82" s="263"/>
      <c r="C82" s="7"/>
      <c r="D82" s="235">
        <v>6979</v>
      </c>
      <c r="E82" s="235">
        <v>6803</v>
      </c>
      <c r="F82" s="235">
        <v>5687</v>
      </c>
      <c r="G82" s="235">
        <v>4637</v>
      </c>
      <c r="H82" s="235">
        <v>4664</v>
      </c>
      <c r="I82" s="235">
        <v>5542</v>
      </c>
      <c r="J82" s="235">
        <v>7145</v>
      </c>
      <c r="K82" s="263">
        <f>L82</f>
        <v>4980</v>
      </c>
      <c r="L82" s="235">
        <v>4980</v>
      </c>
      <c r="M82" s="235">
        <v>4670</v>
      </c>
      <c r="N82" s="235">
        <v>5682</v>
      </c>
      <c r="O82" s="235">
        <v>7319</v>
      </c>
      <c r="P82" s="263">
        <f>P43*-1*P25/P36</f>
        <v>4861.6797277948717</v>
      </c>
      <c r="Q82" s="263">
        <f>P82</f>
        <v>4861.6797277948717</v>
      </c>
      <c r="R82" s="263">
        <f>R43*-1*R25/R36</f>
        <v>5483.4793542689458</v>
      </c>
      <c r="S82" s="263">
        <f>S43*-1*S25/S36</f>
        <v>5230.3968222948652</v>
      </c>
      <c r="T82" s="263">
        <f>T43*-1*T25/T36</f>
        <v>4679.2431349383596</v>
      </c>
      <c r="U82" s="263">
        <f>U43*-1*U25/U36</f>
        <v>4571.4478420496253</v>
      </c>
      <c r="V82" s="263">
        <f>V43*-1*V25/V36</f>
        <v>4486.310542927733</v>
      </c>
      <c r="W82" s="1"/>
      <c r="X82" s="1"/>
      <c r="Y82" s="1"/>
      <c r="Z82" s="1"/>
      <c r="AA82" s="1"/>
      <c r="AB82" s="1"/>
    </row>
    <row r="83" spans="1:28" customFormat="1" ht="16" outlineLevel="1" x14ac:dyDescent="0.2">
      <c r="A83" s="263" t="s">
        <v>110</v>
      </c>
      <c r="B83" s="263"/>
      <c r="C83" s="7"/>
      <c r="D83" s="235">
        <v>317</v>
      </c>
      <c r="E83" s="235">
        <v>316</v>
      </c>
      <c r="F83" s="235">
        <v>274</v>
      </c>
      <c r="G83" s="235">
        <v>253</v>
      </c>
      <c r="H83" s="235">
        <v>242</v>
      </c>
      <c r="I83" s="235">
        <v>243</v>
      </c>
      <c r="J83" s="235">
        <v>246</v>
      </c>
      <c r="K83" s="263">
        <f t="shared" ref="K83:K89" si="36">L83</f>
        <v>253</v>
      </c>
      <c r="L83" s="235">
        <v>253</v>
      </c>
      <c r="M83" s="235">
        <v>246</v>
      </c>
      <c r="N83" s="235">
        <v>230</v>
      </c>
      <c r="O83" s="235">
        <v>231</v>
      </c>
      <c r="P83" s="263">
        <f t="shared" ref="P83:P89" si="37">Q83</f>
        <v>231</v>
      </c>
      <c r="Q83" s="263">
        <f t="shared" ref="Q83:V83" si="38">O83</f>
        <v>231</v>
      </c>
      <c r="R83" s="263">
        <f t="shared" si="38"/>
        <v>231</v>
      </c>
      <c r="S83" s="263">
        <f t="shared" si="38"/>
        <v>231</v>
      </c>
      <c r="T83" s="263">
        <f t="shared" si="38"/>
        <v>231</v>
      </c>
      <c r="U83" s="263">
        <f t="shared" si="38"/>
        <v>231</v>
      </c>
      <c r="V83" s="263">
        <f t="shared" si="38"/>
        <v>231</v>
      </c>
      <c r="W83" s="1"/>
      <c r="X83" s="1"/>
      <c r="Y83" s="1"/>
      <c r="Z83" s="1"/>
      <c r="AA83" s="1"/>
      <c r="AB83" s="1"/>
    </row>
    <row r="84" spans="1:28" customFormat="1" ht="16" outlineLevel="1" x14ac:dyDescent="0.2">
      <c r="A84" s="263" t="s">
        <v>111</v>
      </c>
      <c r="B84" s="263"/>
      <c r="C84" s="7"/>
      <c r="D84" s="235">
        <v>711</v>
      </c>
      <c r="E84" s="235">
        <v>1103</v>
      </c>
      <c r="F84" s="235">
        <v>1116</v>
      </c>
      <c r="G84" s="235">
        <v>1000</v>
      </c>
      <c r="H84" s="235">
        <v>923</v>
      </c>
      <c r="I84" s="235">
        <v>940</v>
      </c>
      <c r="J84" s="235">
        <v>878</v>
      </c>
      <c r="K84" s="263">
        <f t="shared" si="36"/>
        <v>951</v>
      </c>
      <c r="L84" s="235">
        <v>951</v>
      </c>
      <c r="M84" s="235">
        <v>891</v>
      </c>
      <c r="N84" s="235">
        <v>889</v>
      </c>
      <c r="O84" s="235">
        <v>853</v>
      </c>
      <c r="P84" s="263">
        <f t="shared" si="37"/>
        <v>944.22321899441863</v>
      </c>
      <c r="Q84" s="263">
        <f>Q30*'Segment Revenue Hist &amp; Forecast'!K15</f>
        <v>944.22321899441863</v>
      </c>
      <c r="R84" s="263">
        <f>R29*'Segment Revenue Hist &amp; Forecast'!L15</f>
        <v>902.98264068115839</v>
      </c>
      <c r="S84" s="263">
        <f>S29*'Segment Revenue Hist &amp; Forecast'!M15</f>
        <v>839.86595539598136</v>
      </c>
      <c r="T84" s="263">
        <f>T29*'Segment Revenue Hist &amp; Forecast'!N15</f>
        <v>744.22552464577859</v>
      </c>
      <c r="U84" s="263">
        <f>U29*'Segment Revenue Hist &amp; Forecast'!O15</f>
        <v>723.98223701052416</v>
      </c>
      <c r="V84" s="263">
        <f>V29*'Segment Revenue Hist &amp; Forecast'!P15</f>
        <v>707.32810692549026</v>
      </c>
      <c r="W84" s="1"/>
      <c r="X84" s="1"/>
      <c r="Y84" s="1"/>
      <c r="Z84" s="1"/>
      <c r="AA84" s="1"/>
      <c r="AB84" s="1"/>
    </row>
    <row r="85" spans="1:28" customFormat="1" ht="16" outlineLevel="1" x14ac:dyDescent="0.2">
      <c r="A85" s="263" t="s">
        <v>112</v>
      </c>
      <c r="B85" s="263"/>
      <c r="C85" s="7"/>
      <c r="D85" s="235">
        <v>725</v>
      </c>
      <c r="E85" s="235">
        <v>845</v>
      </c>
      <c r="F85" s="235">
        <v>405</v>
      </c>
      <c r="G85" s="235">
        <v>486</v>
      </c>
      <c r="H85" s="235">
        <v>380</v>
      </c>
      <c r="I85" s="235">
        <v>347</v>
      </c>
      <c r="J85" s="235">
        <v>361</v>
      </c>
      <c r="K85" s="263">
        <f t="shared" si="36"/>
        <v>464</v>
      </c>
      <c r="L85" s="235">
        <v>464</v>
      </c>
      <c r="M85" s="235">
        <v>367</v>
      </c>
      <c r="N85" s="235">
        <v>448</v>
      </c>
      <c r="O85" s="235">
        <v>392</v>
      </c>
      <c r="P85" s="263">
        <f t="shared" si="37"/>
        <v>392</v>
      </c>
      <c r="Q85" s="263">
        <f>O85</f>
        <v>392</v>
      </c>
      <c r="R85" s="263">
        <f>Q85</f>
        <v>392</v>
      </c>
      <c r="S85" s="263">
        <f>R85</f>
        <v>392</v>
      </c>
      <c r="T85" s="263">
        <f>S85</f>
        <v>392</v>
      </c>
      <c r="U85" s="263">
        <f>T85</f>
        <v>392</v>
      </c>
      <c r="V85" s="263">
        <f>U85</f>
        <v>392</v>
      </c>
      <c r="W85" s="1"/>
      <c r="X85" s="1"/>
      <c r="Y85" s="1"/>
      <c r="Z85" s="1"/>
      <c r="AA85" s="1"/>
      <c r="AB85" s="1"/>
    </row>
    <row r="86" spans="1:28" customFormat="1" ht="16" outlineLevel="1" x14ac:dyDescent="0.2">
      <c r="A86" s="263" t="s">
        <v>113</v>
      </c>
      <c r="B86" s="263"/>
      <c r="C86" s="7"/>
      <c r="D86" s="235">
        <v>972</v>
      </c>
      <c r="E86" s="235">
        <v>946</v>
      </c>
      <c r="F86" s="235">
        <v>843</v>
      </c>
      <c r="G86" s="235">
        <v>902</v>
      </c>
      <c r="H86" s="235">
        <v>812</v>
      </c>
      <c r="I86" s="235">
        <v>756</v>
      </c>
      <c r="J86" s="235">
        <v>690</v>
      </c>
      <c r="K86" s="263">
        <f t="shared" si="36"/>
        <v>741</v>
      </c>
      <c r="L86" s="235">
        <v>741</v>
      </c>
      <c r="M86" s="235">
        <v>617</v>
      </c>
      <c r="N86" s="235">
        <v>684</v>
      </c>
      <c r="O86" s="235">
        <v>689</v>
      </c>
      <c r="P86" s="263">
        <f t="shared" si="37"/>
        <v>689</v>
      </c>
      <c r="Q86" s="263">
        <f>O86</f>
        <v>689</v>
      </c>
      <c r="R86" s="263">
        <f>P86</f>
        <v>689</v>
      </c>
      <c r="S86" s="263">
        <f>Q86</f>
        <v>689</v>
      </c>
      <c r="T86" s="263">
        <f>R86</f>
        <v>689</v>
      </c>
      <c r="U86" s="263">
        <f>S86</f>
        <v>689</v>
      </c>
      <c r="V86" s="263">
        <f>T86</f>
        <v>689</v>
      </c>
      <c r="W86" s="1"/>
      <c r="X86" s="1"/>
      <c r="Y86" s="1"/>
      <c r="Z86" s="1"/>
      <c r="AA86" s="1"/>
      <c r="AB86" s="1"/>
    </row>
    <row r="87" spans="1:28" customFormat="1" ht="16" outlineLevel="1" x14ac:dyDescent="0.2">
      <c r="A87" s="263" t="s">
        <v>114</v>
      </c>
      <c r="B87" s="263"/>
      <c r="C87" s="7"/>
      <c r="D87" s="235">
        <v>110</v>
      </c>
      <c r="E87" s="235">
        <v>0</v>
      </c>
      <c r="F87" s="235">
        <v>0</v>
      </c>
      <c r="G87" s="235">
        <v>0</v>
      </c>
      <c r="H87" s="235"/>
      <c r="I87" s="235">
        <v>0</v>
      </c>
      <c r="J87" s="235">
        <v>0</v>
      </c>
      <c r="K87" s="263">
        <f t="shared" si="36"/>
        <v>0</v>
      </c>
      <c r="L87" s="235">
        <v>0</v>
      </c>
      <c r="M87" s="235">
        <v>0</v>
      </c>
      <c r="N87" s="235"/>
      <c r="O87" s="235">
        <v>0</v>
      </c>
      <c r="P87" s="263">
        <f t="shared" si="37"/>
        <v>0</v>
      </c>
      <c r="Q87" s="263">
        <v>0</v>
      </c>
      <c r="R87" s="263">
        <v>0</v>
      </c>
      <c r="S87" s="263">
        <v>0</v>
      </c>
      <c r="T87" s="263">
        <v>0</v>
      </c>
      <c r="U87" s="263">
        <v>0</v>
      </c>
      <c r="V87" s="263">
        <v>0</v>
      </c>
      <c r="W87" s="1"/>
      <c r="X87" s="1"/>
      <c r="Y87" s="1"/>
      <c r="Z87" s="1"/>
      <c r="AA87" s="1"/>
      <c r="AB87" s="1"/>
    </row>
    <row r="88" spans="1:28" customFormat="1" ht="16" outlineLevel="1" x14ac:dyDescent="0.2">
      <c r="A88" s="263" t="s">
        <v>115</v>
      </c>
      <c r="B88" s="263"/>
      <c r="C88" s="7"/>
      <c r="D88" s="235">
        <v>693</v>
      </c>
      <c r="E88" s="235">
        <v>648</v>
      </c>
      <c r="F88" s="235">
        <v>638</v>
      </c>
      <c r="G88" s="235">
        <v>618</v>
      </c>
      <c r="H88" s="235">
        <v>613</v>
      </c>
      <c r="I88" s="235">
        <v>610</v>
      </c>
      <c r="J88" s="235">
        <v>616</v>
      </c>
      <c r="K88" s="263">
        <f t="shared" si="36"/>
        <v>617</v>
      </c>
      <c r="L88" s="235">
        <v>617</v>
      </c>
      <c r="M88" s="235">
        <v>611</v>
      </c>
      <c r="N88" s="235">
        <v>610</v>
      </c>
      <c r="O88" s="235">
        <v>619</v>
      </c>
      <c r="P88" s="263">
        <f t="shared" si="37"/>
        <v>619</v>
      </c>
      <c r="Q88" s="263">
        <f t="shared" ref="Q88:V88" si="39">O88</f>
        <v>619</v>
      </c>
      <c r="R88" s="263">
        <f t="shared" si="39"/>
        <v>619</v>
      </c>
      <c r="S88" s="263">
        <f t="shared" si="39"/>
        <v>619</v>
      </c>
      <c r="T88" s="263">
        <f t="shared" si="39"/>
        <v>619</v>
      </c>
      <c r="U88" s="263">
        <f t="shared" si="39"/>
        <v>619</v>
      </c>
      <c r="V88" s="263">
        <f t="shared" si="39"/>
        <v>619</v>
      </c>
      <c r="W88" s="1"/>
      <c r="X88" s="1"/>
      <c r="Y88" s="1"/>
      <c r="Z88" s="1"/>
      <c r="AA88" s="1"/>
      <c r="AB88" s="1"/>
    </row>
    <row r="89" spans="1:28" customFormat="1" ht="16" outlineLevel="1" x14ac:dyDescent="0.2">
      <c r="A89" s="263" t="s">
        <v>116</v>
      </c>
      <c r="B89" s="263"/>
      <c r="C89" s="7"/>
      <c r="D89" s="333">
        <v>14</v>
      </c>
      <c r="E89" s="333">
        <v>13</v>
      </c>
      <c r="F89" s="333">
        <v>16</v>
      </c>
      <c r="G89" s="333">
        <v>13</v>
      </c>
      <c r="H89" s="380">
        <v>15</v>
      </c>
      <c r="I89" s="380">
        <v>13</v>
      </c>
      <c r="J89" s="380">
        <v>12</v>
      </c>
      <c r="K89" s="263">
        <f t="shared" si="36"/>
        <v>10</v>
      </c>
      <c r="L89" s="315">
        <v>10</v>
      </c>
      <c r="M89" s="315">
        <v>10</v>
      </c>
      <c r="N89" s="315">
        <v>10</v>
      </c>
      <c r="O89" s="315">
        <v>10</v>
      </c>
      <c r="P89" s="263">
        <f t="shared" si="37"/>
        <v>10</v>
      </c>
      <c r="Q89" s="313">
        <f t="shared" ref="Q89:V89" si="40">L89</f>
        <v>10</v>
      </c>
      <c r="R89" s="313">
        <f t="shared" si="40"/>
        <v>10</v>
      </c>
      <c r="S89" s="313">
        <f t="shared" si="40"/>
        <v>10</v>
      </c>
      <c r="T89" s="313">
        <f t="shared" si="40"/>
        <v>10</v>
      </c>
      <c r="U89" s="313">
        <f t="shared" si="40"/>
        <v>10</v>
      </c>
      <c r="V89" s="313">
        <f t="shared" si="40"/>
        <v>10</v>
      </c>
      <c r="W89" s="1"/>
      <c r="X89" s="1"/>
      <c r="Y89" s="1"/>
      <c r="Z89" s="1"/>
      <c r="AA89" s="1"/>
      <c r="AB89" s="1"/>
    </row>
    <row r="90" spans="1:28" customFormat="1" ht="16" outlineLevel="1" x14ac:dyDescent="0.2">
      <c r="A90" s="388" t="s">
        <v>117</v>
      </c>
      <c r="B90" s="389"/>
      <c r="C90" s="12"/>
      <c r="D90" s="308">
        <f t="shared" ref="D90:P90" si="41">SUM(D82:D89)</f>
        <v>10521</v>
      </c>
      <c r="E90" s="308">
        <f t="shared" si="41"/>
        <v>10674</v>
      </c>
      <c r="F90" s="308">
        <f t="shared" si="41"/>
        <v>8979</v>
      </c>
      <c r="G90" s="308">
        <f t="shared" si="41"/>
        <v>7909</v>
      </c>
      <c r="H90" s="308">
        <f t="shared" si="41"/>
        <v>7649</v>
      </c>
      <c r="I90" s="308">
        <f t="shared" si="41"/>
        <v>8451</v>
      </c>
      <c r="J90" s="308">
        <f t="shared" si="41"/>
        <v>9948</v>
      </c>
      <c r="K90" s="389">
        <f>SUM(K82:K89)</f>
        <v>8016</v>
      </c>
      <c r="L90" s="389">
        <f t="shared" si="41"/>
        <v>8016</v>
      </c>
      <c r="M90" s="389">
        <f t="shared" si="41"/>
        <v>7412</v>
      </c>
      <c r="N90" s="389">
        <f t="shared" si="41"/>
        <v>8553</v>
      </c>
      <c r="O90" s="389">
        <f t="shared" si="41"/>
        <v>10113</v>
      </c>
      <c r="P90" s="389">
        <f t="shared" si="41"/>
        <v>7746.9029467892906</v>
      </c>
      <c r="Q90" s="389">
        <f t="shared" ref="Q90:V90" si="42">SUM(Q82:Q89)</f>
        <v>7746.9029467892906</v>
      </c>
      <c r="R90" s="389">
        <f t="shared" si="42"/>
        <v>8327.461994950103</v>
      </c>
      <c r="S90" s="389">
        <f t="shared" si="42"/>
        <v>8011.2627776908466</v>
      </c>
      <c r="T90" s="389">
        <f t="shared" si="42"/>
        <v>7364.4686595841385</v>
      </c>
      <c r="U90" s="389">
        <f t="shared" si="42"/>
        <v>7236.4300790601492</v>
      </c>
      <c r="V90" s="389">
        <f t="shared" si="42"/>
        <v>7134.6386498532229</v>
      </c>
      <c r="W90" s="1"/>
      <c r="X90" s="1"/>
      <c r="Y90" s="1"/>
      <c r="Z90" s="1"/>
      <c r="AA90" s="1"/>
      <c r="AB90" s="1"/>
    </row>
    <row r="91" spans="1:28" customFormat="1" ht="16" outlineLevel="1" x14ac:dyDescent="0.2">
      <c r="A91" s="263" t="s">
        <v>118</v>
      </c>
      <c r="B91" s="263"/>
      <c r="C91" s="7"/>
      <c r="D91" s="235">
        <v>2012</v>
      </c>
      <c r="E91" s="235">
        <v>2061</v>
      </c>
      <c r="F91" s="235">
        <v>2164</v>
      </c>
      <c r="G91" s="235">
        <v>2199</v>
      </c>
      <c r="H91" s="235">
        <v>2222</v>
      </c>
      <c r="I91" s="235">
        <v>2316</v>
      </c>
      <c r="J91" s="235">
        <v>2293</v>
      </c>
      <c r="K91" s="263">
        <f>L91</f>
        <v>2282</v>
      </c>
      <c r="L91" s="235">
        <v>2282</v>
      </c>
      <c r="M91" s="235">
        <v>2277</v>
      </c>
      <c r="N91" s="235">
        <v>2292</v>
      </c>
      <c r="O91" s="235">
        <v>2309</v>
      </c>
      <c r="P91" s="263">
        <f>Q91</f>
        <v>2309</v>
      </c>
      <c r="Q91" s="263">
        <f>O91</f>
        <v>2309</v>
      </c>
      <c r="R91" s="263">
        <f>Q91</f>
        <v>2309</v>
      </c>
      <c r="S91" s="263">
        <f>R91</f>
        <v>2309</v>
      </c>
      <c r="T91" s="263">
        <f>S91</f>
        <v>2309</v>
      </c>
      <c r="U91" s="263">
        <f>T91</f>
        <v>2309</v>
      </c>
      <c r="V91" s="263">
        <f>U91</f>
        <v>2309</v>
      </c>
      <c r="W91" s="1"/>
      <c r="X91" s="1"/>
      <c r="Y91" s="1"/>
      <c r="Z91" s="1"/>
      <c r="AA91" s="1"/>
      <c r="AB91" s="1"/>
    </row>
    <row r="92" spans="1:28" customFormat="1" ht="16" outlineLevel="1" x14ac:dyDescent="0.2">
      <c r="A92" s="263" t="s">
        <v>119</v>
      </c>
      <c r="B92" s="263"/>
      <c r="C92" s="7"/>
      <c r="D92" s="235">
        <v>1253</v>
      </c>
      <c r="E92" s="235">
        <v>1216</v>
      </c>
      <c r="F92" s="235">
        <v>1160</v>
      </c>
      <c r="G92" s="235">
        <v>1152</v>
      </c>
      <c r="H92" s="235">
        <v>1134</v>
      </c>
      <c r="I92" s="235">
        <v>1157</v>
      </c>
      <c r="J92" s="235">
        <v>1144</v>
      </c>
      <c r="K92" s="263">
        <f>L92</f>
        <v>1144</v>
      </c>
      <c r="L92" s="235">
        <v>1144</v>
      </c>
      <c r="M92" s="235">
        <v>1153</v>
      </c>
      <c r="N92" s="235">
        <v>1164</v>
      </c>
      <c r="O92" s="235">
        <v>1155</v>
      </c>
      <c r="P92" s="263">
        <f>Q92</f>
        <v>1155</v>
      </c>
      <c r="Q92" s="263">
        <f>O92</f>
        <v>1155</v>
      </c>
      <c r="R92" s="263">
        <f>P92</f>
        <v>1155</v>
      </c>
      <c r="S92" s="263">
        <f t="shared" ref="S92:V93" si="43">Q92</f>
        <v>1155</v>
      </c>
      <c r="T92" s="263">
        <f t="shared" si="43"/>
        <v>1155</v>
      </c>
      <c r="U92" s="263">
        <f t="shared" si="43"/>
        <v>1155</v>
      </c>
      <c r="V92" s="263">
        <f t="shared" si="43"/>
        <v>1155</v>
      </c>
      <c r="W92" s="1"/>
      <c r="X92" s="1"/>
      <c r="Y92" s="1"/>
      <c r="Z92" s="1"/>
      <c r="AA92" s="1"/>
      <c r="AB92" s="1"/>
    </row>
    <row r="93" spans="1:28" customFormat="1" ht="16" outlineLevel="1" x14ac:dyDescent="0.2">
      <c r="A93" s="263" t="s">
        <v>120</v>
      </c>
      <c r="B93" s="263"/>
      <c r="C93" s="309"/>
      <c r="D93" s="235">
        <v>694</v>
      </c>
      <c r="E93" s="235">
        <v>533</v>
      </c>
      <c r="F93" s="235">
        <v>705</v>
      </c>
      <c r="G93" s="235">
        <v>654</v>
      </c>
      <c r="H93" s="235">
        <v>665</v>
      </c>
      <c r="I93" s="235">
        <v>593</v>
      </c>
      <c r="J93" s="235">
        <v>551</v>
      </c>
      <c r="K93" s="263">
        <f>L93</f>
        <v>532</v>
      </c>
      <c r="L93" s="235">
        <v>532</v>
      </c>
      <c r="M93" s="235">
        <v>523</v>
      </c>
      <c r="N93" s="235">
        <v>528</v>
      </c>
      <c r="O93" s="235">
        <v>556</v>
      </c>
      <c r="P93" s="263">
        <f>Q93</f>
        <v>556</v>
      </c>
      <c r="Q93" s="263">
        <f>O93</f>
        <v>556</v>
      </c>
      <c r="R93" s="263">
        <f>P93</f>
        <v>556</v>
      </c>
      <c r="S93" s="263">
        <f t="shared" si="43"/>
        <v>556</v>
      </c>
      <c r="T93" s="263">
        <f t="shared" si="43"/>
        <v>556</v>
      </c>
      <c r="U93" s="263">
        <f t="shared" si="43"/>
        <v>556</v>
      </c>
      <c r="V93" s="263">
        <f t="shared" si="43"/>
        <v>556</v>
      </c>
      <c r="W93" s="1"/>
      <c r="X93" s="1"/>
      <c r="Y93" s="1"/>
      <c r="Z93" s="1"/>
      <c r="AA93" s="1"/>
      <c r="AB93" s="1"/>
    </row>
    <row r="94" spans="1:28" customFormat="1" ht="17" outlineLevel="1" thickBot="1" x14ac:dyDescent="0.25">
      <c r="A94" s="390" t="s">
        <v>121</v>
      </c>
      <c r="B94" s="390"/>
      <c r="C94" s="391"/>
      <c r="D94" s="390">
        <f t="shared" ref="D94:V94" si="44">SUM(D90:D93)</f>
        <v>14480</v>
      </c>
      <c r="E94" s="390">
        <f t="shared" si="44"/>
        <v>14484</v>
      </c>
      <c r="F94" s="390">
        <f t="shared" si="44"/>
        <v>13008</v>
      </c>
      <c r="G94" s="390">
        <f t="shared" si="44"/>
        <v>11914</v>
      </c>
      <c r="H94" s="390">
        <f t="shared" si="44"/>
        <v>11670</v>
      </c>
      <c r="I94" s="390">
        <f t="shared" si="44"/>
        <v>12517</v>
      </c>
      <c r="J94" s="390">
        <f t="shared" si="44"/>
        <v>13936</v>
      </c>
      <c r="K94" s="390">
        <f t="shared" si="44"/>
        <v>11974</v>
      </c>
      <c r="L94" s="390">
        <f t="shared" si="44"/>
        <v>11974</v>
      </c>
      <c r="M94" s="390">
        <f t="shared" si="44"/>
        <v>11365</v>
      </c>
      <c r="N94" s="390">
        <f t="shared" si="44"/>
        <v>12537</v>
      </c>
      <c r="O94" s="390">
        <f t="shared" si="44"/>
        <v>14133</v>
      </c>
      <c r="P94" s="390">
        <f t="shared" si="44"/>
        <v>11766.902946789291</v>
      </c>
      <c r="Q94" s="390">
        <f t="shared" si="44"/>
        <v>11766.902946789291</v>
      </c>
      <c r="R94" s="390">
        <f t="shared" si="44"/>
        <v>12347.461994950103</v>
      </c>
      <c r="S94" s="390">
        <f t="shared" si="44"/>
        <v>12031.262777690847</v>
      </c>
      <c r="T94" s="390">
        <f t="shared" si="44"/>
        <v>11384.468659584138</v>
      </c>
      <c r="U94" s="390">
        <f t="shared" si="44"/>
        <v>11256.430079060148</v>
      </c>
      <c r="V94" s="390">
        <f t="shared" si="44"/>
        <v>11154.638649853223</v>
      </c>
      <c r="W94" s="1"/>
      <c r="X94" s="1"/>
      <c r="Y94" s="1"/>
      <c r="Z94" s="1"/>
      <c r="AA94" s="1"/>
      <c r="AB94" s="1"/>
    </row>
    <row r="95" spans="1:28" customFormat="1" ht="17" outlineLevel="1" thickTop="1" x14ac:dyDescent="0.2">
      <c r="A95" s="308" t="s">
        <v>122</v>
      </c>
      <c r="B95" s="263"/>
      <c r="C95" s="309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63"/>
      <c r="R95" s="263"/>
      <c r="S95" s="263"/>
      <c r="T95" s="263"/>
      <c r="U95" s="263"/>
      <c r="V95" s="263"/>
      <c r="W95" s="1"/>
      <c r="X95" s="1"/>
      <c r="Y95" s="1"/>
      <c r="Z95" s="1"/>
      <c r="AA95" s="1"/>
      <c r="AB95" s="1"/>
    </row>
    <row r="96" spans="1:28" customFormat="1" ht="16" outlineLevel="1" x14ac:dyDescent="0.2">
      <c r="A96" s="263" t="s">
        <v>123</v>
      </c>
      <c r="B96" s="263"/>
      <c r="C96" s="309"/>
      <c r="D96" s="235">
        <v>26</v>
      </c>
      <c r="E96" s="235">
        <v>23</v>
      </c>
      <c r="F96" s="235">
        <v>43</v>
      </c>
      <c r="G96" s="235">
        <v>53</v>
      </c>
      <c r="H96" s="235">
        <f>22+26</f>
        <v>48</v>
      </c>
      <c r="I96" s="235">
        <v>22</v>
      </c>
      <c r="J96" s="235">
        <v>22</v>
      </c>
      <c r="K96" s="263">
        <f>L96</f>
        <v>22</v>
      </c>
      <c r="L96" s="235">
        <v>22</v>
      </c>
      <c r="M96" s="235">
        <v>22</v>
      </c>
      <c r="N96" s="235">
        <v>22</v>
      </c>
      <c r="O96" s="235">
        <f>22+16</f>
        <v>38</v>
      </c>
      <c r="P96" s="263">
        <f>Q96</f>
        <v>38</v>
      </c>
      <c r="Q96" s="263">
        <f t="shared" ref="Q96:V96" si="45">O96</f>
        <v>38</v>
      </c>
      <c r="R96" s="263">
        <f t="shared" si="45"/>
        <v>38</v>
      </c>
      <c r="S96" s="263">
        <f t="shared" si="45"/>
        <v>38</v>
      </c>
      <c r="T96" s="263">
        <f t="shared" si="45"/>
        <v>38</v>
      </c>
      <c r="U96" s="263">
        <f t="shared" si="45"/>
        <v>38</v>
      </c>
      <c r="V96" s="263">
        <f t="shared" si="45"/>
        <v>38</v>
      </c>
      <c r="W96" s="1"/>
      <c r="X96" s="1"/>
      <c r="Y96" s="1"/>
      <c r="Z96" s="1"/>
      <c r="AA96" s="1"/>
      <c r="AB96" s="1"/>
    </row>
    <row r="97" spans="1:28" customFormat="1" ht="16" outlineLevel="1" x14ac:dyDescent="0.2">
      <c r="A97" s="263" t="s">
        <v>124</v>
      </c>
      <c r="B97" s="263"/>
      <c r="C97" s="309"/>
      <c r="D97" s="235">
        <f>-D98+4233</f>
        <v>4098</v>
      </c>
      <c r="E97" s="235">
        <f>-E98+2668</f>
        <v>2392</v>
      </c>
      <c r="F97" s="235">
        <f>-F98+2430</f>
        <v>2016</v>
      </c>
      <c r="G97" s="235">
        <f>-G98+2683</f>
        <v>2124</v>
      </c>
      <c r="H97" s="235">
        <f>-H98+2722</f>
        <v>2125</v>
      </c>
      <c r="I97" s="235">
        <f>-I98+2775</f>
        <v>2142</v>
      </c>
      <c r="J97" s="235">
        <f>-J98+2751</f>
        <v>2084</v>
      </c>
      <c r="K97" s="263">
        <f>2486-K98</f>
        <v>1788</v>
      </c>
      <c r="L97" s="235">
        <f>-L98+2486</f>
        <v>1788</v>
      </c>
      <c r="M97" s="235">
        <f>-M98+2428</f>
        <v>1690</v>
      </c>
      <c r="N97" s="235">
        <f>-N98+2381</f>
        <v>1608</v>
      </c>
      <c r="O97" s="235">
        <f>-O98+2306</f>
        <v>1502</v>
      </c>
      <c r="P97" s="263">
        <f>O97+P60+P136+P135</f>
        <v>1433.9615173701732</v>
      </c>
      <c r="Q97" s="263">
        <f>P97</f>
        <v>1433.9615173701732</v>
      </c>
      <c r="R97" s="263">
        <f>Q97+R60+SUM(R135:R136)</f>
        <v>1654.4672778426971</v>
      </c>
      <c r="S97" s="263">
        <f>R97+S60+SUM(S135:S136)</f>
        <v>2049.0267308622069</v>
      </c>
      <c r="T97" s="263">
        <f>S97+T60+SUM(T135:T136)</f>
        <v>2220.6941110767566</v>
      </c>
      <c r="U97" s="263">
        <f>T97+U60+SUM(U135:U136)</f>
        <v>2410.0820117571657</v>
      </c>
      <c r="V97" s="263">
        <f>U97+V60+SUM(V135:V136)</f>
        <v>2611.3114499932763</v>
      </c>
      <c r="W97" s="1"/>
      <c r="X97" s="1"/>
      <c r="Y97" s="1"/>
      <c r="Z97" s="1"/>
      <c r="AA97" s="1"/>
      <c r="AB97" s="1"/>
    </row>
    <row r="98" spans="1:28" customFormat="1" ht="16" outlineLevel="1" x14ac:dyDescent="0.2">
      <c r="A98" s="263" t="s">
        <v>125</v>
      </c>
      <c r="B98" s="263"/>
      <c r="C98" s="309"/>
      <c r="D98" s="263">
        <f>SUM($D$113:D113)</f>
        <v>135</v>
      </c>
      <c r="E98" s="263">
        <f>SUM($D$113:E113)</f>
        <v>276</v>
      </c>
      <c r="F98" s="263">
        <f>SUM($D$113:F113)</f>
        <v>414</v>
      </c>
      <c r="G98" s="263">
        <f>SUM($D$113:G113)</f>
        <v>559</v>
      </c>
      <c r="H98" s="263">
        <f>SUM($D$113:H113)</f>
        <v>597</v>
      </c>
      <c r="I98" s="263">
        <f>SUM($D$113:I113)</f>
        <v>633</v>
      </c>
      <c r="J98" s="263">
        <f>SUM($D$113:J113)</f>
        <v>667</v>
      </c>
      <c r="K98" s="263">
        <f>SUM($D$113:K113)</f>
        <v>698</v>
      </c>
      <c r="L98" s="263">
        <f>SUM($D$113:K113)</f>
        <v>698</v>
      </c>
      <c r="M98" s="263">
        <f>SUM($D$113:$K$113,$M$113:M113)</f>
        <v>738</v>
      </c>
      <c r="N98" s="263">
        <f>SUM($D$113:$K$113,$M$113:N113)</f>
        <v>773</v>
      </c>
      <c r="O98" s="263">
        <f>SUM($D$113:$K$113,$M$113:O113)</f>
        <v>804</v>
      </c>
      <c r="P98" s="263">
        <f>SUM($D$113:$K$113,$M$113:P113)</f>
        <v>827.43945047941611</v>
      </c>
      <c r="Q98" s="263">
        <f>SUM($D$113:$K$113,$M$113:$P$113)</f>
        <v>827.43945047941611</v>
      </c>
      <c r="R98" s="263">
        <f>SUM($D$113:$K$113,$M$113:$P$113,$R$113:R113)</f>
        <v>955.6905947691547</v>
      </c>
      <c r="S98" s="263">
        <f>SUM($D$113:$K$113,$M$113:$P$113,$R$113:S113)</f>
        <v>1082.7643419977326</v>
      </c>
      <c r="T98" s="263">
        <f>SUM($D$113:$K$113,$M$113:$P$113,$R$113:T113)</f>
        <v>1208.6715011434815</v>
      </c>
      <c r="U98" s="263">
        <f>SUM($D$113:$K$113,$M$113:$P$113,$R$113:U113)</f>
        <v>1333.4227819539667</v>
      </c>
      <c r="V98" s="263">
        <f>SUM($D$113:$K$113,$M$113:$P$113,$R$113:V113)</f>
        <v>1457.0287958569656</v>
      </c>
      <c r="W98" s="1"/>
      <c r="X98" s="1"/>
      <c r="Y98" s="1"/>
      <c r="Z98" s="1"/>
      <c r="AA98" s="1"/>
      <c r="AB98" s="1"/>
    </row>
    <row r="99" spans="1:28" customFormat="1" ht="16" outlineLevel="1" x14ac:dyDescent="0.2">
      <c r="A99" s="263" t="s">
        <v>126</v>
      </c>
      <c r="B99" s="263"/>
      <c r="C99" s="309"/>
      <c r="D99" s="235">
        <v>328</v>
      </c>
      <c r="E99" s="235">
        <v>329</v>
      </c>
      <c r="F99" s="235">
        <v>322</v>
      </c>
      <c r="G99" s="235">
        <v>317</v>
      </c>
      <c r="H99" s="235">
        <v>312</v>
      </c>
      <c r="I99" s="235">
        <v>310</v>
      </c>
      <c r="J99" s="235">
        <v>309</v>
      </c>
      <c r="K99" s="263">
        <f>L99</f>
        <v>300</v>
      </c>
      <c r="L99" s="235">
        <v>300</v>
      </c>
      <c r="M99" s="235">
        <v>313</v>
      </c>
      <c r="N99" s="235">
        <v>313</v>
      </c>
      <c r="O99" s="235">
        <v>309</v>
      </c>
      <c r="P99" s="263">
        <f>Q99</f>
        <v>309</v>
      </c>
      <c r="Q99" s="263">
        <f t="shared" ref="Q99:V99" si="46">O99</f>
        <v>309</v>
      </c>
      <c r="R99" s="263">
        <f t="shared" si="46"/>
        <v>309</v>
      </c>
      <c r="S99" s="263">
        <f t="shared" si="46"/>
        <v>309</v>
      </c>
      <c r="T99" s="263">
        <f t="shared" si="46"/>
        <v>309</v>
      </c>
      <c r="U99" s="263">
        <f t="shared" si="46"/>
        <v>309</v>
      </c>
      <c r="V99" s="263">
        <f t="shared" si="46"/>
        <v>309</v>
      </c>
      <c r="W99" s="1"/>
      <c r="X99" s="1"/>
      <c r="Y99" s="1"/>
      <c r="Z99" s="1"/>
      <c r="AA99" s="1"/>
      <c r="AB99" s="1"/>
    </row>
    <row r="100" spans="1:28" customFormat="1" ht="16" outlineLevel="1" x14ac:dyDescent="0.2">
      <c r="A100" s="392" t="s">
        <v>122</v>
      </c>
      <c r="B100" s="392"/>
      <c r="C100" s="393"/>
      <c r="D100" s="392">
        <f t="shared" ref="D100:L100" si="47">SUM(D96:D99)</f>
        <v>4587</v>
      </c>
      <c r="E100" s="392">
        <f t="shared" si="47"/>
        <v>3020</v>
      </c>
      <c r="F100" s="392">
        <f t="shared" si="47"/>
        <v>2795</v>
      </c>
      <c r="G100" s="392">
        <f t="shared" si="47"/>
        <v>3053</v>
      </c>
      <c r="H100" s="392">
        <f>SUM(H96:H99)</f>
        <v>3082</v>
      </c>
      <c r="I100" s="392">
        <f>SUM(I96:I99)</f>
        <v>3107</v>
      </c>
      <c r="J100" s="392">
        <f>SUM(J96:J99)</f>
        <v>3082</v>
      </c>
      <c r="K100" s="392">
        <f>SUM(K96:K99)</f>
        <v>2808</v>
      </c>
      <c r="L100" s="392">
        <f t="shared" si="47"/>
        <v>2808</v>
      </c>
      <c r="M100" s="392">
        <f t="shared" ref="M100:V100" si="48">SUM(M96:M99)</f>
        <v>2763</v>
      </c>
      <c r="N100" s="392">
        <f t="shared" si="48"/>
        <v>2716</v>
      </c>
      <c r="O100" s="392">
        <f t="shared" si="48"/>
        <v>2653</v>
      </c>
      <c r="P100" s="392">
        <f t="shared" si="48"/>
        <v>2608.4009678495895</v>
      </c>
      <c r="Q100" s="392">
        <f t="shared" si="48"/>
        <v>2608.4009678495895</v>
      </c>
      <c r="R100" s="392">
        <f t="shared" si="48"/>
        <v>2957.1578726118519</v>
      </c>
      <c r="S100" s="392">
        <f t="shared" si="48"/>
        <v>3478.7910728599395</v>
      </c>
      <c r="T100" s="392">
        <f t="shared" si="48"/>
        <v>3776.3656122202383</v>
      </c>
      <c r="U100" s="392">
        <f t="shared" si="48"/>
        <v>4090.5047937111322</v>
      </c>
      <c r="V100" s="392">
        <f t="shared" si="48"/>
        <v>4415.3402458502424</v>
      </c>
      <c r="W100" s="1"/>
      <c r="X100" s="1"/>
      <c r="Y100" s="1"/>
      <c r="Z100" s="1"/>
      <c r="AA100" s="1"/>
      <c r="AB100" s="1"/>
    </row>
    <row r="101" spans="1:28" customFormat="1" ht="17" outlineLevel="1" thickBot="1" x14ac:dyDescent="0.25">
      <c r="A101" s="336" t="s">
        <v>127</v>
      </c>
      <c r="B101" s="336"/>
      <c r="C101" s="337"/>
      <c r="D101" s="336">
        <f t="shared" ref="D101:V101" si="49">D94+D100</f>
        <v>19067</v>
      </c>
      <c r="E101" s="336">
        <f t="shared" si="49"/>
        <v>17504</v>
      </c>
      <c r="F101" s="336">
        <f t="shared" si="49"/>
        <v>15803</v>
      </c>
      <c r="G101" s="336">
        <f t="shared" si="49"/>
        <v>14967</v>
      </c>
      <c r="H101" s="336">
        <f t="shared" si="49"/>
        <v>14752</v>
      </c>
      <c r="I101" s="336">
        <f t="shared" si="49"/>
        <v>15624</v>
      </c>
      <c r="J101" s="336">
        <f t="shared" si="49"/>
        <v>17018</v>
      </c>
      <c r="K101" s="336">
        <f t="shared" si="49"/>
        <v>14782</v>
      </c>
      <c r="L101" s="336">
        <f t="shared" si="49"/>
        <v>14782</v>
      </c>
      <c r="M101" s="336">
        <f t="shared" si="49"/>
        <v>14128</v>
      </c>
      <c r="N101" s="336">
        <f t="shared" si="49"/>
        <v>15253</v>
      </c>
      <c r="O101" s="336">
        <f t="shared" si="49"/>
        <v>16786</v>
      </c>
      <c r="P101" s="336">
        <f t="shared" si="49"/>
        <v>14375.30391463888</v>
      </c>
      <c r="Q101" s="336">
        <f t="shared" si="49"/>
        <v>14375.30391463888</v>
      </c>
      <c r="R101" s="336">
        <f t="shared" si="49"/>
        <v>15304.619867561954</v>
      </c>
      <c r="S101" s="336">
        <f t="shared" si="49"/>
        <v>15510.053850550787</v>
      </c>
      <c r="T101" s="336">
        <f t="shared" si="49"/>
        <v>15160.834271804375</v>
      </c>
      <c r="U101" s="336">
        <f t="shared" si="49"/>
        <v>15346.93487277128</v>
      </c>
      <c r="V101" s="336">
        <f t="shared" si="49"/>
        <v>15569.978895703465</v>
      </c>
      <c r="W101" s="1"/>
      <c r="X101" s="1"/>
      <c r="Y101" s="1"/>
      <c r="Z101" s="1"/>
      <c r="AA101" s="1"/>
      <c r="AB101" s="1"/>
    </row>
    <row r="102" spans="1:28" customFormat="1" ht="17" outlineLevel="1" thickTop="1" x14ac:dyDescent="0.2">
      <c r="A102" s="263"/>
      <c r="B102" s="263"/>
      <c r="C102" s="309"/>
      <c r="D102" s="235"/>
      <c r="E102" s="235"/>
      <c r="F102" s="235"/>
      <c r="G102" s="235"/>
      <c r="H102" s="235"/>
      <c r="I102" s="235"/>
      <c r="J102" s="235"/>
      <c r="K102" s="235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3"/>
      <c r="W102" s="1"/>
      <c r="X102" s="1"/>
      <c r="Y102" s="1"/>
      <c r="Z102" s="1"/>
      <c r="AA102" s="1"/>
      <c r="AB102" s="1"/>
    </row>
    <row r="103" spans="1:28" customFormat="1" ht="16" outlineLevel="1" x14ac:dyDescent="0.2">
      <c r="A103" s="365" t="s">
        <v>128</v>
      </c>
      <c r="B103" s="394"/>
      <c r="C103" s="395"/>
      <c r="D103" s="394">
        <f t="shared" ref="D103:N103" si="50">D101-D79</f>
        <v>0</v>
      </c>
      <c r="E103" s="394">
        <f t="shared" si="50"/>
        <v>0</v>
      </c>
      <c r="F103" s="394">
        <f t="shared" si="50"/>
        <v>0</v>
      </c>
      <c r="G103" s="394">
        <f t="shared" si="50"/>
        <v>0</v>
      </c>
      <c r="H103" s="394">
        <f t="shared" si="50"/>
        <v>0</v>
      </c>
      <c r="I103" s="394">
        <f t="shared" si="50"/>
        <v>0</v>
      </c>
      <c r="J103" s="394">
        <f t="shared" si="50"/>
        <v>0</v>
      </c>
      <c r="K103" s="394">
        <f t="shared" si="50"/>
        <v>0</v>
      </c>
      <c r="L103" s="394">
        <f t="shared" si="50"/>
        <v>0</v>
      </c>
      <c r="M103" s="394">
        <f t="shared" si="50"/>
        <v>0</v>
      </c>
      <c r="N103" s="394">
        <f t="shared" si="50"/>
        <v>0</v>
      </c>
      <c r="O103" s="394">
        <f>O101-O79</f>
        <v>0</v>
      </c>
      <c r="P103" s="394">
        <f>P101-P79</f>
        <v>0</v>
      </c>
      <c r="Q103" s="394">
        <f t="shared" ref="Q103:V103" si="51">Q101-Q79</f>
        <v>0</v>
      </c>
      <c r="R103" s="394">
        <f t="shared" si="51"/>
        <v>0</v>
      </c>
      <c r="S103" s="394">
        <f t="shared" si="51"/>
        <v>0</v>
      </c>
      <c r="T103" s="394">
        <f t="shared" si="51"/>
        <v>0</v>
      </c>
      <c r="U103" s="394">
        <f t="shared" si="51"/>
        <v>0</v>
      </c>
      <c r="V103" s="394">
        <f t="shared" si="51"/>
        <v>0</v>
      </c>
      <c r="W103" s="1"/>
      <c r="X103" s="1"/>
      <c r="Y103" s="1"/>
      <c r="Z103" s="1"/>
      <c r="AA103" s="1"/>
      <c r="AB103" s="1"/>
    </row>
    <row r="104" spans="1:28" customFormat="1" ht="16" outlineLevel="1" x14ac:dyDescent="0.2">
      <c r="A104" s="394"/>
      <c r="B104" s="394"/>
      <c r="C104" s="395"/>
      <c r="D104" s="394"/>
      <c r="E104" s="394"/>
      <c r="F104" s="394"/>
      <c r="G104" s="394"/>
      <c r="H104" s="394"/>
      <c r="I104" s="394"/>
      <c r="J104" s="394"/>
      <c r="K104" s="394"/>
      <c r="L104" s="394"/>
      <c r="M104" s="394"/>
      <c r="N104" s="394"/>
      <c r="O104" s="394"/>
      <c r="P104" s="394"/>
      <c r="Q104" s="394"/>
      <c r="R104" s="394"/>
      <c r="S104" s="394"/>
      <c r="T104" s="394"/>
      <c r="U104" s="394"/>
      <c r="V104" s="394"/>
      <c r="W104" s="1"/>
      <c r="X104" s="1"/>
      <c r="Y104" s="1"/>
      <c r="Z104" s="1"/>
      <c r="AA104" s="1"/>
      <c r="AB104" s="1"/>
    </row>
    <row r="105" spans="1:28" customFormat="1" ht="16" x14ac:dyDescent="0.2">
      <c r="A105" s="1"/>
      <c r="B105" s="1"/>
      <c r="C105" s="2"/>
      <c r="D105" s="3"/>
      <c r="E105" s="3"/>
      <c r="F105" s="3"/>
      <c r="G105" s="3"/>
      <c r="H105" s="3"/>
      <c r="I105" s="3"/>
      <c r="J105" s="3"/>
      <c r="K105" s="3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customFormat="1" ht="20" x14ac:dyDescent="0.2">
      <c r="A106" s="251" t="s">
        <v>394</v>
      </c>
      <c r="B106" s="251"/>
      <c r="C106" s="251"/>
      <c r="D106" s="251"/>
      <c r="E106" s="251"/>
      <c r="F106" s="251"/>
      <c r="G106" s="251"/>
      <c r="H106" s="251"/>
      <c r="I106" s="251"/>
      <c r="J106" s="251"/>
      <c r="K106" s="251"/>
      <c r="L106" s="251"/>
      <c r="M106" s="251"/>
      <c r="N106" s="251"/>
      <c r="O106" s="251"/>
      <c r="P106" s="251"/>
      <c r="Q106" s="251"/>
      <c r="R106" s="251"/>
      <c r="S106" s="251"/>
      <c r="T106" s="251"/>
      <c r="U106" s="251"/>
      <c r="V106" s="251"/>
      <c r="W106" s="1"/>
      <c r="X106" s="1"/>
      <c r="Y106" s="1"/>
      <c r="Z106" s="1"/>
      <c r="AA106" s="1"/>
      <c r="AB106" s="1"/>
    </row>
    <row r="107" spans="1:28" customFormat="1" ht="16" outlineLevel="1" x14ac:dyDescent="0.2">
      <c r="A107" s="4"/>
      <c r="B107" s="1"/>
      <c r="C107" s="2"/>
      <c r="D107" s="3"/>
      <c r="E107" s="3"/>
      <c r="F107" s="3"/>
      <c r="G107" s="3"/>
      <c r="H107" s="3"/>
      <c r="I107" s="3"/>
      <c r="J107" s="3"/>
      <c r="K107" s="3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customFormat="1" ht="16" outlineLevel="1" x14ac:dyDescent="0.2">
      <c r="A108" s="308" t="s">
        <v>129</v>
      </c>
      <c r="B108" s="263"/>
      <c r="C108" s="309"/>
      <c r="D108" s="235"/>
      <c r="E108" s="235"/>
      <c r="F108" s="235"/>
      <c r="G108" s="235"/>
      <c r="H108" s="235"/>
      <c r="I108" s="235"/>
      <c r="J108" s="235"/>
      <c r="K108" s="235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3"/>
      <c r="W108" s="1"/>
      <c r="X108" s="1"/>
      <c r="Y108" s="1"/>
      <c r="Z108" s="1"/>
      <c r="AA108" s="1"/>
      <c r="AB108" s="1"/>
    </row>
    <row r="109" spans="1:28" customFormat="1" ht="16" outlineLevel="1" x14ac:dyDescent="0.2">
      <c r="A109" s="263" t="s">
        <v>130</v>
      </c>
      <c r="B109" s="263"/>
      <c r="C109" s="309"/>
      <c r="D109" s="263">
        <f t="shared" ref="D109:U109" si="52">D60</f>
        <v>1798</v>
      </c>
      <c r="E109" s="263">
        <f t="shared" si="52"/>
        <v>2454</v>
      </c>
      <c r="F109" s="263">
        <f t="shared" si="52"/>
        <v>1419</v>
      </c>
      <c r="G109" s="263">
        <f t="shared" si="52"/>
        <v>1241</v>
      </c>
      <c r="H109" s="263">
        <f>H60</f>
        <v>246</v>
      </c>
      <c r="I109" s="263">
        <f>I60</f>
        <v>291</v>
      </c>
      <c r="J109" s="263">
        <f>J60</f>
        <v>273</v>
      </c>
      <c r="K109" s="263">
        <f>L109-SUM(H109:J109)</f>
        <v>117</v>
      </c>
      <c r="L109" s="263">
        <f t="shared" si="52"/>
        <v>927</v>
      </c>
      <c r="M109" s="263">
        <f t="shared" si="52"/>
        <v>133</v>
      </c>
      <c r="N109" s="263">
        <f t="shared" si="52"/>
        <v>151</v>
      </c>
      <c r="O109" s="263">
        <f>O60</f>
        <v>529</v>
      </c>
      <c r="P109" s="263">
        <f>P60</f>
        <v>505.82340874875013</v>
      </c>
      <c r="Q109" s="263">
        <f>SUM(M109:P109)</f>
        <v>1318.8234087487501</v>
      </c>
      <c r="R109" s="263">
        <f t="shared" si="52"/>
        <v>1845.7776754227482</v>
      </c>
      <c r="S109" s="263">
        <f t="shared" si="52"/>
        <v>1771.5146653346028</v>
      </c>
      <c r="T109" s="263">
        <f t="shared" si="52"/>
        <v>1409.864524404376</v>
      </c>
      <c r="U109" s="263">
        <f t="shared" si="52"/>
        <v>1452.474639225089</v>
      </c>
      <c r="V109" s="263">
        <f>V60</f>
        <v>1506.9883122686097</v>
      </c>
      <c r="W109" s="1"/>
      <c r="X109" s="1"/>
      <c r="Y109" s="1"/>
      <c r="Z109" s="1"/>
      <c r="AA109" s="1"/>
      <c r="AB109" s="1"/>
    </row>
    <row r="110" spans="1:28" customFormat="1" ht="16" outlineLevel="1" x14ac:dyDescent="0.2">
      <c r="A110" s="263" t="s">
        <v>131</v>
      </c>
      <c r="B110" s="263"/>
      <c r="C110" s="309"/>
      <c r="D110" s="235">
        <v>839</v>
      </c>
      <c r="E110" s="235">
        <v>869</v>
      </c>
      <c r="F110" s="235">
        <v>918</v>
      </c>
      <c r="G110" s="235">
        <v>923</v>
      </c>
      <c r="H110" s="263">
        <f>-H49</f>
        <v>219</v>
      </c>
      <c r="I110" s="263">
        <f>-I49</f>
        <v>218</v>
      </c>
      <c r="J110" s="263">
        <f>-J49</f>
        <v>213</v>
      </c>
      <c r="K110" s="263">
        <f t="shared" ref="K110:K123" si="53">L110-SUM(H110:J110)</f>
        <v>216</v>
      </c>
      <c r="L110" s="235">
        <v>866</v>
      </c>
      <c r="M110" s="263">
        <f>-M49</f>
        <v>211</v>
      </c>
      <c r="N110" s="263">
        <f>-N49</f>
        <v>211</v>
      </c>
      <c r="O110" s="263">
        <f>-O49</f>
        <v>206</v>
      </c>
      <c r="P110" s="263">
        <f>-P49</f>
        <v>185.64396825396824</v>
      </c>
      <c r="Q110" s="263">
        <f t="shared" ref="Q110:Q123" si="54">SUM(M110:P110)</f>
        <v>813.6439682539683</v>
      </c>
      <c r="R110" s="263">
        <f>-R49</f>
        <v>612.66260116589069</v>
      </c>
      <c r="S110" s="263">
        <f>-S49</f>
        <v>483.26034685296156</v>
      </c>
      <c r="T110" s="263">
        <f>-T49</f>
        <v>397.6374407215817</v>
      </c>
      <c r="U110" s="263">
        <f>-U49</f>
        <v>389.98150929758577</v>
      </c>
      <c r="V110" s="263">
        <f>-V49</f>
        <v>450.70308856957342</v>
      </c>
      <c r="W110" s="1"/>
      <c r="X110" s="1"/>
      <c r="Y110" s="1"/>
      <c r="Z110" s="1"/>
      <c r="AA110" s="1"/>
      <c r="AB110" s="1"/>
    </row>
    <row r="111" spans="1:28" customFormat="1" ht="16" outlineLevel="1" x14ac:dyDescent="0.2">
      <c r="A111" s="263" t="s">
        <v>84</v>
      </c>
      <c r="B111" s="263"/>
      <c r="C111" s="309"/>
      <c r="D111" s="263">
        <f t="shared" ref="D111:L112" si="55">-D50</f>
        <v>254</v>
      </c>
      <c r="E111" s="263">
        <f t="shared" si="55"/>
        <v>-34</v>
      </c>
      <c r="F111" s="263">
        <f t="shared" si="55"/>
        <v>147</v>
      </c>
      <c r="G111" s="263">
        <f t="shared" si="55"/>
        <v>153</v>
      </c>
      <c r="H111" s="263">
        <f t="shared" si="55"/>
        <v>15</v>
      </c>
      <c r="I111" s="263">
        <f t="shared" si="55"/>
        <v>-7</v>
      </c>
      <c r="J111" s="263">
        <f t="shared" si="55"/>
        <v>-4</v>
      </c>
      <c r="K111" s="263">
        <f t="shared" si="53"/>
        <v>-7</v>
      </c>
      <c r="L111" s="263">
        <f t="shared" si="55"/>
        <v>-3</v>
      </c>
      <c r="M111" s="263">
        <f t="shared" ref="M111:O112" si="56">-M50</f>
        <v>109</v>
      </c>
      <c r="N111" s="263">
        <f t="shared" si="56"/>
        <v>114</v>
      </c>
      <c r="O111" s="263">
        <f t="shared" si="56"/>
        <v>-5</v>
      </c>
      <c r="P111" s="263">
        <v>0</v>
      </c>
      <c r="Q111" s="263">
        <f t="shared" si="54"/>
        <v>218</v>
      </c>
      <c r="R111" s="263">
        <v>0</v>
      </c>
      <c r="S111" s="263">
        <v>0</v>
      </c>
      <c r="T111" s="263">
        <v>0</v>
      </c>
      <c r="U111" s="263">
        <v>0</v>
      </c>
      <c r="V111" s="263">
        <v>0</v>
      </c>
      <c r="W111" s="1"/>
      <c r="X111" s="1"/>
      <c r="Y111" s="1"/>
      <c r="Z111" s="1"/>
      <c r="AA111" s="1"/>
      <c r="AB111" s="1"/>
    </row>
    <row r="112" spans="1:28" customFormat="1" ht="16" outlineLevel="1" x14ac:dyDescent="0.2">
      <c r="A112" s="263" t="s">
        <v>85</v>
      </c>
      <c r="B112" s="263"/>
      <c r="C112" s="309"/>
      <c r="D112" s="263">
        <f t="shared" si="55"/>
        <v>0</v>
      </c>
      <c r="E112" s="263">
        <f t="shared" si="55"/>
        <v>0</v>
      </c>
      <c r="F112" s="263">
        <f t="shared" si="55"/>
        <v>0</v>
      </c>
      <c r="G112" s="263">
        <f t="shared" si="55"/>
        <v>0</v>
      </c>
      <c r="H112" s="263">
        <f t="shared" si="55"/>
        <v>0</v>
      </c>
      <c r="I112" s="263">
        <f t="shared" si="55"/>
        <v>0</v>
      </c>
      <c r="J112" s="263">
        <f t="shared" si="55"/>
        <v>0</v>
      </c>
      <c r="K112" s="263">
        <f t="shared" si="53"/>
        <v>475</v>
      </c>
      <c r="L112" s="263">
        <f t="shared" si="55"/>
        <v>475</v>
      </c>
      <c r="M112" s="263">
        <f t="shared" si="56"/>
        <v>0</v>
      </c>
      <c r="N112" s="263">
        <f t="shared" si="56"/>
        <v>0</v>
      </c>
      <c r="O112" s="263">
        <f t="shared" si="56"/>
        <v>171</v>
      </c>
      <c r="P112" s="263">
        <v>0</v>
      </c>
      <c r="Q112" s="263">
        <f t="shared" si="54"/>
        <v>171</v>
      </c>
      <c r="R112" s="263">
        <v>0</v>
      </c>
      <c r="S112" s="263">
        <v>0</v>
      </c>
      <c r="T112" s="263">
        <v>0</v>
      </c>
      <c r="U112" s="263">
        <v>0</v>
      </c>
      <c r="V112" s="263">
        <v>0</v>
      </c>
      <c r="W112" s="1"/>
      <c r="X112" s="1"/>
      <c r="Y112" s="1"/>
      <c r="Z112" s="1"/>
      <c r="AA112" s="1"/>
      <c r="AB112" s="1"/>
    </row>
    <row r="113" spans="1:28" customFormat="1" ht="16" outlineLevel="1" x14ac:dyDescent="0.2">
      <c r="A113" s="263" t="s">
        <v>132</v>
      </c>
      <c r="B113" s="263"/>
      <c r="C113" s="309"/>
      <c r="D113" s="235">
        <v>135</v>
      </c>
      <c r="E113" s="235">
        <v>141</v>
      </c>
      <c r="F113" s="235">
        <v>138</v>
      </c>
      <c r="G113" s="235">
        <v>145</v>
      </c>
      <c r="H113" s="235">
        <v>38</v>
      </c>
      <c r="I113" s="235">
        <f>74-H113</f>
        <v>36</v>
      </c>
      <c r="J113" s="235">
        <f>108-SUM(H113:I113)</f>
        <v>34</v>
      </c>
      <c r="K113" s="263">
        <f t="shared" si="53"/>
        <v>31</v>
      </c>
      <c r="L113" s="235">
        <v>139</v>
      </c>
      <c r="M113" s="235">
        <v>40</v>
      </c>
      <c r="N113" s="235">
        <f>75-M113</f>
        <v>35</v>
      </c>
      <c r="O113" s="235">
        <f>106-SUM(M113:N113)</f>
        <v>31</v>
      </c>
      <c r="P113" s="263">
        <f>Q113-SUM(M113:O113)</f>
        <v>23.439450479416053</v>
      </c>
      <c r="Q113" s="263">
        <f>Q8*Q11*Q160</f>
        <v>129.43945047941605</v>
      </c>
      <c r="R113" s="263">
        <f>R11*R8*R160</f>
        <v>128.25114428973859</v>
      </c>
      <c r="S113" s="263">
        <f>S11*S8*S160</f>
        <v>127.07374722857796</v>
      </c>
      <c r="T113" s="263">
        <f>T11*T8*T160</f>
        <v>125.90715914574891</v>
      </c>
      <c r="U113" s="263">
        <f>U11*U8*U160</f>
        <v>124.7512808104852</v>
      </c>
      <c r="V113" s="263">
        <f>V11*V8*V160</f>
        <v>123.60601390299887</v>
      </c>
      <c r="W113" s="1"/>
      <c r="X113" s="1"/>
      <c r="Y113" s="1"/>
      <c r="Z113" s="1"/>
      <c r="AA113" s="1"/>
      <c r="AB113" s="1"/>
    </row>
    <row r="114" spans="1:28" customFormat="1" ht="16" outlineLevel="1" x14ac:dyDescent="0.2">
      <c r="A114" s="263" t="s">
        <v>133</v>
      </c>
      <c r="B114" s="263"/>
      <c r="C114" s="309"/>
      <c r="D114" s="235">
        <v>-36</v>
      </c>
      <c r="E114" s="235">
        <v>14</v>
      </c>
      <c r="F114" s="235">
        <v>51</v>
      </c>
      <c r="G114" s="235">
        <v>-214</v>
      </c>
      <c r="H114" s="235">
        <v>14</v>
      </c>
      <c r="I114" s="235">
        <f>10-H114</f>
        <v>-4</v>
      </c>
      <c r="J114" s="235">
        <f>1-SUM(H114:I114)</f>
        <v>-9</v>
      </c>
      <c r="K114" s="263">
        <f t="shared" si="53"/>
        <v>-60</v>
      </c>
      <c r="L114" s="235">
        <v>-59</v>
      </c>
      <c r="M114" s="235">
        <v>-51</v>
      </c>
      <c r="N114" s="235">
        <f>45-M114</f>
        <v>96</v>
      </c>
      <c r="O114" s="235">
        <f>37-SUM(M114:N114)</f>
        <v>-8</v>
      </c>
      <c r="P114" s="263">
        <v>0</v>
      </c>
      <c r="Q114" s="263">
        <f t="shared" si="54"/>
        <v>37</v>
      </c>
      <c r="R114" s="263">
        <v>0</v>
      </c>
      <c r="S114" s="263">
        <v>0</v>
      </c>
      <c r="T114" s="263">
        <v>0</v>
      </c>
      <c r="U114" s="263">
        <v>0</v>
      </c>
      <c r="V114" s="263">
        <v>0</v>
      </c>
      <c r="W114" s="1"/>
      <c r="X114" s="1"/>
      <c r="Y114" s="1"/>
      <c r="Z114" s="1"/>
      <c r="AA114" s="1"/>
      <c r="AB114" s="1"/>
    </row>
    <row r="115" spans="1:28" customFormat="1" ht="16" outlineLevel="1" x14ac:dyDescent="0.2">
      <c r="A115" s="263" t="s">
        <v>488</v>
      </c>
      <c r="B115" s="263"/>
      <c r="C115" s="309"/>
      <c r="D115" s="235">
        <v>0</v>
      </c>
      <c r="E115" s="235">
        <v>0</v>
      </c>
      <c r="F115" s="235">
        <v>0</v>
      </c>
      <c r="G115" s="235">
        <v>-21</v>
      </c>
      <c r="H115" s="235">
        <v>-51</v>
      </c>
      <c r="I115" s="235">
        <f>0-H115</f>
        <v>51</v>
      </c>
      <c r="J115" s="235">
        <f>4-SUM(H115:I115)</f>
        <v>4</v>
      </c>
      <c r="K115" s="263">
        <v>0</v>
      </c>
      <c r="L115" s="235">
        <v>0</v>
      </c>
      <c r="M115" s="235">
        <v>0</v>
      </c>
      <c r="N115" s="235">
        <f>4-M115</f>
        <v>4</v>
      </c>
      <c r="O115" s="235">
        <f>4-SUM(M115:N115)</f>
        <v>0</v>
      </c>
      <c r="P115" s="263">
        <v>0</v>
      </c>
      <c r="Q115" s="263">
        <f t="shared" si="54"/>
        <v>4</v>
      </c>
      <c r="R115" s="263">
        <v>0</v>
      </c>
      <c r="S115" s="263">
        <v>0</v>
      </c>
      <c r="T115" s="263">
        <v>0</v>
      </c>
      <c r="U115" s="263">
        <v>0</v>
      </c>
      <c r="V115" s="263">
        <v>0</v>
      </c>
      <c r="W115" s="1"/>
      <c r="X115" s="1"/>
      <c r="Y115" s="1"/>
      <c r="Z115" s="1"/>
      <c r="AA115" s="1"/>
      <c r="AB115" s="1"/>
    </row>
    <row r="116" spans="1:28" customFormat="1" ht="16" outlineLevel="1" x14ac:dyDescent="0.2">
      <c r="A116" s="263" t="s">
        <v>134</v>
      </c>
      <c r="B116" s="263"/>
      <c r="C116" s="309"/>
      <c r="D116" s="235">
        <v>3</v>
      </c>
      <c r="E116" s="235">
        <v>11</v>
      </c>
      <c r="F116" s="235">
        <v>12</v>
      </c>
      <c r="G116" s="235">
        <v>26</v>
      </c>
      <c r="H116" s="235">
        <v>-2</v>
      </c>
      <c r="I116" s="235">
        <f>2-H116</f>
        <v>4</v>
      </c>
      <c r="J116" s="235">
        <f>0+2-SUM(H116:I116)</f>
        <v>0</v>
      </c>
      <c r="K116" s="263">
        <f t="shared" si="53"/>
        <v>10</v>
      </c>
      <c r="L116" s="235">
        <v>12</v>
      </c>
      <c r="M116" s="235">
        <v>-2</v>
      </c>
      <c r="N116" s="235">
        <f>4-M116</f>
        <v>6</v>
      </c>
      <c r="O116" s="235">
        <f>27-SUM(M116:N116)</f>
        <v>23</v>
      </c>
      <c r="P116" s="263">
        <f>P84-O84</f>
        <v>91.22321899441863</v>
      </c>
      <c r="Q116" s="263">
        <f t="shared" si="54"/>
        <v>118.22321899441863</v>
      </c>
      <c r="R116" s="263">
        <v>0</v>
      </c>
      <c r="S116" s="263">
        <v>0</v>
      </c>
      <c r="T116" s="263">
        <v>0</v>
      </c>
      <c r="U116" s="263">
        <v>0</v>
      </c>
      <c r="V116" s="263">
        <v>0</v>
      </c>
      <c r="W116" s="1"/>
      <c r="X116" s="1"/>
      <c r="Y116" s="1"/>
      <c r="Z116" s="1"/>
      <c r="AA116" s="1"/>
      <c r="AB116" s="1"/>
    </row>
    <row r="117" spans="1:28" customFormat="1" ht="16" outlineLevel="1" x14ac:dyDescent="0.2">
      <c r="A117" s="263" t="s">
        <v>135</v>
      </c>
      <c r="B117" s="263"/>
      <c r="C117" s="309"/>
      <c r="D117" s="235"/>
      <c r="E117" s="235"/>
      <c r="F117" s="235"/>
      <c r="G117" s="235"/>
      <c r="H117" s="235"/>
      <c r="I117" s="235"/>
      <c r="J117" s="235"/>
      <c r="K117" s="263"/>
      <c r="L117" s="235"/>
      <c r="M117" s="235"/>
      <c r="N117" s="235"/>
      <c r="O117" s="235"/>
      <c r="P117" s="263"/>
      <c r="Q117" s="263"/>
      <c r="R117" s="263"/>
      <c r="S117" s="263"/>
      <c r="T117" s="263"/>
      <c r="U117" s="263"/>
      <c r="V117" s="263"/>
      <c r="W117" s="1"/>
      <c r="X117" s="1"/>
      <c r="Y117" s="1"/>
      <c r="Z117" s="1"/>
      <c r="AA117" s="1"/>
      <c r="AB117" s="1"/>
    </row>
    <row r="118" spans="1:28" customFormat="1" ht="16" outlineLevel="1" x14ac:dyDescent="0.2">
      <c r="A118" s="323" t="s">
        <v>98</v>
      </c>
      <c r="B118" s="263"/>
      <c r="C118" s="309"/>
      <c r="D118" s="235">
        <v>73</v>
      </c>
      <c r="E118" s="235">
        <v>17</v>
      </c>
      <c r="F118" s="235">
        <v>-103</v>
      </c>
      <c r="G118" s="235">
        <v>204</v>
      </c>
      <c r="H118" s="235">
        <v>168</v>
      </c>
      <c r="I118" s="235">
        <f>66-H118</f>
        <v>-102</v>
      </c>
      <c r="J118" s="235">
        <f>4-SUM(H118:I118)</f>
        <v>-62</v>
      </c>
      <c r="K118" s="263">
        <f t="shared" si="53"/>
        <v>-115</v>
      </c>
      <c r="L118" s="235">
        <v>-111</v>
      </c>
      <c r="M118" s="235">
        <v>298</v>
      </c>
      <c r="N118" s="235">
        <f>123-M118</f>
        <v>-175</v>
      </c>
      <c r="O118" s="235">
        <f>23-SUM(M118:N118)</f>
        <v>-100</v>
      </c>
      <c r="P118" s="263">
        <f>O71-P71</f>
        <v>-7.109377258578661</v>
      </c>
      <c r="Q118" s="263">
        <f t="shared" si="54"/>
        <v>15.890622741421339</v>
      </c>
      <c r="R118" s="263">
        <f t="shared" ref="R118:V119" si="57">Q71-R71</f>
        <v>26.06367980308255</v>
      </c>
      <c r="S118" s="263">
        <f t="shared" si="57"/>
        <v>46.06344180747783</v>
      </c>
      <c r="T118" s="263">
        <f t="shared" si="57"/>
        <v>100.3152434365694</v>
      </c>
      <c r="U118" s="263">
        <f t="shared" si="57"/>
        <v>19.619774475817167</v>
      </c>
      <c r="V118" s="263">
        <f t="shared" si="57"/>
        <v>15.495802863821496</v>
      </c>
      <c r="W118" s="1"/>
      <c r="X118" s="1"/>
      <c r="Y118" s="1"/>
      <c r="Z118" s="1"/>
      <c r="AA118" s="1"/>
      <c r="AB118" s="1"/>
    </row>
    <row r="119" spans="1:28" customFormat="1" ht="16" outlineLevel="1" x14ac:dyDescent="0.2">
      <c r="A119" s="323" t="s">
        <v>99</v>
      </c>
      <c r="B119" s="263"/>
      <c r="C119" s="309"/>
      <c r="D119" s="235">
        <v>-435</v>
      </c>
      <c r="E119" s="235">
        <v>-328</v>
      </c>
      <c r="F119" s="235">
        <v>809</v>
      </c>
      <c r="G119" s="235">
        <v>178</v>
      </c>
      <c r="H119" s="235">
        <v>-273</v>
      </c>
      <c r="I119" s="235">
        <f>-761-H119</f>
        <v>-488</v>
      </c>
      <c r="J119" s="235">
        <f>-2869-SUM(H119:I119)</f>
        <v>-2108</v>
      </c>
      <c r="K119" s="263">
        <f t="shared" si="53"/>
        <v>2714</v>
      </c>
      <c r="L119" s="235">
        <v>-155</v>
      </c>
      <c r="M119" s="235">
        <v>-95</v>
      </c>
      <c r="N119" s="235">
        <f>-717-M119</f>
        <v>-622</v>
      </c>
      <c r="O119" s="235">
        <f>-2903-SUM(M119:N119)</f>
        <v>-2186</v>
      </c>
      <c r="P119" s="263">
        <f>O72-P72</f>
        <v>3028.8149767395735</v>
      </c>
      <c r="Q119" s="263">
        <f t="shared" si="54"/>
        <v>125.81497673957347</v>
      </c>
      <c r="R119" s="263">
        <f t="shared" si="57"/>
        <v>-109.19336341344206</v>
      </c>
      <c r="S119" s="263">
        <f t="shared" si="57"/>
        <v>234.15487955879689</v>
      </c>
      <c r="T119" s="263">
        <f t="shared" si="57"/>
        <v>509.93375273551919</v>
      </c>
      <c r="U119" s="263">
        <f t="shared" si="57"/>
        <v>99.733449110393849</v>
      </c>
      <c r="V119" s="263">
        <f t="shared" si="57"/>
        <v>78.770011767900542</v>
      </c>
      <c r="W119" s="1"/>
      <c r="X119" s="1"/>
      <c r="Y119" s="1"/>
      <c r="Z119" s="1"/>
      <c r="AA119" s="1"/>
      <c r="AB119" s="1"/>
    </row>
    <row r="120" spans="1:28" customFormat="1" ht="16" outlineLevel="1" x14ac:dyDescent="0.2">
      <c r="A120" s="323" t="s">
        <v>105</v>
      </c>
      <c r="B120" s="263"/>
      <c r="C120" s="309"/>
      <c r="D120" s="235">
        <v>-51</v>
      </c>
      <c r="E120" s="235">
        <v>-14</v>
      </c>
      <c r="F120" s="235">
        <v>-21</v>
      </c>
      <c r="G120" s="235">
        <v>-18</v>
      </c>
      <c r="H120" s="235">
        <v>-8</v>
      </c>
      <c r="I120" s="235">
        <f>-11-H120</f>
        <v>-3</v>
      </c>
      <c r="J120" s="235">
        <f>-16-SUM(H120:I120)</f>
        <v>-5</v>
      </c>
      <c r="K120" s="263">
        <f t="shared" si="53"/>
        <v>27</v>
      </c>
      <c r="L120" s="235">
        <v>11</v>
      </c>
      <c r="M120" s="235">
        <v>7</v>
      </c>
      <c r="N120" s="235">
        <f>-24-M120</f>
        <v>-31</v>
      </c>
      <c r="O120" s="235">
        <f>3-SUM(M120:N120)</f>
        <v>27</v>
      </c>
      <c r="P120" s="263">
        <f>P73-O73</f>
        <v>0</v>
      </c>
      <c r="Q120" s="263">
        <f t="shared" si="54"/>
        <v>3</v>
      </c>
      <c r="R120" s="263">
        <v>0</v>
      </c>
      <c r="S120" s="263">
        <v>0</v>
      </c>
      <c r="T120" s="263">
        <v>0</v>
      </c>
      <c r="U120" s="263">
        <v>0</v>
      </c>
      <c r="V120" s="263">
        <v>0</v>
      </c>
      <c r="W120" s="1"/>
      <c r="X120" s="1"/>
      <c r="Y120" s="1"/>
      <c r="Z120" s="1"/>
      <c r="AA120" s="1"/>
      <c r="AB120" s="1"/>
    </row>
    <row r="121" spans="1:28" customFormat="1" ht="16" outlineLevel="1" x14ac:dyDescent="0.2">
      <c r="A121" s="323" t="s">
        <v>109</v>
      </c>
      <c r="B121" s="263"/>
      <c r="C121" s="309"/>
      <c r="D121" s="235">
        <v>1676</v>
      </c>
      <c r="E121" s="235">
        <v>-201</v>
      </c>
      <c r="F121" s="235">
        <v>-1099</v>
      </c>
      <c r="G121" s="235">
        <v>-1025</v>
      </c>
      <c r="H121" s="235">
        <v>43</v>
      </c>
      <c r="I121" s="235">
        <f>904-H121</f>
        <v>861</v>
      </c>
      <c r="J121" s="235">
        <f>2483-SUM(H121:I121)</f>
        <v>1579</v>
      </c>
      <c r="K121" s="263">
        <f t="shared" si="53"/>
        <v>-2125</v>
      </c>
      <c r="L121" s="235">
        <v>358</v>
      </c>
      <c r="M121" s="235">
        <v>-330</v>
      </c>
      <c r="N121" s="235">
        <f>693-M121</f>
        <v>1023</v>
      </c>
      <c r="O121" s="235">
        <f>2315-SUM(M121:N121)</f>
        <v>1622</v>
      </c>
      <c r="P121" s="263">
        <f>P82-O82</f>
        <v>-2457.3202722051283</v>
      </c>
      <c r="Q121" s="263">
        <f>SUM(M121:P121)</f>
        <v>-142.32027220512828</v>
      </c>
      <c r="R121" s="263">
        <f>R82-Q82</f>
        <v>621.7996264740741</v>
      </c>
      <c r="S121" s="263">
        <f>S82-R82</f>
        <v>-253.08253197408067</v>
      </c>
      <c r="T121" s="263">
        <f>T82-S82</f>
        <v>-551.15368735650554</v>
      </c>
      <c r="U121" s="263">
        <f>U82-T82</f>
        <v>-107.79529288873437</v>
      </c>
      <c r="V121" s="263">
        <f>V82-U82</f>
        <v>-85.137299121892283</v>
      </c>
      <c r="W121" s="1"/>
      <c r="X121" s="1"/>
      <c r="Y121" s="1"/>
      <c r="Z121" s="1"/>
      <c r="AA121" s="1"/>
      <c r="AB121" s="1"/>
    </row>
    <row r="122" spans="1:28" customFormat="1" ht="16" outlineLevel="1" x14ac:dyDescent="0.2">
      <c r="A122" s="323" t="s">
        <v>136</v>
      </c>
      <c r="B122" s="263"/>
      <c r="C122" s="309"/>
      <c r="D122" s="235">
        <v>173</v>
      </c>
      <c r="E122" s="235">
        <v>-156</v>
      </c>
      <c r="F122" s="235">
        <v>36</v>
      </c>
      <c r="G122" s="235">
        <v>52</v>
      </c>
      <c r="H122" s="235">
        <v>13</v>
      </c>
      <c r="I122" s="235">
        <f>-183-H122</f>
        <v>-196</v>
      </c>
      <c r="J122" s="235">
        <f>-219-SUM(H122:I122)</f>
        <v>-36</v>
      </c>
      <c r="K122" s="263">
        <f t="shared" si="53"/>
        <v>7</v>
      </c>
      <c r="L122" s="235">
        <v>-212</v>
      </c>
      <c r="M122" s="235">
        <v>7</v>
      </c>
      <c r="N122" s="235">
        <f>-167-M122</f>
        <v>-174</v>
      </c>
      <c r="O122" s="235">
        <f>-133-SUM(M122:N122)</f>
        <v>34</v>
      </c>
      <c r="P122" s="263">
        <v>0</v>
      </c>
      <c r="Q122" s="263">
        <f t="shared" si="54"/>
        <v>-133</v>
      </c>
      <c r="R122" s="263">
        <v>0</v>
      </c>
      <c r="S122" s="263">
        <v>0</v>
      </c>
      <c r="T122" s="263">
        <v>0</v>
      </c>
      <c r="U122" s="263">
        <v>0</v>
      </c>
      <c r="V122" s="263">
        <v>0</v>
      </c>
      <c r="W122" s="1"/>
      <c r="X122" s="1"/>
      <c r="Y122" s="1"/>
      <c r="Z122" s="1"/>
      <c r="AA122" s="1"/>
      <c r="AB122" s="1"/>
    </row>
    <row r="123" spans="1:28" customFormat="1" ht="16" outlineLevel="1" x14ac:dyDescent="0.2">
      <c r="A123" s="323" t="s">
        <v>137</v>
      </c>
      <c r="B123" s="263"/>
      <c r="C123" s="309"/>
      <c r="D123" s="235">
        <v>498</v>
      </c>
      <c r="E123" s="235">
        <v>479</v>
      </c>
      <c r="F123" s="235">
        <v>-483</v>
      </c>
      <c r="G123" s="235">
        <v>-174</v>
      </c>
      <c r="H123" s="235">
        <v>-317</v>
      </c>
      <c r="I123" s="235">
        <f>-266-H123</f>
        <v>51</v>
      </c>
      <c r="J123" s="235">
        <f>-397-SUM(H123:I123)</f>
        <v>-131</v>
      </c>
      <c r="K123" s="263">
        <f t="shared" si="53"/>
        <v>247</v>
      </c>
      <c r="L123" s="235">
        <v>-150</v>
      </c>
      <c r="M123" s="235">
        <v>-362</v>
      </c>
      <c r="N123" s="235">
        <f>-286-M123</f>
        <v>76</v>
      </c>
      <c r="O123" s="235">
        <f>-340-SUM(M123:N123)</f>
        <v>-54</v>
      </c>
      <c r="P123" s="263">
        <v>0</v>
      </c>
      <c r="Q123" s="263">
        <f t="shared" si="54"/>
        <v>-340</v>
      </c>
      <c r="R123" s="263">
        <f>SUM(R84:R86)-SUM(Q84:Q86)</f>
        <v>-41.24057831326013</v>
      </c>
      <c r="S123" s="263">
        <f>SUM(S84:S86)-SUM(R84:R86)</f>
        <v>-63.116685285177027</v>
      </c>
      <c r="T123" s="263">
        <f>SUM(T84:T86)-SUM(S84:S86)</f>
        <v>-95.640430750202995</v>
      </c>
      <c r="U123" s="263">
        <f>SUM(U84:U86)-SUM(T84:T86)</f>
        <v>-20.243287635254319</v>
      </c>
      <c r="V123" s="263">
        <f>SUM(V84:V86)-SUM(U84:U86)</f>
        <v>-16.654130085033785</v>
      </c>
      <c r="W123" s="1"/>
      <c r="X123" s="1"/>
      <c r="Y123" s="1"/>
      <c r="Z123" s="1"/>
      <c r="AA123" s="1"/>
      <c r="AB123" s="1"/>
    </row>
    <row r="124" spans="1:28" customFormat="1" ht="16" outlineLevel="1" x14ac:dyDescent="0.2">
      <c r="A124" s="324" t="s">
        <v>138</v>
      </c>
      <c r="B124" s="310"/>
      <c r="C124" s="311"/>
      <c r="D124" s="324">
        <f>SUM(D109:D123)</f>
        <v>4927</v>
      </c>
      <c r="E124" s="324">
        <f>SUM(E109:E123)</f>
        <v>3252</v>
      </c>
      <c r="F124" s="324">
        <f>SUM(F109:F123)</f>
        <v>1824</v>
      </c>
      <c r="G124" s="324">
        <f t="shared" ref="G124:O124" si="58">SUM(G109:G123)</f>
        <v>1470</v>
      </c>
      <c r="H124" s="324">
        <f t="shared" si="58"/>
        <v>105</v>
      </c>
      <c r="I124" s="324">
        <f t="shared" si="58"/>
        <v>712</v>
      </c>
      <c r="J124" s="324">
        <f t="shared" si="58"/>
        <v>-252</v>
      </c>
      <c r="K124" s="324">
        <f>SUM(K109:K123)</f>
        <v>1537</v>
      </c>
      <c r="L124" s="324">
        <f t="shared" si="58"/>
        <v>2098</v>
      </c>
      <c r="M124" s="324">
        <f t="shared" si="58"/>
        <v>-35</v>
      </c>
      <c r="N124" s="324">
        <f>SUM(N109:N123)</f>
        <v>714</v>
      </c>
      <c r="O124" s="324">
        <f t="shared" si="58"/>
        <v>290</v>
      </c>
      <c r="P124" s="324">
        <f t="shared" ref="P124:V124" si="59">SUM(P109:P123)</f>
        <v>1370.5153737524197</v>
      </c>
      <c r="Q124" s="324">
        <f t="shared" si="59"/>
        <v>2339.5153737524192</v>
      </c>
      <c r="R124" s="324">
        <f t="shared" si="59"/>
        <v>3084.1207854288323</v>
      </c>
      <c r="S124" s="324">
        <f t="shared" si="59"/>
        <v>2345.867863523159</v>
      </c>
      <c r="T124" s="324">
        <f t="shared" si="59"/>
        <v>1896.8640023370867</v>
      </c>
      <c r="U124" s="324">
        <f t="shared" si="59"/>
        <v>1958.5220723953823</v>
      </c>
      <c r="V124" s="324">
        <f t="shared" si="59"/>
        <v>2073.7718001659778</v>
      </c>
      <c r="W124" s="1"/>
      <c r="X124" s="1"/>
      <c r="Y124" s="1"/>
      <c r="Z124" s="1"/>
      <c r="AA124" s="1"/>
      <c r="AB124" s="1"/>
    </row>
    <row r="125" spans="1:28" customFormat="1" ht="16" outlineLevel="1" x14ac:dyDescent="0.2">
      <c r="A125" s="308"/>
      <c r="B125" s="263"/>
      <c r="C125" s="309"/>
      <c r="D125" s="325"/>
      <c r="E125" s="325"/>
      <c r="F125" s="326"/>
      <c r="G125" s="326"/>
      <c r="H125" s="326"/>
      <c r="I125" s="326"/>
      <c r="J125" s="326"/>
      <c r="K125" s="326"/>
      <c r="L125" s="326"/>
      <c r="M125" s="326"/>
      <c r="N125" s="326"/>
      <c r="O125" s="326"/>
      <c r="P125" s="326"/>
      <c r="Q125" s="308"/>
      <c r="R125" s="308"/>
      <c r="S125" s="308"/>
      <c r="T125" s="308"/>
      <c r="U125" s="308"/>
      <c r="V125" s="308"/>
      <c r="W125" s="1"/>
      <c r="X125" s="1"/>
      <c r="Y125" s="1"/>
      <c r="Z125" s="1"/>
      <c r="AA125" s="1"/>
      <c r="AB125" s="1"/>
    </row>
    <row r="126" spans="1:28" customFormat="1" ht="16" outlineLevel="1" x14ac:dyDescent="0.2">
      <c r="A126" s="308" t="s">
        <v>139</v>
      </c>
      <c r="B126" s="263"/>
      <c r="C126" s="309"/>
      <c r="D126" s="235"/>
      <c r="E126" s="235"/>
      <c r="F126" s="235"/>
      <c r="G126" s="235"/>
      <c r="H126" s="235"/>
      <c r="I126" s="235"/>
      <c r="J126" s="235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1"/>
      <c r="X126" s="1"/>
      <c r="Y126" s="1"/>
      <c r="Z126" s="1"/>
      <c r="AA126" s="1"/>
      <c r="AB126" s="1"/>
    </row>
    <row r="127" spans="1:28" customFormat="1" ht="16" outlineLevel="1" x14ac:dyDescent="0.2">
      <c r="A127" s="263" t="s">
        <v>140</v>
      </c>
      <c r="B127" s="263"/>
      <c r="C127" s="309"/>
      <c r="D127" s="235">
        <f>-713</f>
        <v>-713</v>
      </c>
      <c r="E127" s="235">
        <f>-737</f>
        <v>-737</v>
      </c>
      <c r="F127" s="235">
        <f>-930</f>
        <v>-930</v>
      </c>
      <c r="G127" s="235">
        <f>-795</f>
        <v>-795</v>
      </c>
      <c r="H127" s="235">
        <v>-152</v>
      </c>
      <c r="I127" s="235">
        <f>-335-H127</f>
        <v>-183</v>
      </c>
      <c r="J127" s="235">
        <v>-528</v>
      </c>
      <c r="K127" s="263">
        <f>L127-SUM(H127:J127)</f>
        <v>157</v>
      </c>
      <c r="L127" s="235">
        <v>-706</v>
      </c>
      <c r="M127" s="235">
        <v>-166</v>
      </c>
      <c r="N127" s="235">
        <f>-341-M127</f>
        <v>-175</v>
      </c>
      <c r="O127" s="235">
        <f>-529-SUM(M127:N127)</f>
        <v>-188</v>
      </c>
      <c r="P127" s="263">
        <f>Q127-SUM(M127:O127)</f>
        <v>-150.8885563632283</v>
      </c>
      <c r="Q127" s="263">
        <f t="shared" ref="Q127:V127" si="60">Q156+Q161+Q166</f>
        <v>-679.8885563632283</v>
      </c>
      <c r="R127" s="263">
        <f t="shared" si="60"/>
        <v>-705.69737836731724</v>
      </c>
      <c r="S127" s="263">
        <f t="shared" si="60"/>
        <v>-683.09010877655544</v>
      </c>
      <c r="T127" s="263">
        <f t="shared" si="60"/>
        <v>-633.98527622479264</v>
      </c>
      <c r="U127" s="263">
        <f t="shared" si="60"/>
        <v>-623.91184453990695</v>
      </c>
      <c r="V127" s="263">
        <f t="shared" si="60"/>
        <v>-616.18100792324708</v>
      </c>
      <c r="W127" s="1"/>
      <c r="X127" s="1"/>
      <c r="Y127" s="1"/>
      <c r="Z127" s="1"/>
      <c r="AA127" s="1"/>
      <c r="AB127" s="1"/>
    </row>
    <row r="128" spans="1:28" customFormat="1" ht="16" outlineLevel="1" x14ac:dyDescent="0.2">
      <c r="A128" s="263" t="s">
        <v>141</v>
      </c>
      <c r="B128" s="263"/>
      <c r="C128" s="309"/>
      <c r="D128" s="235">
        <v>-620</v>
      </c>
      <c r="E128" s="235">
        <v>-233</v>
      </c>
      <c r="F128" s="235">
        <v>-46</v>
      </c>
      <c r="G128" s="235">
        <v>-9</v>
      </c>
      <c r="H128" s="235">
        <v>0</v>
      </c>
      <c r="I128" s="235">
        <v>0</v>
      </c>
      <c r="J128" s="235">
        <v>0</v>
      </c>
      <c r="K128" s="263">
        <f>L128-SUM(H128:J128)</f>
        <v>-26</v>
      </c>
      <c r="L128" s="235">
        <v>-26</v>
      </c>
      <c r="M128" s="235">
        <v>0</v>
      </c>
      <c r="N128" s="235">
        <v>0</v>
      </c>
      <c r="O128" s="235">
        <v>0</v>
      </c>
      <c r="P128" s="263">
        <v>0</v>
      </c>
      <c r="Q128" s="263">
        <f>SUM(M128:P128)</f>
        <v>0</v>
      </c>
      <c r="R128" s="263">
        <v>0</v>
      </c>
      <c r="S128" s="263">
        <v>0</v>
      </c>
      <c r="T128" s="263">
        <v>0</v>
      </c>
      <c r="U128" s="263">
        <v>0</v>
      </c>
      <c r="V128" s="263">
        <v>0</v>
      </c>
      <c r="W128" s="1"/>
      <c r="X128" s="1"/>
      <c r="Y128" s="1"/>
      <c r="Z128" s="1"/>
      <c r="AA128" s="1"/>
      <c r="AB128" s="1"/>
    </row>
    <row r="129" spans="1:28" customFormat="1" ht="16" outlineLevel="1" x14ac:dyDescent="0.2">
      <c r="A129" s="263" t="s">
        <v>142</v>
      </c>
      <c r="B129" s="263"/>
      <c r="C129" s="309"/>
      <c r="D129" s="235">
        <v>546</v>
      </c>
      <c r="E129" s="235">
        <v>66</v>
      </c>
      <c r="F129" s="235">
        <v>0</v>
      </c>
      <c r="G129" s="235">
        <v>14</v>
      </c>
      <c r="H129" s="235">
        <v>0</v>
      </c>
      <c r="I129" s="235">
        <v>0</v>
      </c>
      <c r="J129" s="235">
        <v>0</v>
      </c>
      <c r="K129" s="263">
        <f>L129-SUM(H129:J129)</f>
        <v>0</v>
      </c>
      <c r="L129" s="235">
        <v>0</v>
      </c>
      <c r="M129" s="235">
        <v>0</v>
      </c>
      <c r="N129" s="235">
        <f>-27-M129</f>
        <v>-27</v>
      </c>
      <c r="O129" s="235">
        <f>-27-SUM(M129:N129)</f>
        <v>0</v>
      </c>
      <c r="P129" s="263">
        <v>0</v>
      </c>
      <c r="Q129" s="263">
        <f>SUM(M129:P129)</f>
        <v>-27</v>
      </c>
      <c r="R129" s="263">
        <v>0</v>
      </c>
      <c r="S129" s="263">
        <v>0</v>
      </c>
      <c r="T129" s="263">
        <v>0</v>
      </c>
      <c r="U129" s="263">
        <v>0</v>
      </c>
      <c r="V129" s="263">
        <v>0</v>
      </c>
      <c r="W129" s="1"/>
      <c r="X129" s="1"/>
      <c r="Y129" s="1"/>
      <c r="Z129" s="1"/>
      <c r="AA129" s="1"/>
      <c r="AB129" s="1"/>
    </row>
    <row r="130" spans="1:28" customFormat="1" ht="16" outlineLevel="1" x14ac:dyDescent="0.2">
      <c r="A130" s="263" t="s">
        <v>143</v>
      </c>
      <c r="B130" s="263"/>
      <c r="C130" s="309"/>
      <c r="D130" s="235">
        <v>0</v>
      </c>
      <c r="E130" s="235">
        <v>-468</v>
      </c>
      <c r="F130" s="235">
        <v>7</v>
      </c>
      <c r="G130" s="235">
        <v>7</v>
      </c>
      <c r="H130" s="235">
        <v>0</v>
      </c>
      <c r="I130" s="235">
        <v>0</v>
      </c>
      <c r="J130" s="235">
        <v>0</v>
      </c>
      <c r="K130" s="263">
        <f>L130-SUM(H130:J130)</f>
        <v>20</v>
      </c>
      <c r="L130" s="235">
        <v>20</v>
      </c>
      <c r="M130" s="235">
        <v>0</v>
      </c>
      <c r="N130" s="235">
        <v>0</v>
      </c>
      <c r="O130" s="235">
        <v>0</v>
      </c>
      <c r="P130" s="263">
        <v>0</v>
      </c>
      <c r="Q130" s="263">
        <f>SUM(M130:P130)</f>
        <v>0</v>
      </c>
      <c r="R130" s="263">
        <v>0</v>
      </c>
      <c r="S130" s="263">
        <v>0</v>
      </c>
      <c r="T130" s="263">
        <v>0</v>
      </c>
      <c r="U130" s="263">
        <v>0</v>
      </c>
      <c r="V130" s="263">
        <v>0</v>
      </c>
      <c r="W130" s="1"/>
      <c r="X130" s="1"/>
      <c r="Y130" s="1"/>
      <c r="Z130" s="1"/>
      <c r="AA130" s="1"/>
      <c r="AB130" s="1"/>
    </row>
    <row r="131" spans="1:28" customFormat="1" ht="16" outlineLevel="1" x14ac:dyDescent="0.2">
      <c r="A131" s="263" t="s">
        <v>134</v>
      </c>
      <c r="B131" s="263"/>
      <c r="C131" s="309"/>
      <c r="D131" s="235">
        <v>-1</v>
      </c>
      <c r="E131" s="235">
        <v>0</v>
      </c>
      <c r="F131" s="235">
        <v>7</v>
      </c>
      <c r="G131" s="235">
        <v>2</v>
      </c>
      <c r="H131" s="235">
        <v>-15</v>
      </c>
      <c r="I131" s="235">
        <f>-17-H131</f>
        <v>-2</v>
      </c>
      <c r="J131" s="235">
        <f>6-SUM(H131:I131)</f>
        <v>23</v>
      </c>
      <c r="K131" s="263">
        <f>L131-SUM(H131:J131)</f>
        <v>2</v>
      </c>
      <c r="L131" s="235">
        <v>8</v>
      </c>
      <c r="M131" s="235">
        <v>0</v>
      </c>
      <c r="N131" s="235">
        <f>-1-M131</f>
        <v>-1</v>
      </c>
      <c r="O131" s="235">
        <f>1-SUM(M131:N131)</f>
        <v>2</v>
      </c>
      <c r="P131" s="263">
        <v>0</v>
      </c>
      <c r="Q131" s="263">
        <f>SUM(M131:P131)</f>
        <v>1</v>
      </c>
      <c r="R131" s="263">
        <v>0</v>
      </c>
      <c r="S131" s="263">
        <v>0</v>
      </c>
      <c r="T131" s="263">
        <v>0</v>
      </c>
      <c r="U131" s="263">
        <v>0</v>
      </c>
      <c r="V131" s="263">
        <v>0</v>
      </c>
      <c r="W131" s="1"/>
      <c r="X131" s="1"/>
      <c r="Y131" s="1"/>
      <c r="Z131" s="1"/>
      <c r="AA131" s="1"/>
      <c r="AB131" s="1"/>
    </row>
    <row r="132" spans="1:28" customFormat="1" ht="16" outlineLevel="1" x14ac:dyDescent="0.2">
      <c r="A132" s="324" t="s">
        <v>144</v>
      </c>
      <c r="B132" s="310"/>
      <c r="C132" s="311"/>
      <c r="D132" s="324">
        <f t="shared" ref="D132:P132" si="61">SUM(D127:D131)</f>
        <v>-788</v>
      </c>
      <c r="E132" s="324">
        <f t="shared" si="61"/>
        <v>-1372</v>
      </c>
      <c r="F132" s="324">
        <f t="shared" si="61"/>
        <v>-962</v>
      </c>
      <c r="G132" s="324">
        <f t="shared" si="61"/>
        <v>-781</v>
      </c>
      <c r="H132" s="324">
        <f t="shared" si="61"/>
        <v>-167</v>
      </c>
      <c r="I132" s="324">
        <f t="shared" si="61"/>
        <v>-185</v>
      </c>
      <c r="J132" s="324">
        <f t="shared" si="61"/>
        <v>-505</v>
      </c>
      <c r="K132" s="324">
        <f>SUM(K127:K131)</f>
        <v>153</v>
      </c>
      <c r="L132" s="324">
        <f t="shared" si="61"/>
        <v>-704</v>
      </c>
      <c r="M132" s="324">
        <f t="shared" si="61"/>
        <v>-166</v>
      </c>
      <c r="N132" s="324">
        <f t="shared" si="61"/>
        <v>-203</v>
      </c>
      <c r="O132" s="324">
        <f t="shared" si="61"/>
        <v>-186</v>
      </c>
      <c r="P132" s="324">
        <f t="shared" si="61"/>
        <v>-150.8885563632283</v>
      </c>
      <c r="Q132" s="324">
        <f t="shared" ref="Q132:V132" si="62">SUM(Q127:Q131)</f>
        <v>-705.8885563632283</v>
      </c>
      <c r="R132" s="324">
        <f t="shared" si="62"/>
        <v>-705.69737836731724</v>
      </c>
      <c r="S132" s="324">
        <f t="shared" si="62"/>
        <v>-683.09010877655544</v>
      </c>
      <c r="T132" s="324">
        <f t="shared" si="62"/>
        <v>-633.98527622479264</v>
      </c>
      <c r="U132" s="324">
        <f t="shared" si="62"/>
        <v>-623.91184453990695</v>
      </c>
      <c r="V132" s="324">
        <f t="shared" si="62"/>
        <v>-616.18100792324708</v>
      </c>
      <c r="W132" s="1"/>
      <c r="X132" s="1"/>
      <c r="Y132" s="1"/>
      <c r="Z132" s="1"/>
      <c r="AA132" s="1"/>
      <c r="AB132" s="1"/>
    </row>
    <row r="133" spans="1:28" customFormat="1" ht="16" outlineLevel="1" x14ac:dyDescent="0.2">
      <c r="A133" s="308"/>
      <c r="B133" s="263"/>
      <c r="C133" s="309"/>
      <c r="D133" s="326"/>
      <c r="E133" s="326"/>
      <c r="F133" s="326"/>
      <c r="G133" s="326"/>
      <c r="H133" s="326"/>
      <c r="I133" s="326"/>
      <c r="J133" s="326"/>
      <c r="K133" s="308"/>
      <c r="L133" s="308"/>
      <c r="M133" s="308"/>
      <c r="N133" s="308"/>
      <c r="O133" s="308"/>
      <c r="P133" s="308"/>
      <c r="Q133" s="308"/>
      <c r="R133" s="308"/>
      <c r="S133" s="308"/>
      <c r="T133" s="308"/>
      <c r="U133" s="308"/>
      <c r="V133" s="308"/>
      <c r="W133" s="1"/>
      <c r="X133" s="1"/>
      <c r="Y133" s="1"/>
      <c r="Z133" s="1"/>
      <c r="AA133" s="1"/>
      <c r="AB133" s="1"/>
    </row>
    <row r="134" spans="1:28" customFormat="1" ht="16" outlineLevel="1" x14ac:dyDescent="0.2">
      <c r="A134" s="308" t="s">
        <v>145</v>
      </c>
      <c r="B134" s="263"/>
      <c r="C134" s="309"/>
      <c r="D134" s="235"/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63"/>
      <c r="R134" s="263"/>
      <c r="S134" s="263"/>
      <c r="T134" s="263"/>
      <c r="U134" s="263"/>
      <c r="V134" s="263"/>
      <c r="W134" s="1"/>
      <c r="X134" s="1"/>
      <c r="Y134" s="1"/>
      <c r="Z134" s="1"/>
      <c r="AA134" s="1"/>
      <c r="AB134" s="1"/>
    </row>
    <row r="135" spans="1:28" customFormat="1" ht="16" outlineLevel="1" x14ac:dyDescent="0.2">
      <c r="A135" s="263" t="s">
        <v>146</v>
      </c>
      <c r="B135" s="263"/>
      <c r="C135" s="309"/>
      <c r="D135" s="235">
        <v>-284</v>
      </c>
      <c r="E135" s="235">
        <v>-3473</v>
      </c>
      <c r="F135" s="235">
        <v>-998</v>
      </c>
      <c r="G135" s="235">
        <v>-321</v>
      </c>
      <c r="H135" s="235">
        <v>-50</v>
      </c>
      <c r="I135" s="235">
        <f>-148-H135</f>
        <v>-98</v>
      </c>
      <c r="J135" s="235">
        <f>-285-SUM(H135:I135)</f>
        <v>-137</v>
      </c>
      <c r="K135" s="263">
        <f>L135-SUM(H135:J135)</f>
        <v>-198</v>
      </c>
      <c r="L135" s="235">
        <v>-483</v>
      </c>
      <c r="M135" s="235">
        <v>-100</v>
      </c>
      <c r="N135" s="235">
        <f>-165-M135</f>
        <v>-65</v>
      </c>
      <c r="O135" s="235">
        <f>-200-SUM(M135:N135)</f>
        <v>-35</v>
      </c>
      <c r="P135" s="263">
        <f>Q135-SUM(M135:O135)</f>
        <v>-375.86189137857696</v>
      </c>
      <c r="Q135" s="263">
        <f t="shared" ref="Q135:V135" si="63">-Q32*(Q124+Q127)</f>
        <v>-575.86189137857696</v>
      </c>
      <c r="R135" s="263">
        <f t="shared" si="63"/>
        <v>-825.27191495022396</v>
      </c>
      <c r="S135" s="263">
        <f t="shared" si="63"/>
        <v>-576.95521231509304</v>
      </c>
      <c r="T135" s="263">
        <f t="shared" si="63"/>
        <v>-438.19714418982619</v>
      </c>
      <c r="U135" s="263">
        <f t="shared" si="63"/>
        <v>-463.08673854468003</v>
      </c>
      <c r="V135" s="263">
        <f t="shared" si="63"/>
        <v>-505.75887403249925</v>
      </c>
      <c r="W135" s="1"/>
      <c r="X135" s="1"/>
      <c r="Y135" s="1"/>
      <c r="Z135" s="1"/>
      <c r="AA135" s="1"/>
      <c r="AB135" s="1"/>
    </row>
    <row r="136" spans="1:28" customFormat="1" ht="16" outlineLevel="1" x14ac:dyDescent="0.2">
      <c r="A136" s="263" t="s">
        <v>147</v>
      </c>
      <c r="B136" s="263"/>
      <c r="C136" s="309"/>
      <c r="D136" s="235">
        <v>-568</v>
      </c>
      <c r="E136" s="235">
        <v>-688</v>
      </c>
      <c r="F136" s="235">
        <v>-789</v>
      </c>
      <c r="G136" s="235">
        <v>-801</v>
      </c>
      <c r="H136" s="235">
        <v>-202</v>
      </c>
      <c r="I136" s="235">
        <f>-405-H136</f>
        <v>-203</v>
      </c>
      <c r="J136" s="235">
        <f>-607-SUM(H136:I136)</f>
        <v>-202</v>
      </c>
      <c r="K136" s="263">
        <f>L136-SUM(H136:J136)</f>
        <v>-200</v>
      </c>
      <c r="L136" s="235">
        <v>-807</v>
      </c>
      <c r="M136" s="235">
        <v>-202</v>
      </c>
      <c r="N136" s="235">
        <f>-403-M136</f>
        <v>-201</v>
      </c>
      <c r="O136" s="235">
        <f>-602-SUM(M136:N136)</f>
        <v>-199</v>
      </c>
      <c r="P136" s="263">
        <f>Q136-SUM(M136:O136)</f>
        <v>-198</v>
      </c>
      <c r="Q136" s="263">
        <v>-800</v>
      </c>
      <c r="R136" s="263">
        <f>Q136*(1+R35)</f>
        <v>-800</v>
      </c>
      <c r="S136" s="263">
        <f>R136*(1+S35)</f>
        <v>-800</v>
      </c>
      <c r="T136" s="263">
        <f>S136*(1+T35)</f>
        <v>-800</v>
      </c>
      <c r="U136" s="263">
        <f>T136*(1+U35)</f>
        <v>-800</v>
      </c>
      <c r="V136" s="263">
        <f>U136*(1+V35)</f>
        <v>-800</v>
      </c>
      <c r="W136" s="1"/>
      <c r="X136" s="1"/>
      <c r="Y136" s="1"/>
      <c r="Z136" s="1"/>
      <c r="AA136" s="1"/>
      <c r="AB136" s="1"/>
    </row>
    <row r="137" spans="1:28" customFormat="1" ht="16" outlineLevel="1" x14ac:dyDescent="0.2">
      <c r="A137" s="263" t="s">
        <v>148</v>
      </c>
      <c r="B137" s="263"/>
      <c r="C137" s="309"/>
      <c r="D137" s="235">
        <f>1892-1916-18</f>
        <v>-42</v>
      </c>
      <c r="E137" s="235">
        <f>-133+80</f>
        <v>-53</v>
      </c>
      <c r="F137" s="235">
        <f>-19+8</f>
        <v>-11</v>
      </c>
      <c r="G137" s="235">
        <f>-19+8</f>
        <v>-11</v>
      </c>
      <c r="H137" s="235">
        <v>0</v>
      </c>
      <c r="I137" s="235">
        <v>0</v>
      </c>
      <c r="J137" s="235">
        <f>-13-SUM(H137:I137)</f>
        <v>-13</v>
      </c>
      <c r="K137" s="263">
        <f>L137-SUM(H137:J137)</f>
        <v>-4</v>
      </c>
      <c r="L137" s="235">
        <v>-17</v>
      </c>
      <c r="M137" s="235">
        <v>0</v>
      </c>
      <c r="N137" s="235">
        <v>0</v>
      </c>
      <c r="O137" s="235">
        <f>-9-SUM(M137:N137)</f>
        <v>-9</v>
      </c>
      <c r="P137" s="263">
        <v>0</v>
      </c>
      <c r="Q137" s="263">
        <f>SUM(M137:P137)</f>
        <v>-9</v>
      </c>
      <c r="R137" s="263">
        <f>R175</f>
        <v>0</v>
      </c>
      <c r="S137" s="263">
        <f>S175</f>
        <v>0</v>
      </c>
      <c r="T137" s="263">
        <f>T175</f>
        <v>0</v>
      </c>
      <c r="U137" s="263">
        <f>U175</f>
        <v>0</v>
      </c>
      <c r="V137" s="263">
        <f>V175</f>
        <v>0</v>
      </c>
      <c r="W137" s="1"/>
      <c r="X137" s="1"/>
      <c r="Y137" s="1"/>
      <c r="Z137" s="1"/>
      <c r="AA137" s="1"/>
      <c r="AB137" s="1"/>
    </row>
    <row r="138" spans="1:28" customFormat="1" ht="16" outlineLevel="1" x14ac:dyDescent="0.2">
      <c r="A138" s="263" t="s">
        <v>134</v>
      </c>
      <c r="B138" s="263"/>
      <c r="C138" s="309"/>
      <c r="D138" s="235">
        <v>0</v>
      </c>
      <c r="E138" s="235">
        <v>-3</v>
      </c>
      <c r="F138" s="235">
        <v>0</v>
      </c>
      <c r="G138" s="235">
        <v>-3</v>
      </c>
      <c r="H138" s="235">
        <v>0</v>
      </c>
      <c r="I138" s="235">
        <f>-4-H138</f>
        <v>-4</v>
      </c>
      <c r="J138" s="235">
        <f>13-SUM(H138:I138)</f>
        <v>17</v>
      </c>
      <c r="K138" s="263">
        <f>L138-SUM(H138:J138)</f>
        <v>-15</v>
      </c>
      <c r="L138" s="235">
        <v>-2</v>
      </c>
      <c r="M138" s="235">
        <v>-3</v>
      </c>
      <c r="N138" s="235">
        <f>-6-M138</f>
        <v>-3</v>
      </c>
      <c r="O138" s="235">
        <f>4-SUM(M138:N138)</f>
        <v>10</v>
      </c>
      <c r="P138" s="263">
        <v>0</v>
      </c>
      <c r="Q138" s="263">
        <f>SUM(M138:P138)</f>
        <v>4</v>
      </c>
      <c r="R138" s="263">
        <v>0</v>
      </c>
      <c r="S138" s="263">
        <v>0</v>
      </c>
      <c r="T138" s="263">
        <v>0</v>
      </c>
      <c r="U138" s="263">
        <v>0</v>
      </c>
      <c r="V138" s="263">
        <v>0</v>
      </c>
      <c r="W138" s="1"/>
      <c r="X138" s="1"/>
      <c r="Y138" s="1"/>
      <c r="Z138" s="1"/>
      <c r="AA138" s="1"/>
      <c r="AB138" s="1"/>
    </row>
    <row r="139" spans="1:28" customFormat="1" ht="16" outlineLevel="1" x14ac:dyDescent="0.2">
      <c r="A139" s="324" t="s">
        <v>149</v>
      </c>
      <c r="B139" s="310"/>
      <c r="C139" s="311"/>
      <c r="D139" s="324">
        <f t="shared" ref="D139:O139" si="64">SUM(D135:D138)</f>
        <v>-894</v>
      </c>
      <c r="E139" s="324">
        <f t="shared" si="64"/>
        <v>-4217</v>
      </c>
      <c r="F139" s="324">
        <f t="shared" si="64"/>
        <v>-1798</v>
      </c>
      <c r="G139" s="324">
        <f t="shared" si="64"/>
        <v>-1136</v>
      </c>
      <c r="H139" s="324">
        <f t="shared" si="64"/>
        <v>-252</v>
      </c>
      <c r="I139" s="324">
        <f t="shared" si="64"/>
        <v>-305</v>
      </c>
      <c r="J139" s="324">
        <f t="shared" si="64"/>
        <v>-335</v>
      </c>
      <c r="K139" s="324">
        <f>SUM(K135:K138)</f>
        <v>-417</v>
      </c>
      <c r="L139" s="324">
        <f t="shared" si="64"/>
        <v>-1309</v>
      </c>
      <c r="M139" s="324">
        <f t="shared" si="64"/>
        <v>-305</v>
      </c>
      <c r="N139" s="324">
        <f t="shared" si="64"/>
        <v>-269</v>
      </c>
      <c r="O139" s="324">
        <f t="shared" si="64"/>
        <v>-233</v>
      </c>
      <c r="P139" s="324">
        <f t="shared" ref="P139:V139" si="65">SUM(P135:P138)</f>
        <v>-573.86189137857696</v>
      </c>
      <c r="Q139" s="324">
        <f t="shared" si="65"/>
        <v>-1380.861891378577</v>
      </c>
      <c r="R139" s="324">
        <f t="shared" si="65"/>
        <v>-1625.2719149502241</v>
      </c>
      <c r="S139" s="324">
        <f t="shared" si="65"/>
        <v>-1376.9552123150929</v>
      </c>
      <c r="T139" s="324">
        <f t="shared" si="65"/>
        <v>-1238.1971441898263</v>
      </c>
      <c r="U139" s="324">
        <f t="shared" si="65"/>
        <v>-1263.08673854468</v>
      </c>
      <c r="V139" s="324">
        <f t="shared" si="65"/>
        <v>-1305.7588740324993</v>
      </c>
      <c r="W139" s="1"/>
      <c r="X139" s="1"/>
      <c r="Y139" s="1"/>
      <c r="Z139" s="1"/>
      <c r="AA139" s="1"/>
      <c r="AB139" s="1"/>
    </row>
    <row r="140" spans="1:28" customFormat="1" ht="16" outlineLevel="1" x14ac:dyDescent="0.2">
      <c r="A140" s="308"/>
      <c r="B140" s="263"/>
      <c r="C140" s="309"/>
      <c r="D140" s="326"/>
      <c r="E140" s="326"/>
      <c r="F140" s="326"/>
      <c r="G140" s="326"/>
      <c r="H140" s="326"/>
      <c r="I140" s="326"/>
      <c r="J140" s="326"/>
      <c r="K140" s="326"/>
      <c r="L140" s="308"/>
      <c r="M140" s="308"/>
      <c r="N140" s="308"/>
      <c r="O140" s="308"/>
      <c r="P140" s="308" t="s">
        <v>485</v>
      </c>
      <c r="Q140" s="308"/>
      <c r="R140" s="308"/>
      <c r="S140" s="308"/>
      <c r="T140" s="308"/>
      <c r="U140" s="308"/>
      <c r="V140" s="308"/>
      <c r="W140" s="1"/>
      <c r="X140" s="1"/>
      <c r="Y140" s="1"/>
      <c r="Z140" s="1"/>
      <c r="AA140" s="1"/>
      <c r="AB140" s="1"/>
    </row>
    <row r="141" spans="1:28" customFormat="1" ht="16" outlineLevel="1" x14ac:dyDescent="0.2">
      <c r="A141" s="308" t="s">
        <v>150</v>
      </c>
      <c r="B141" s="263"/>
      <c r="C141" s="309"/>
      <c r="D141" s="263">
        <f t="shared" ref="D141:O141" si="66">D139+D132+D124</f>
        <v>3245</v>
      </c>
      <c r="E141" s="263">
        <f t="shared" si="66"/>
        <v>-2337</v>
      </c>
      <c r="F141" s="263">
        <f t="shared" si="66"/>
        <v>-936</v>
      </c>
      <c r="G141" s="263">
        <f t="shared" si="66"/>
        <v>-447</v>
      </c>
      <c r="H141" s="263">
        <f t="shared" si="66"/>
        <v>-314</v>
      </c>
      <c r="I141" s="263">
        <f t="shared" si="66"/>
        <v>222</v>
      </c>
      <c r="J141" s="263">
        <f t="shared" si="66"/>
        <v>-1092</v>
      </c>
      <c r="K141" s="263">
        <f t="shared" si="66"/>
        <v>1273</v>
      </c>
      <c r="L141" s="263">
        <f t="shared" si="66"/>
        <v>85</v>
      </c>
      <c r="M141" s="263">
        <f t="shared" si="66"/>
        <v>-506</v>
      </c>
      <c r="N141" s="263">
        <f t="shared" si="66"/>
        <v>242</v>
      </c>
      <c r="O141" s="263">
        <f t="shared" si="66"/>
        <v>-129</v>
      </c>
      <c r="P141" s="263">
        <f t="shared" ref="P141:V141" si="67">P139+P132+P124</f>
        <v>645.76492601061443</v>
      </c>
      <c r="Q141" s="263">
        <f t="shared" si="67"/>
        <v>252.76492601061409</v>
      </c>
      <c r="R141" s="263">
        <f t="shared" si="67"/>
        <v>753.15149211129119</v>
      </c>
      <c r="S141" s="263">
        <f t="shared" si="67"/>
        <v>285.82254243151056</v>
      </c>
      <c r="T141" s="263">
        <f t="shared" si="67"/>
        <v>24.681581922467785</v>
      </c>
      <c r="U141" s="263">
        <f t="shared" si="67"/>
        <v>71.523489310795412</v>
      </c>
      <c r="V141" s="263">
        <f t="shared" si="67"/>
        <v>151.83191821023138</v>
      </c>
      <c r="W141" s="1"/>
      <c r="X141" s="1"/>
      <c r="Y141" s="1"/>
      <c r="Z141" s="1"/>
      <c r="AA141" s="1"/>
      <c r="AB141" s="1"/>
    </row>
    <row r="142" spans="1:28" customFormat="1" ht="16" outlineLevel="1" x14ac:dyDescent="0.2">
      <c r="A142" s="4"/>
      <c r="B142" s="1"/>
      <c r="C142" s="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customFormat="1" ht="16" outlineLevel="1" x14ac:dyDescent="0.2">
      <c r="A143" s="4"/>
      <c r="B143" s="1"/>
      <c r="C143" s="2"/>
      <c r="D143" s="3"/>
      <c r="E143" s="3"/>
      <c r="F143" s="3"/>
      <c r="G143" s="3"/>
      <c r="H143" s="3"/>
      <c r="I143" s="3"/>
      <c r="J143" s="3"/>
      <c r="K143" s="3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customFormat="1" ht="16" x14ac:dyDescent="0.2">
      <c r="A144" s="1"/>
      <c r="B144" s="1"/>
      <c r="C144" s="2"/>
      <c r="D144" s="3"/>
      <c r="E144" s="3"/>
      <c r="F144" s="3"/>
      <c r="G144" s="3"/>
      <c r="H144" s="3"/>
      <c r="I144" s="3"/>
      <c r="J144" s="3"/>
      <c r="K144" s="3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30" customFormat="1" ht="20" x14ac:dyDescent="0.2">
      <c r="A145" s="251" t="s">
        <v>439</v>
      </c>
      <c r="B145" s="251"/>
      <c r="C145" s="251"/>
      <c r="D145" s="251"/>
      <c r="E145" s="251"/>
      <c r="F145" s="251"/>
      <c r="G145" s="251"/>
      <c r="H145" s="251"/>
      <c r="I145" s="251"/>
      <c r="J145" s="251"/>
      <c r="K145" s="251"/>
      <c r="L145" s="251"/>
      <c r="M145" s="251"/>
      <c r="N145" s="251"/>
      <c r="O145" s="251"/>
      <c r="P145" s="251"/>
      <c r="Q145" s="251"/>
      <c r="R145" s="251"/>
      <c r="S145" s="251"/>
      <c r="T145" s="251"/>
      <c r="U145" s="251"/>
      <c r="V145" s="251"/>
      <c r="W145" s="1"/>
      <c r="X145" s="1"/>
      <c r="Y145" s="1"/>
      <c r="Z145" s="1"/>
      <c r="AA145" s="1"/>
      <c r="AB145" s="1"/>
    </row>
    <row r="146" spans="1:30" customFormat="1" ht="16" outlineLevel="1" x14ac:dyDescent="0.2">
      <c r="A146" s="365"/>
      <c r="B146" s="1"/>
      <c r="C146" s="2"/>
      <c r="D146" s="3"/>
      <c r="E146" s="3"/>
      <c r="F146" s="3"/>
      <c r="G146" s="3"/>
      <c r="H146" s="3"/>
      <c r="I146" s="3"/>
      <c r="J146" s="3"/>
      <c r="K146" s="3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30" customFormat="1" ht="16" outlineLevel="1" x14ac:dyDescent="0.2">
      <c r="A147" s="342" t="s">
        <v>151</v>
      </c>
      <c r="B147" s="343"/>
      <c r="C147" s="344"/>
      <c r="D147" s="345"/>
      <c r="E147" s="345"/>
      <c r="F147" s="345"/>
      <c r="G147" s="345"/>
      <c r="H147" s="345"/>
      <c r="I147" s="345"/>
      <c r="J147" s="345"/>
      <c r="K147" s="345"/>
      <c r="L147" s="343"/>
      <c r="M147" s="343"/>
      <c r="N147" s="343"/>
      <c r="O147" s="343"/>
      <c r="P147" s="343"/>
      <c r="Q147" s="343"/>
      <c r="R147" s="343"/>
      <c r="S147" s="343"/>
      <c r="T147" s="343"/>
      <c r="U147" s="343"/>
      <c r="V147" s="343"/>
      <c r="W147" s="1"/>
      <c r="X147" s="1"/>
      <c r="Y147" s="1"/>
      <c r="Z147" s="1"/>
      <c r="AA147" s="1"/>
      <c r="AB147" s="1"/>
    </row>
    <row r="148" spans="1:30" customFormat="1" ht="16" outlineLevel="1" x14ac:dyDescent="0.2">
      <c r="A148" s="263" t="s">
        <v>152</v>
      </c>
      <c r="B148" s="263"/>
      <c r="C148" s="309"/>
      <c r="D148" s="263">
        <f t="shared" ref="D148:G149" si="68">D71</f>
        <v>1061</v>
      </c>
      <c r="E148" s="263">
        <f t="shared" si="68"/>
        <v>1042</v>
      </c>
      <c r="F148" s="263">
        <f t="shared" si="68"/>
        <v>1141</v>
      </c>
      <c r="G148" s="263">
        <f t="shared" ref="G148:O148" si="69">G71</f>
        <v>939</v>
      </c>
      <c r="H148" s="263">
        <f t="shared" si="69"/>
        <v>770</v>
      </c>
      <c r="I148" s="263">
        <f t="shared" si="69"/>
        <v>871</v>
      </c>
      <c r="J148" s="263">
        <f t="shared" si="69"/>
        <v>932</v>
      </c>
      <c r="K148" s="263">
        <f t="shared" si="69"/>
        <v>1044</v>
      </c>
      <c r="L148" s="263">
        <f t="shared" si="69"/>
        <v>1044</v>
      </c>
      <c r="M148" s="263">
        <f t="shared" si="69"/>
        <v>744</v>
      </c>
      <c r="N148" s="263">
        <f t="shared" si="69"/>
        <v>917</v>
      </c>
      <c r="O148" s="263">
        <f t="shared" si="69"/>
        <v>1017</v>
      </c>
      <c r="P148" s="263">
        <f>P23/P36*P40</f>
        <v>1024.1093772585787</v>
      </c>
      <c r="Q148" s="263">
        <f>P148</f>
        <v>1024.1093772585787</v>
      </c>
      <c r="R148" s="263">
        <f>R41*R23/R36</f>
        <v>998.04569745549611</v>
      </c>
      <c r="S148" s="263">
        <f>S41*S23/S36</f>
        <v>951.98225564801828</v>
      </c>
      <c r="T148" s="263">
        <f>T41*T23/T36</f>
        <v>851.66701221144888</v>
      </c>
      <c r="U148" s="263">
        <f>U41*U23/U36</f>
        <v>832.04723773563171</v>
      </c>
      <c r="V148" s="263">
        <f>V41*V23/V36</f>
        <v>816.55143487181022</v>
      </c>
      <c r="W148" s="1"/>
      <c r="X148" s="1"/>
      <c r="Y148" s="1"/>
      <c r="Z148" s="1"/>
      <c r="AA148" s="1"/>
      <c r="AB148" s="1"/>
    </row>
    <row r="149" spans="1:30" customFormat="1" ht="16" outlineLevel="1" x14ac:dyDescent="0.2">
      <c r="A149" s="263" t="s">
        <v>99</v>
      </c>
      <c r="B149" s="263"/>
      <c r="C149" s="309"/>
      <c r="D149" s="263">
        <f t="shared" si="68"/>
        <v>5612</v>
      </c>
      <c r="E149" s="263">
        <f t="shared" si="68"/>
        <v>5965</v>
      </c>
      <c r="F149" s="263">
        <f t="shared" si="68"/>
        <v>5140</v>
      </c>
      <c r="G149" s="263">
        <f t="shared" si="68"/>
        <v>4958</v>
      </c>
      <c r="H149" s="263">
        <f t="shared" ref="H149:P149" si="70">H72</f>
        <v>5225</v>
      </c>
      <c r="I149" s="263">
        <f t="shared" si="70"/>
        <v>5706</v>
      </c>
      <c r="J149" s="263">
        <f t="shared" si="70"/>
        <v>7806</v>
      </c>
      <c r="K149" s="263">
        <f t="shared" si="70"/>
        <v>5085</v>
      </c>
      <c r="L149" s="263">
        <f t="shared" si="70"/>
        <v>5085</v>
      </c>
      <c r="M149" s="263">
        <f t="shared" si="70"/>
        <v>5194</v>
      </c>
      <c r="N149" s="263">
        <f t="shared" si="70"/>
        <v>5816</v>
      </c>
      <c r="O149" s="263">
        <f t="shared" si="70"/>
        <v>7993</v>
      </c>
      <c r="P149" s="263">
        <f t="shared" si="70"/>
        <v>4964.1850232604265</v>
      </c>
      <c r="Q149" s="263">
        <f>P149</f>
        <v>4964.1850232604265</v>
      </c>
      <c r="R149" s="263">
        <f t="shared" ref="R149:V149" si="71">-R43*R24/R36</f>
        <v>5073.3783866738686</v>
      </c>
      <c r="S149" s="263">
        <f t="shared" si="71"/>
        <v>4839.2235071150717</v>
      </c>
      <c r="T149" s="263">
        <f t="shared" si="71"/>
        <v>4329.2897543795525</v>
      </c>
      <c r="U149" s="263">
        <f t="shared" si="71"/>
        <v>4229.5563052691587</v>
      </c>
      <c r="V149" s="263">
        <f t="shared" si="71"/>
        <v>4150.7862935012581</v>
      </c>
      <c r="W149" s="1"/>
      <c r="X149" s="1"/>
      <c r="Y149" s="1"/>
      <c r="Z149" s="1"/>
      <c r="AA149" s="1"/>
      <c r="AB149" s="1"/>
    </row>
    <row r="150" spans="1:30" customFormat="1" ht="16" outlineLevel="1" x14ac:dyDescent="0.2">
      <c r="A150" s="263" t="s">
        <v>153</v>
      </c>
      <c r="B150" s="263"/>
      <c r="C150" s="309"/>
      <c r="D150" s="263">
        <f t="shared" ref="D150:L150" si="72">D82</f>
        <v>6979</v>
      </c>
      <c r="E150" s="263">
        <f t="shared" si="72"/>
        <v>6803</v>
      </c>
      <c r="F150" s="263">
        <f t="shared" si="72"/>
        <v>5687</v>
      </c>
      <c r="G150" s="263">
        <f t="shared" si="72"/>
        <v>4637</v>
      </c>
      <c r="H150" s="263">
        <f t="shared" si="72"/>
        <v>4664</v>
      </c>
      <c r="I150" s="263">
        <f t="shared" si="72"/>
        <v>5542</v>
      </c>
      <c r="J150" s="263">
        <f t="shared" si="72"/>
        <v>7145</v>
      </c>
      <c r="K150" s="263">
        <f t="shared" si="72"/>
        <v>4980</v>
      </c>
      <c r="L150" s="263">
        <f t="shared" si="72"/>
        <v>4980</v>
      </c>
      <c r="M150" s="263">
        <f t="shared" ref="M150:V150" si="73">M82</f>
        <v>4670</v>
      </c>
      <c r="N150" s="263">
        <f t="shared" si="73"/>
        <v>5682</v>
      </c>
      <c r="O150" s="263">
        <f>O82</f>
        <v>7319</v>
      </c>
      <c r="P150" s="263">
        <f>P82</f>
        <v>4861.6797277948717</v>
      </c>
      <c r="Q150" s="263">
        <f t="shared" si="73"/>
        <v>4861.6797277948717</v>
      </c>
      <c r="R150" s="263">
        <f t="shared" si="73"/>
        <v>5483.4793542689458</v>
      </c>
      <c r="S150" s="263">
        <f t="shared" si="73"/>
        <v>5230.3968222948652</v>
      </c>
      <c r="T150" s="263">
        <f t="shared" si="73"/>
        <v>4679.2431349383596</v>
      </c>
      <c r="U150" s="263">
        <f t="shared" si="73"/>
        <v>4571.4478420496253</v>
      </c>
      <c r="V150" s="263">
        <f t="shared" si="73"/>
        <v>4486.310542927733</v>
      </c>
      <c r="W150" s="263"/>
      <c r="X150" s="263"/>
      <c r="Y150" s="263"/>
      <c r="Z150" s="263"/>
      <c r="AA150" s="263"/>
      <c r="AB150" s="263"/>
      <c r="AC150" s="263"/>
    </row>
    <row r="151" spans="1:30" customFormat="1" ht="16" outlineLevel="1" x14ac:dyDescent="0.2">
      <c r="A151" s="310" t="s">
        <v>155</v>
      </c>
      <c r="B151" s="310"/>
      <c r="C151" s="311"/>
      <c r="D151" s="310">
        <f>SUM(D148:D149)-D150</f>
        <v>-306</v>
      </c>
      <c r="E151" s="310">
        <f t="shared" ref="E151:V151" si="74">SUM(E148:E149)-E150</f>
        <v>204</v>
      </c>
      <c r="F151" s="310">
        <f t="shared" si="74"/>
        <v>594</v>
      </c>
      <c r="G151" s="310">
        <f t="shared" si="74"/>
        <v>1260</v>
      </c>
      <c r="H151" s="310">
        <f t="shared" si="74"/>
        <v>1331</v>
      </c>
      <c r="I151" s="310">
        <f t="shared" si="74"/>
        <v>1035</v>
      </c>
      <c r="J151" s="310">
        <f t="shared" si="74"/>
        <v>1593</v>
      </c>
      <c r="K151" s="310">
        <f t="shared" si="74"/>
        <v>1149</v>
      </c>
      <c r="L151" s="310">
        <f t="shared" si="74"/>
        <v>1149</v>
      </c>
      <c r="M151" s="310">
        <f t="shared" si="74"/>
        <v>1268</v>
      </c>
      <c r="N151" s="310">
        <f t="shared" si="74"/>
        <v>1051</v>
      </c>
      <c r="O151" s="310">
        <f>SUM(O148:O149)-O150</f>
        <v>1691</v>
      </c>
      <c r="P151" s="310">
        <f>SUM(P148:P149)-P150</f>
        <v>1126.6146727241339</v>
      </c>
      <c r="Q151" s="310">
        <f>SUM(Q148:Q149)-Q150</f>
        <v>1126.6146727241339</v>
      </c>
      <c r="R151" s="310">
        <f t="shared" si="74"/>
        <v>587.9447298604191</v>
      </c>
      <c r="S151" s="310">
        <f t="shared" si="74"/>
        <v>560.80894046822505</v>
      </c>
      <c r="T151" s="310">
        <f t="shared" si="74"/>
        <v>501.71363165264211</v>
      </c>
      <c r="U151" s="310">
        <f t="shared" si="74"/>
        <v>490.15570095516523</v>
      </c>
      <c r="V151" s="310">
        <f t="shared" si="74"/>
        <v>481.02718544533491</v>
      </c>
      <c r="W151" s="1"/>
      <c r="X151" s="1"/>
      <c r="Y151" s="1"/>
      <c r="Z151" s="1"/>
      <c r="AA151" s="1"/>
      <c r="AB151" s="1"/>
    </row>
    <row r="152" spans="1:30" customFormat="1" ht="16" outlineLevel="1" x14ac:dyDescent="0.2">
      <c r="A152" s="263" t="s">
        <v>156</v>
      </c>
      <c r="B152" s="263"/>
      <c r="C152" s="309"/>
      <c r="D152" s="263"/>
      <c r="E152" s="263">
        <f>E151-D151</f>
        <v>510</v>
      </c>
      <c r="F152" s="263">
        <f>F151-E151</f>
        <v>390</v>
      </c>
      <c r="G152" s="263">
        <f>G151-F151</f>
        <v>666</v>
      </c>
      <c r="H152" s="348"/>
      <c r="I152" s="348"/>
      <c r="J152" s="348"/>
      <c r="K152" s="348"/>
      <c r="L152" s="263">
        <f t="shared" ref="L152:Q152" si="75">L151-G151</f>
        <v>-111</v>
      </c>
      <c r="M152" s="263">
        <f t="shared" si="75"/>
        <v>-63</v>
      </c>
      <c r="N152" s="263">
        <f t="shared" si="75"/>
        <v>16</v>
      </c>
      <c r="O152" s="263">
        <f t="shared" si="75"/>
        <v>98</v>
      </c>
      <c r="P152" s="263">
        <f t="shared" si="75"/>
        <v>-22.385327275866075</v>
      </c>
      <c r="Q152" s="263">
        <f t="shared" si="75"/>
        <v>-22.385327275866075</v>
      </c>
      <c r="R152" s="263">
        <f>R151-Q151</f>
        <v>-538.66994286371482</v>
      </c>
      <c r="S152" s="263">
        <f>S151-R151</f>
        <v>-27.135789392194056</v>
      </c>
      <c r="T152" s="263">
        <f>T151-S151</f>
        <v>-59.095308815582939</v>
      </c>
      <c r="U152" s="263">
        <f>U151-T151</f>
        <v>-11.557930697476877</v>
      </c>
      <c r="V152" s="263">
        <f>V151-U151</f>
        <v>-9.1285155098303221</v>
      </c>
      <c r="W152" s="1"/>
      <c r="X152" s="1"/>
      <c r="Y152" s="1"/>
      <c r="Z152" s="1"/>
      <c r="AA152" s="1"/>
      <c r="AB152" s="1"/>
    </row>
    <row r="153" spans="1:30" customFormat="1" ht="16" outlineLevel="1" x14ac:dyDescent="0.2">
      <c r="A153" s="263"/>
      <c r="B153" s="263"/>
      <c r="C153" s="309"/>
      <c r="D153" s="235"/>
      <c r="E153" s="235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  <c r="P153" s="235"/>
      <c r="Q153" s="235"/>
      <c r="R153" s="235"/>
      <c r="S153" s="235"/>
      <c r="T153" s="235"/>
      <c r="U153" s="235"/>
      <c r="V153" s="235"/>
      <c r="W153" s="1"/>
      <c r="X153" s="1"/>
      <c r="Y153" s="1"/>
      <c r="Z153" s="1"/>
      <c r="AA153" s="1"/>
      <c r="AB153" s="1"/>
    </row>
    <row r="154" spans="1:30" customFormat="1" ht="16" outlineLevel="1" x14ac:dyDescent="0.2">
      <c r="A154" s="342" t="s">
        <v>157</v>
      </c>
      <c r="B154" s="343"/>
      <c r="C154" s="344"/>
      <c r="D154" s="345"/>
      <c r="E154" s="345"/>
      <c r="F154" s="345"/>
      <c r="G154" s="345"/>
      <c r="H154" s="345"/>
      <c r="I154" s="345"/>
      <c r="J154" s="345"/>
      <c r="K154" s="345"/>
      <c r="L154" s="343"/>
      <c r="M154" s="343"/>
      <c r="N154" s="343"/>
      <c r="O154" s="343"/>
      <c r="P154" s="343"/>
      <c r="Q154" s="343"/>
      <c r="R154" s="343"/>
      <c r="S154" s="343"/>
      <c r="T154" s="343"/>
      <c r="U154" s="343"/>
      <c r="V154" s="343"/>
      <c r="W154" s="1"/>
      <c r="X154" s="1"/>
      <c r="Y154" s="1"/>
      <c r="Z154" s="1"/>
      <c r="AA154" s="1"/>
      <c r="AB154" s="1"/>
    </row>
    <row r="155" spans="1:30" customFormat="1" ht="16" outlineLevel="1" x14ac:dyDescent="0.2">
      <c r="A155" s="382" t="s">
        <v>158</v>
      </c>
      <c r="B155" s="378"/>
      <c r="C155" s="379"/>
      <c r="D155" s="380">
        <v>18674</v>
      </c>
      <c r="E155" s="380">
        <v>16430</v>
      </c>
      <c r="F155" s="380">
        <v>14212</v>
      </c>
      <c r="G155" s="380">
        <v>13102</v>
      </c>
      <c r="H155" s="380">
        <v>2525</v>
      </c>
      <c r="I155" s="380">
        <v>2718</v>
      </c>
      <c r="J155" s="380">
        <v>2727</v>
      </c>
      <c r="K155" s="378">
        <f>L155</f>
        <v>12994</v>
      </c>
      <c r="L155" s="380">
        <v>12994</v>
      </c>
      <c r="M155" s="380">
        <v>2579</v>
      </c>
      <c r="N155" s="380">
        <v>2856</v>
      </c>
      <c r="O155" s="380">
        <v>2283</v>
      </c>
      <c r="P155" s="378">
        <f>Q155-SUM(M155:O155)</f>
        <v>5046.1413727242943</v>
      </c>
      <c r="Q155" s="378">
        <f t="shared" ref="Q155:V155" si="76">Q40*Q16</f>
        <v>12764.141372724294</v>
      </c>
      <c r="R155" s="378">
        <f t="shared" si="76"/>
        <v>13496.754265939613</v>
      </c>
      <c r="S155" s="378">
        <f t="shared" si="76"/>
        <v>12959.392432437031</v>
      </c>
      <c r="T155" s="378">
        <f t="shared" si="76"/>
        <v>11726.539475211659</v>
      </c>
      <c r="U155" s="378">
        <f t="shared" si="76"/>
        <v>11512.778147315601</v>
      </c>
      <c r="V155" s="378">
        <f t="shared" si="76"/>
        <v>11360.660884382873</v>
      </c>
      <c r="W155" s="1"/>
      <c r="X155" s="1"/>
      <c r="Y155" s="1"/>
      <c r="Z155" s="1"/>
      <c r="AA155" s="1"/>
      <c r="AB155" s="1"/>
    </row>
    <row r="156" spans="1:30" s="612" customFormat="1" ht="18" outlineLevel="1" x14ac:dyDescent="0.2">
      <c r="A156" s="313" t="s">
        <v>160</v>
      </c>
      <c r="B156" s="313"/>
      <c r="C156" s="314"/>
      <c r="D156" s="315">
        <v>539</v>
      </c>
      <c r="E156" s="315">
        <v>549</v>
      </c>
      <c r="F156" s="315">
        <v>540</v>
      </c>
      <c r="G156" s="315">
        <v>496</v>
      </c>
      <c r="H156" s="348"/>
      <c r="I156" s="348"/>
      <c r="J156" s="348"/>
      <c r="K156" s="348"/>
      <c r="L156" s="315">
        <v>438</v>
      </c>
      <c r="M156" s="348"/>
      <c r="N156" s="348"/>
      <c r="O156" s="348"/>
      <c r="P156" s="348"/>
      <c r="Q156" s="313">
        <f t="shared" ref="Q156:V156" si="77">-Q155*Q17</f>
        <v>-456.23900027998525</v>
      </c>
      <c r="R156" s="313">
        <f t="shared" si="77"/>
        <v>-482.4253738269781</v>
      </c>
      <c r="S156" s="313">
        <f t="shared" si="77"/>
        <v>-463.21801639126903</v>
      </c>
      <c r="T156" s="313">
        <f t="shared" si="77"/>
        <v>-419.15115875690577</v>
      </c>
      <c r="U156" s="313">
        <f t="shared" si="77"/>
        <v>-411.51051520008781</v>
      </c>
      <c r="V156" s="313">
        <f t="shared" si="77"/>
        <v>-406.07326517760998</v>
      </c>
      <c r="W156" s="609"/>
      <c r="X156" s="609"/>
      <c r="Y156" s="610"/>
      <c r="Z156" s="611"/>
      <c r="AA156" s="611"/>
      <c r="AB156" s="611"/>
      <c r="AC156" s="611"/>
      <c r="AD156" s="611"/>
    </row>
    <row r="157" spans="1:30" customFormat="1" ht="18" outlineLevel="1" x14ac:dyDescent="0.2">
      <c r="A157" s="313" t="s">
        <v>161</v>
      </c>
      <c r="B157" s="13"/>
      <c r="C157" s="13"/>
      <c r="D157" s="348"/>
      <c r="E157" s="348"/>
      <c r="F157" s="348"/>
      <c r="G157" s="348"/>
      <c r="H157" s="348"/>
      <c r="I157" s="348"/>
      <c r="J157" s="348"/>
      <c r="K157" s="348"/>
      <c r="L157" s="348"/>
      <c r="M157" s="348"/>
      <c r="N157" s="348"/>
      <c r="O157" s="348"/>
      <c r="P157" s="348"/>
      <c r="Q157" s="316">
        <f t="shared" ref="Q157:V157" si="78">SUM(Q216:Q229)</f>
        <v>451.04444444444448</v>
      </c>
      <c r="R157" s="316">
        <f t="shared" si="78"/>
        <v>390.98742225955357</v>
      </c>
      <c r="S157" s="316">
        <f t="shared" si="78"/>
        <v>334.31080543648397</v>
      </c>
      <c r="T157" s="316">
        <f t="shared" si="78"/>
        <v>280.96209651087543</v>
      </c>
      <c r="U157" s="316">
        <f t="shared" si="78"/>
        <v>262.27113990068506</v>
      </c>
      <c r="V157" s="316">
        <f t="shared" si="78"/>
        <v>297.67254192736351</v>
      </c>
      <c r="W157" s="1"/>
      <c r="X157" s="1"/>
      <c r="Y157" s="610"/>
      <c r="Z157" s="611"/>
      <c r="AA157" s="610"/>
      <c r="AB157" s="611"/>
      <c r="AC157" s="611"/>
      <c r="AD157" s="611"/>
    </row>
    <row r="158" spans="1:30" customFormat="1" ht="18" outlineLevel="1" x14ac:dyDescent="0.2">
      <c r="A158" s="7"/>
      <c r="B158" s="7"/>
      <c r="C158" s="7"/>
      <c r="D158" s="121"/>
      <c r="E158" s="121"/>
      <c r="F158" s="121"/>
      <c r="G158" s="121"/>
      <c r="H158" s="121"/>
      <c r="I158" s="121"/>
      <c r="J158" s="121"/>
      <c r="K158" s="121"/>
      <c r="L158" s="223"/>
      <c r="M158" s="223"/>
      <c r="N158" s="223"/>
      <c r="O158" s="223"/>
      <c r="P158" s="223"/>
      <c r="Q158" s="235"/>
      <c r="R158" s="235"/>
      <c r="S158" s="235"/>
      <c r="T158" s="235"/>
      <c r="U158" s="235"/>
      <c r="V158" s="235"/>
      <c r="W158" s="1"/>
      <c r="X158" s="1"/>
      <c r="Y158" s="610"/>
      <c r="Z158" s="611"/>
      <c r="AA158" s="611"/>
      <c r="AB158" s="611"/>
      <c r="AC158" s="611"/>
      <c r="AD158" s="611"/>
    </row>
    <row r="159" spans="1:30" customFormat="1" ht="16" outlineLevel="1" x14ac:dyDescent="0.2">
      <c r="A159" s="342" t="s">
        <v>162</v>
      </c>
      <c r="B159" s="343"/>
      <c r="C159" s="344"/>
      <c r="D159" s="345"/>
      <c r="E159" s="345"/>
      <c r="F159" s="345"/>
      <c r="G159" s="345"/>
      <c r="H159" s="345"/>
      <c r="I159" s="345"/>
      <c r="J159" s="345"/>
      <c r="K159" s="345"/>
      <c r="L159" s="343"/>
      <c r="M159" s="343"/>
      <c r="N159" s="343"/>
      <c r="O159" s="343"/>
      <c r="P159" s="343"/>
      <c r="Q159" s="343"/>
      <c r="R159" s="343"/>
      <c r="S159" s="343"/>
      <c r="T159" s="343"/>
      <c r="U159" s="343"/>
      <c r="V159" s="343"/>
      <c r="W159" s="1"/>
      <c r="X159" s="1"/>
      <c r="Y159" s="1"/>
      <c r="Z159" s="1"/>
      <c r="AA159" s="1"/>
      <c r="AB159" s="1"/>
    </row>
    <row r="160" spans="1:30" customFormat="1" ht="16" outlineLevel="1" x14ac:dyDescent="0.2">
      <c r="A160" s="378" t="s">
        <v>163</v>
      </c>
      <c r="B160" s="378"/>
      <c r="C160" s="379"/>
      <c r="D160" s="380">
        <v>1159</v>
      </c>
      <c r="E160" s="380">
        <v>1144</v>
      </c>
      <c r="F160" s="380">
        <v>1138</v>
      </c>
      <c r="G160" s="380">
        <v>1125</v>
      </c>
      <c r="H160" s="380">
        <v>1117</v>
      </c>
      <c r="I160" s="380">
        <v>1120</v>
      </c>
      <c r="J160" s="380">
        <v>1117</v>
      </c>
      <c r="K160" s="378">
        <f>L160</f>
        <v>1117</v>
      </c>
      <c r="L160" s="380">
        <v>1117</v>
      </c>
      <c r="M160" s="380">
        <v>1108</v>
      </c>
      <c r="N160" s="380">
        <v>1105</v>
      </c>
      <c r="O160" s="380">
        <v>1083</v>
      </c>
      <c r="P160" s="378">
        <f>(1+P19)*K160</f>
        <v>1083.49</v>
      </c>
      <c r="Q160" s="378">
        <f>P160</f>
        <v>1083.49</v>
      </c>
      <c r="R160" s="378">
        <f>Q160*(1+R19)</f>
        <v>1073.5431262402233</v>
      </c>
      <c r="S160" s="378">
        <f>R160*(1+S19)</f>
        <v>1063.6875687801751</v>
      </c>
      <c r="T160" s="378">
        <f>S160*(1+T19)</f>
        <v>1053.9224892995151</v>
      </c>
      <c r="U160" s="378">
        <f>T160*(1+U19)</f>
        <v>1044.2470571740207</v>
      </c>
      <c r="V160" s="378">
        <f>U160*(1+V19)</f>
        <v>1034.6604494049334</v>
      </c>
      <c r="W160" s="1"/>
      <c r="X160" s="1"/>
      <c r="Y160" s="1"/>
      <c r="Z160" s="1"/>
      <c r="AA160" s="1"/>
      <c r="AB160" s="1"/>
    </row>
    <row r="161" spans="1:28" customFormat="1" ht="16" outlineLevel="1" x14ac:dyDescent="0.2">
      <c r="A161" s="263" t="s">
        <v>164</v>
      </c>
      <c r="B161" s="263"/>
      <c r="C161" s="7"/>
      <c r="D161" s="235">
        <v>117</v>
      </c>
      <c r="E161" s="235">
        <v>178</v>
      </c>
      <c r="F161" s="235">
        <v>355</v>
      </c>
      <c r="G161" s="235">
        <v>278</v>
      </c>
      <c r="H161" s="348"/>
      <c r="I161" s="348"/>
      <c r="J161" s="348"/>
      <c r="K161" s="348"/>
      <c r="L161" s="235">
        <v>230</v>
      </c>
      <c r="M161" s="348"/>
      <c r="N161" s="348"/>
      <c r="O161" s="348"/>
      <c r="P161" s="348"/>
      <c r="Q161" s="263">
        <f t="shared" ref="Q161:V161" si="79">-Q160*Q18</f>
        <v>-194.58805931879209</v>
      </c>
      <c r="R161" s="263">
        <f t="shared" si="79"/>
        <v>-192.80166271042103</v>
      </c>
      <c r="S161" s="263">
        <f t="shared" si="79"/>
        <v>-191.03166594104093</v>
      </c>
      <c r="T161" s="263">
        <f t="shared" si="79"/>
        <v>-189.27791845353724</v>
      </c>
      <c r="U161" s="263">
        <f t="shared" si="79"/>
        <v>-187.54027107297014</v>
      </c>
      <c r="V161" s="263">
        <f t="shared" si="79"/>
        <v>-185.81857599388573</v>
      </c>
      <c r="W161" s="1"/>
      <c r="X161" s="1"/>
      <c r="Y161" s="1"/>
      <c r="Z161" s="1"/>
      <c r="AA161" s="1"/>
      <c r="AB161" s="1"/>
    </row>
    <row r="162" spans="1:28" customFormat="1" ht="16" outlineLevel="1" x14ac:dyDescent="0.2">
      <c r="A162" s="263" t="s">
        <v>165</v>
      </c>
      <c r="B162" s="263"/>
      <c r="C162" s="7"/>
      <c r="D162" s="348"/>
      <c r="E162" s="348"/>
      <c r="F162" s="348"/>
      <c r="G162" s="348"/>
      <c r="H162" s="348"/>
      <c r="I162" s="348"/>
      <c r="J162" s="348"/>
      <c r="K162" s="348"/>
      <c r="L162" s="348"/>
      <c r="M162" s="348"/>
      <c r="N162" s="348"/>
      <c r="O162" s="348"/>
      <c r="P162" s="348"/>
      <c r="Q162" s="263">
        <f t="shared" ref="Q162:V162" si="80">SUM(Q199:Q212)</f>
        <v>232.57142857142856</v>
      </c>
      <c r="R162" s="263">
        <f t="shared" si="80"/>
        <v>182.37364600441038</v>
      </c>
      <c r="S162" s="263">
        <f t="shared" si="80"/>
        <v>117.65196293722842</v>
      </c>
      <c r="T162" s="263">
        <f t="shared" si="80"/>
        <v>90.265708872224351</v>
      </c>
      <c r="U162" s="263">
        <f t="shared" si="80"/>
        <v>102.35990752317218</v>
      </c>
      <c r="V162" s="263">
        <f t="shared" si="80"/>
        <v>127.36527699956821</v>
      </c>
      <c r="W162" s="1"/>
      <c r="X162" s="1"/>
      <c r="Y162" s="1"/>
      <c r="Z162" s="1"/>
      <c r="AA162" s="1"/>
      <c r="AB162" s="1"/>
    </row>
    <row r="163" spans="1:28" customFormat="1" ht="16" outlineLevel="1" x14ac:dyDescent="0.2">
      <c r="A163" s="263"/>
      <c r="B163" s="263"/>
      <c r="C163" s="309"/>
      <c r="D163" s="319"/>
      <c r="E163" s="319"/>
      <c r="F163" s="320"/>
      <c r="G163" s="319"/>
      <c r="H163" s="319"/>
      <c r="I163" s="319"/>
      <c r="J163" s="319"/>
      <c r="K163" s="319"/>
      <c r="L163" s="319"/>
      <c r="M163" s="319"/>
      <c r="N163" s="319"/>
      <c r="O163" s="319"/>
      <c r="P163" s="319"/>
      <c r="Q163" s="235"/>
      <c r="R163" s="235"/>
      <c r="S163" s="235"/>
      <c r="T163" s="235"/>
      <c r="U163" s="235"/>
      <c r="V163" s="235"/>
      <c r="W163" s="1"/>
      <c r="X163" s="1"/>
      <c r="Y163" s="1"/>
      <c r="Z163" s="1"/>
      <c r="AA163" s="1"/>
      <c r="AB163" s="1"/>
    </row>
    <row r="164" spans="1:28" customFormat="1" ht="16" outlineLevel="1" x14ac:dyDescent="0.2">
      <c r="A164" s="342" t="s">
        <v>166</v>
      </c>
      <c r="B164" s="343"/>
      <c r="C164" s="344"/>
      <c r="D164" s="345"/>
      <c r="E164" s="345"/>
      <c r="F164" s="345"/>
      <c r="G164" s="345"/>
      <c r="H164" s="345"/>
      <c r="I164" s="345"/>
      <c r="J164" s="345"/>
      <c r="K164" s="345"/>
      <c r="L164" s="343"/>
      <c r="M164" s="343"/>
      <c r="N164" s="343"/>
      <c r="O164" s="343"/>
      <c r="P164" s="343"/>
      <c r="Q164" s="343"/>
      <c r="R164" s="343"/>
      <c r="S164" s="343"/>
      <c r="T164" s="343"/>
      <c r="U164" s="343"/>
      <c r="V164" s="343"/>
      <c r="W164" s="1"/>
      <c r="X164" s="1"/>
      <c r="Y164" s="1"/>
      <c r="Z164" s="1"/>
      <c r="AA164" s="1"/>
      <c r="AB164" s="1"/>
    </row>
    <row r="165" spans="1:28" customFormat="1" ht="16" outlineLevel="1" x14ac:dyDescent="0.2">
      <c r="A165" s="382" t="s">
        <v>167</v>
      </c>
      <c r="B165" s="378"/>
      <c r="C165" s="379"/>
      <c r="D165" s="380">
        <f>19799+13022+5489</f>
        <v>38310</v>
      </c>
      <c r="E165" s="380">
        <f>20693+15009+6784</f>
        <v>42486</v>
      </c>
      <c r="F165" s="380">
        <f>6381+13040+18191</f>
        <v>37612</v>
      </c>
      <c r="G165" s="380">
        <f>16930+12014+5469</f>
        <v>34413</v>
      </c>
      <c r="H165" s="380">
        <f>H40-H170</f>
        <v>8269</v>
      </c>
      <c r="I165" s="380">
        <f>I40-I170</f>
        <v>8698</v>
      </c>
      <c r="J165" s="380">
        <f>J40-J170</f>
        <v>8844</v>
      </c>
      <c r="K165" s="378">
        <f>L165-SUM(H165:J165)</f>
        <v>7029</v>
      </c>
      <c r="L165" s="380">
        <f>17103+11148+4589</f>
        <v>32840</v>
      </c>
      <c r="M165" s="380">
        <f>M40-M170</f>
        <v>8188</v>
      </c>
      <c r="N165" s="380">
        <f>N40-N170</f>
        <v>8857</v>
      </c>
      <c r="O165" s="380">
        <f>O40-O170</f>
        <v>9081</v>
      </c>
      <c r="P165" s="378">
        <f>Q165-SUM(M165:O165)</f>
        <v>12318.427781262682</v>
      </c>
      <c r="Q165" s="378">
        <f>'Segment Revenue Hist &amp; Forecast'!K3+'Segment Revenue Hist &amp; Forecast'!K6+'Segment Revenue Hist &amp; Forecast'!K9+'Segment Revenue Hist &amp; Forecast'!K12</f>
        <v>38444.427781262682</v>
      </c>
      <c r="R165" s="378">
        <f>'Segment Revenue Hist &amp; Forecast'!L3+'Segment Revenue Hist &amp; Forecast'!L6+'Segment Revenue Hist &amp; Forecast'!L9+'Segment Revenue Hist &amp; Forecast'!L12</f>
        <v>40308.139165894223</v>
      </c>
      <c r="S165" s="378">
        <f>'Segment Revenue Hist &amp; Forecast'!M3+'Segment Revenue Hist &amp; Forecast'!M6+'Segment Revenue Hist &amp; Forecast'!M9+'Segment Revenue Hist &amp; Forecast'!M12</f>
        <v>38151.981661621874</v>
      </c>
      <c r="T165" s="378">
        <f>'Segment Revenue Hist &amp; Forecast'!N3+'Segment Revenue Hist &amp; Forecast'!N6+'Segment Revenue Hist &amp; Forecast'!N9+'Segment Revenue Hist &amp; Forecast'!N12</f>
        <v>33807.393175033001</v>
      </c>
      <c r="U165" s="378">
        <f>'Segment Revenue Hist &amp; Forecast'!O3+'Segment Revenue Hist &amp; Forecast'!O6+'Segment Revenue Hist &amp; Forecast'!O9+'Segment Revenue Hist &amp; Forecast'!O12</f>
        <v>32887.816028621543</v>
      </c>
      <c r="V165" s="378">
        <f>'Segment Revenue Hist &amp; Forecast'!P3+'Segment Revenue Hist &amp; Forecast'!P6+'Segment Revenue Hist &amp; Forecast'!P9+'Segment Revenue Hist &amp; Forecast'!P12</f>
        <v>32131.280939287073</v>
      </c>
      <c r="W165" s="1"/>
      <c r="X165" s="1"/>
      <c r="Y165" s="1"/>
      <c r="Z165" s="1"/>
      <c r="AA165" s="1"/>
      <c r="AB165" s="1"/>
    </row>
    <row r="166" spans="1:28" customFormat="1" ht="16" outlineLevel="1" x14ac:dyDescent="0.2">
      <c r="A166" s="263" t="s">
        <v>168</v>
      </c>
      <c r="B166" s="263"/>
      <c r="C166" s="7"/>
      <c r="D166" s="235">
        <v>57</v>
      </c>
      <c r="E166" s="235">
        <v>10</v>
      </c>
      <c r="F166" s="235">
        <v>35</v>
      </c>
      <c r="G166" s="235">
        <v>21</v>
      </c>
      <c r="H166" s="348"/>
      <c r="I166" s="348"/>
      <c r="J166" s="348"/>
      <c r="K166" s="348"/>
      <c r="L166" s="235">
        <v>38</v>
      </c>
      <c r="M166" s="348"/>
      <c r="N166" s="348"/>
      <c r="O166" s="348"/>
      <c r="P166" s="348"/>
      <c r="Q166" s="263">
        <f t="shared" ref="Q166:V166" si="81">-Q165*Q20</f>
        <v>-29.061496764450887</v>
      </c>
      <c r="R166" s="263">
        <f t="shared" si="81"/>
        <v>-30.470341829918027</v>
      </c>
      <c r="S166" s="263">
        <f t="shared" si="81"/>
        <v>-28.840426444245473</v>
      </c>
      <c r="T166" s="263">
        <f t="shared" si="81"/>
        <v>-25.55619901434962</v>
      </c>
      <c r="U166" s="263">
        <f t="shared" si="81"/>
        <v>-24.861058266849025</v>
      </c>
      <c r="V166" s="263">
        <f t="shared" si="81"/>
        <v>-24.289166751751409</v>
      </c>
      <c r="W166" s="1"/>
      <c r="X166" s="1"/>
      <c r="Y166" s="1"/>
      <c r="Z166" s="1"/>
      <c r="AA166" s="1"/>
      <c r="AB166" s="1"/>
    </row>
    <row r="167" spans="1:28" customFormat="1" ht="16" outlineLevel="1" x14ac:dyDescent="0.2">
      <c r="A167" s="313" t="s">
        <v>169</v>
      </c>
      <c r="B167" s="313"/>
      <c r="C167" s="13"/>
      <c r="D167" s="348"/>
      <c r="E167" s="348"/>
      <c r="F167" s="348"/>
      <c r="G167" s="348"/>
      <c r="H167" s="348"/>
      <c r="I167" s="348"/>
      <c r="J167" s="348"/>
      <c r="K167" s="348"/>
      <c r="L167" s="348"/>
      <c r="M167" s="348"/>
      <c r="N167" s="348"/>
      <c r="O167" s="348"/>
      <c r="P167" s="348"/>
      <c r="Q167" s="313">
        <f t="shared" ref="Q167:V167" si="82">SUM(Q182:Q195)</f>
        <v>46.959999999999994</v>
      </c>
      <c r="R167" s="313">
        <f t="shared" si="82"/>
        <v>39.301532901926784</v>
      </c>
      <c r="S167" s="313">
        <f t="shared" si="82"/>
        <v>31.297578479249189</v>
      </c>
      <c r="T167" s="313">
        <f t="shared" si="82"/>
        <v>26.40963533848192</v>
      </c>
      <c r="U167" s="313">
        <f t="shared" si="82"/>
        <v>25.350461873728534</v>
      </c>
      <c r="V167" s="313">
        <f t="shared" si="82"/>
        <v>25.665269642641739</v>
      </c>
      <c r="W167" s="1"/>
      <c r="X167" s="1"/>
      <c r="Y167" s="1"/>
      <c r="Z167" s="1"/>
      <c r="AA167" s="1"/>
      <c r="AB167" s="1"/>
    </row>
    <row r="168" spans="1:28" customFormat="1" ht="16" outlineLevel="1" x14ac:dyDescent="0.2">
      <c r="A168" s="313"/>
      <c r="B168" s="313"/>
      <c r="C168" s="13"/>
      <c r="D168" s="315"/>
      <c r="E168" s="315"/>
      <c r="F168" s="315"/>
      <c r="G168" s="315"/>
      <c r="H168" s="315"/>
      <c r="I168" s="315"/>
      <c r="J168" s="315"/>
      <c r="K168" s="315"/>
      <c r="L168" s="315"/>
      <c r="M168" s="315"/>
      <c r="N168" s="315"/>
      <c r="O168" s="315"/>
      <c r="P168" s="315"/>
      <c r="Q168" s="313"/>
      <c r="R168" s="313"/>
      <c r="S168" s="313"/>
      <c r="T168" s="313"/>
      <c r="U168" s="313"/>
      <c r="V168" s="313"/>
      <c r="W168" s="1"/>
      <c r="X168" s="1"/>
      <c r="Y168" s="1"/>
      <c r="Z168" s="1"/>
      <c r="AA168" s="1"/>
      <c r="AB168" s="1"/>
    </row>
    <row r="169" spans="1:28" customFormat="1" ht="16" outlineLevel="1" x14ac:dyDescent="0.2">
      <c r="A169" s="342" t="s">
        <v>154</v>
      </c>
      <c r="B169" s="343"/>
      <c r="C169" s="344"/>
      <c r="D169" s="577"/>
      <c r="E169" s="577"/>
      <c r="F169" s="577"/>
      <c r="G169" s="577"/>
      <c r="H169" s="577"/>
      <c r="I169" s="577"/>
      <c r="J169" s="577"/>
      <c r="K169" s="577"/>
      <c r="L169" s="577"/>
      <c r="M169" s="577"/>
      <c r="N169" s="577"/>
      <c r="O169" s="577"/>
      <c r="P169" s="343"/>
      <c r="Q169" s="343"/>
      <c r="R169" s="343"/>
      <c r="S169" s="343"/>
      <c r="T169" s="343"/>
      <c r="U169" s="343"/>
      <c r="V169" s="343"/>
      <c r="W169" s="1"/>
      <c r="X169" s="1"/>
      <c r="Y169" s="1"/>
      <c r="Z169" s="1"/>
      <c r="AA169" s="1"/>
      <c r="AB169" s="1"/>
    </row>
    <row r="170" spans="1:28" customFormat="1" ht="16" outlineLevel="1" x14ac:dyDescent="0.2">
      <c r="A170" s="378" t="s">
        <v>170</v>
      </c>
      <c r="B170" s="378"/>
      <c r="C170" s="381"/>
      <c r="D170" s="380">
        <f>2082+170</f>
        <v>2252</v>
      </c>
      <c r="E170" s="380">
        <f>2190+190</f>
        <v>2380</v>
      </c>
      <c r="F170" s="380">
        <f>2149+183</f>
        <v>2332</v>
      </c>
      <c r="G170" s="380">
        <f>2357+173</f>
        <v>2530</v>
      </c>
      <c r="H170" s="380">
        <v>578</v>
      </c>
      <c r="I170" s="380">
        <v>590</v>
      </c>
      <c r="J170" s="380">
        <v>601</v>
      </c>
      <c r="K170" s="378">
        <f>L170-SUM(H170:J170)</f>
        <v>862</v>
      </c>
      <c r="L170" s="380">
        <f>175+2456</f>
        <v>2631</v>
      </c>
      <c r="M170" s="380">
        <v>579</v>
      </c>
      <c r="N170" s="380">
        <v>581</v>
      </c>
      <c r="O170" s="380">
        <v>591</v>
      </c>
      <c r="P170" s="378">
        <f>Q170-SUM(M170:O170)</f>
        <v>871.84227498449627</v>
      </c>
      <c r="Q170" s="378">
        <f>'Segment Revenue Hist &amp; Forecast'!K15</f>
        <v>2622.8422749844963</v>
      </c>
      <c r="R170" s="378">
        <f>'Segment Revenue Hist &amp; Forecast'!L15</f>
        <v>2749.9925875289823</v>
      </c>
      <c r="S170" s="378">
        <f>'Segment Revenue Hist &amp; Forecast'!M15</f>
        <v>2602.8903576321736</v>
      </c>
      <c r="T170" s="378">
        <f>'Segment Revenue Hist &amp; Forecast'!N15</f>
        <v>2306.4840639848512</v>
      </c>
      <c r="U170" s="378">
        <f>'Segment Revenue Hist &amp; Forecast'!O15</f>
        <v>2243.7466023053435</v>
      </c>
      <c r="V170" s="378">
        <f>'Segment Revenue Hist &amp; Forecast'!P15</f>
        <v>2192.1325627856104</v>
      </c>
      <c r="W170" s="1"/>
      <c r="X170" s="1"/>
      <c r="Y170" s="1"/>
      <c r="Z170" s="1"/>
      <c r="AA170" s="1"/>
      <c r="AB170" s="1"/>
    </row>
    <row r="171" spans="1:28" customFormat="1" ht="16" outlineLevel="1" x14ac:dyDescent="0.2">
      <c r="A171" s="313" t="s">
        <v>154</v>
      </c>
      <c r="B171" s="313"/>
      <c r="C171" s="13"/>
      <c r="D171" s="313">
        <f t="shared" ref="D171:N171" si="83">D84</f>
        <v>711</v>
      </c>
      <c r="E171" s="313">
        <f t="shared" si="83"/>
        <v>1103</v>
      </c>
      <c r="F171" s="313">
        <f t="shared" si="83"/>
        <v>1116</v>
      </c>
      <c r="G171" s="313">
        <f t="shared" si="83"/>
        <v>1000</v>
      </c>
      <c r="H171" s="313">
        <f t="shared" si="83"/>
        <v>923</v>
      </c>
      <c r="I171" s="313">
        <f t="shared" si="83"/>
        <v>940</v>
      </c>
      <c r="J171" s="313">
        <f t="shared" si="83"/>
        <v>878</v>
      </c>
      <c r="K171" s="313">
        <f t="shared" si="83"/>
        <v>951</v>
      </c>
      <c r="L171" s="313">
        <f t="shared" si="83"/>
        <v>951</v>
      </c>
      <c r="M171" s="313">
        <f t="shared" si="83"/>
        <v>891</v>
      </c>
      <c r="N171" s="313">
        <f t="shared" si="83"/>
        <v>889</v>
      </c>
      <c r="O171" s="313">
        <f>O84</f>
        <v>853</v>
      </c>
      <c r="P171" s="313">
        <f>P84</f>
        <v>944.22321899441863</v>
      </c>
      <c r="Q171" s="313">
        <f t="shared" ref="Q171:V171" si="84">Q170*Q30</f>
        <v>944.22321899441863</v>
      </c>
      <c r="R171" s="313">
        <f t="shared" si="84"/>
        <v>989.99733151043358</v>
      </c>
      <c r="S171" s="313">
        <f t="shared" si="84"/>
        <v>937.04052874758247</v>
      </c>
      <c r="T171" s="313">
        <f t="shared" si="84"/>
        <v>830.33426303454644</v>
      </c>
      <c r="U171" s="313">
        <f t="shared" si="84"/>
        <v>807.7487768299236</v>
      </c>
      <c r="V171" s="313">
        <f t="shared" si="84"/>
        <v>789.16772260281971</v>
      </c>
      <c r="W171" s="1"/>
      <c r="X171" s="1"/>
      <c r="Y171" s="1"/>
      <c r="Z171" s="1"/>
      <c r="AA171" s="1"/>
      <c r="AB171" s="1"/>
    </row>
    <row r="172" spans="1:28" customFormat="1" ht="16" outlineLevel="1" x14ac:dyDescent="0.2">
      <c r="A172" s="313"/>
      <c r="B172" s="313"/>
      <c r="C172" s="13"/>
      <c r="D172" s="315"/>
      <c r="E172" s="315"/>
      <c r="F172" s="315"/>
      <c r="G172" s="315"/>
      <c r="H172" s="315"/>
      <c r="I172" s="315"/>
      <c r="J172" s="315"/>
      <c r="K172" s="315"/>
      <c r="L172" s="315"/>
      <c r="M172" s="315"/>
      <c r="N172" s="315"/>
      <c r="O172" s="315"/>
      <c r="P172" s="315"/>
      <c r="Q172" s="313"/>
      <c r="R172" s="313"/>
      <c r="S172" s="313"/>
      <c r="T172" s="313"/>
      <c r="U172" s="313"/>
      <c r="V172" s="313"/>
      <c r="W172" s="1"/>
      <c r="X172" s="1"/>
      <c r="Y172" s="1"/>
      <c r="Z172" s="1"/>
      <c r="AA172" s="1"/>
      <c r="AB172" s="1"/>
    </row>
    <row r="173" spans="1:28" customFormat="1" ht="16" outlineLevel="1" x14ac:dyDescent="0.2">
      <c r="A173" s="342" t="s">
        <v>171</v>
      </c>
      <c r="B173" s="343"/>
      <c r="C173" s="344"/>
      <c r="D173" s="345"/>
      <c r="E173" s="345"/>
      <c r="F173" s="345"/>
      <c r="G173" s="345"/>
      <c r="H173" s="345"/>
      <c r="I173" s="345"/>
      <c r="J173" s="345"/>
      <c r="K173" s="345"/>
      <c r="L173" s="343"/>
      <c r="M173" s="343"/>
      <c r="N173" s="343"/>
      <c r="O173" s="343"/>
      <c r="P173" s="343"/>
      <c r="Q173" s="343"/>
      <c r="R173" s="343"/>
      <c r="S173" s="343"/>
      <c r="T173" s="343"/>
      <c r="U173" s="343"/>
      <c r="V173" s="343"/>
      <c r="W173" s="1"/>
      <c r="X173" s="1"/>
      <c r="Y173" s="1"/>
      <c r="Z173" s="1"/>
      <c r="AA173" s="1"/>
      <c r="AB173" s="1"/>
    </row>
    <row r="174" spans="1:28" customFormat="1" ht="16" outlineLevel="1" x14ac:dyDescent="0.2">
      <c r="A174" s="263" t="s">
        <v>172</v>
      </c>
      <c r="B174" s="263"/>
      <c r="C174" s="309"/>
      <c r="D174" s="235">
        <f>14+1257</f>
        <v>1271</v>
      </c>
      <c r="E174" s="263">
        <f t="shared" ref="E174:K174" si="85">E89+E87+E92</f>
        <v>1229</v>
      </c>
      <c r="F174" s="263">
        <f t="shared" si="85"/>
        <v>1176</v>
      </c>
      <c r="G174" s="263">
        <f t="shared" si="85"/>
        <v>1165</v>
      </c>
      <c r="H174" s="263">
        <f t="shared" si="85"/>
        <v>1149</v>
      </c>
      <c r="I174" s="263">
        <f t="shared" si="85"/>
        <v>1170</v>
      </c>
      <c r="J174" s="263">
        <f t="shared" si="85"/>
        <v>1156</v>
      </c>
      <c r="K174" s="263">
        <f t="shared" si="85"/>
        <v>1154</v>
      </c>
      <c r="L174" s="263">
        <f>L89+L87+L92+7</f>
        <v>1161</v>
      </c>
      <c r="M174" s="263">
        <f>M89+M87+M92</f>
        <v>1163</v>
      </c>
      <c r="N174" s="263">
        <f>N89+N87+N92</f>
        <v>1174</v>
      </c>
      <c r="O174" s="263">
        <f>O89+O87+O92</f>
        <v>1165</v>
      </c>
      <c r="P174" s="263">
        <f>P89+P87+P92</f>
        <v>1165</v>
      </c>
      <c r="Q174" s="263">
        <f>L176</f>
        <v>1144</v>
      </c>
      <c r="R174" s="263">
        <f>Q176</f>
        <v>1135</v>
      </c>
      <c r="S174" s="263">
        <f>R176</f>
        <v>1135</v>
      </c>
      <c r="T174" s="263">
        <f>S176</f>
        <v>1135</v>
      </c>
      <c r="U174" s="263">
        <f>T176</f>
        <v>1135</v>
      </c>
      <c r="V174" s="263">
        <f>U176</f>
        <v>1135</v>
      </c>
      <c r="W174" s="1"/>
      <c r="X174" s="1"/>
      <c r="Y174" s="1"/>
      <c r="Z174" s="1"/>
      <c r="AA174" s="1"/>
      <c r="AB174" s="1"/>
    </row>
    <row r="175" spans="1:28" customFormat="1" ht="16" outlineLevel="1" x14ac:dyDescent="0.2">
      <c r="A175" s="263" t="s">
        <v>173</v>
      </c>
      <c r="B175" s="263"/>
      <c r="C175" s="309"/>
      <c r="D175" s="263">
        <f t="shared" ref="D175:P175" si="86">D137</f>
        <v>-42</v>
      </c>
      <c r="E175" s="263">
        <f t="shared" si="86"/>
        <v>-53</v>
      </c>
      <c r="F175" s="263">
        <f t="shared" si="86"/>
        <v>-11</v>
      </c>
      <c r="G175" s="263">
        <f t="shared" si="86"/>
        <v>-11</v>
      </c>
      <c r="H175" s="263">
        <f t="shared" si="86"/>
        <v>0</v>
      </c>
      <c r="I175" s="263">
        <f t="shared" si="86"/>
        <v>0</v>
      </c>
      <c r="J175" s="263">
        <f t="shared" si="86"/>
        <v>-13</v>
      </c>
      <c r="K175" s="263">
        <f t="shared" si="86"/>
        <v>-4</v>
      </c>
      <c r="L175" s="263">
        <f>L137</f>
        <v>-17</v>
      </c>
      <c r="M175" s="263">
        <f>M137</f>
        <v>0</v>
      </c>
      <c r="N175" s="263">
        <f t="shared" si="86"/>
        <v>0</v>
      </c>
      <c r="O175" s="263">
        <f t="shared" si="86"/>
        <v>-9</v>
      </c>
      <c r="P175" s="263">
        <f t="shared" si="86"/>
        <v>0</v>
      </c>
      <c r="Q175" s="263">
        <f t="shared" ref="Q175:V175" si="87">Q27</f>
        <v>-9</v>
      </c>
      <c r="R175" s="263">
        <f t="shared" si="87"/>
        <v>0</v>
      </c>
      <c r="S175" s="263">
        <f t="shared" si="87"/>
        <v>0</v>
      </c>
      <c r="T175" s="263">
        <f t="shared" si="87"/>
        <v>0</v>
      </c>
      <c r="U175" s="263">
        <f t="shared" si="87"/>
        <v>0</v>
      </c>
      <c r="V175" s="263">
        <f t="shared" si="87"/>
        <v>0</v>
      </c>
      <c r="W175" s="1"/>
      <c r="X175" s="1"/>
      <c r="Y175" s="1"/>
      <c r="Z175" s="1"/>
      <c r="AA175" s="1"/>
      <c r="AB175" s="1"/>
    </row>
    <row r="176" spans="1:28" customFormat="1" ht="16" outlineLevel="1" x14ac:dyDescent="0.2">
      <c r="A176" s="310" t="s">
        <v>174</v>
      </c>
      <c r="B176" s="310"/>
      <c r="C176" s="311"/>
      <c r="D176" s="310">
        <f t="shared" ref="D176:T176" si="88">D174+D175</f>
        <v>1229</v>
      </c>
      <c r="E176" s="310">
        <f t="shared" si="88"/>
        <v>1176</v>
      </c>
      <c r="F176" s="310">
        <f t="shared" si="88"/>
        <v>1165</v>
      </c>
      <c r="G176" s="310">
        <f t="shared" si="88"/>
        <v>1154</v>
      </c>
      <c r="H176" s="310">
        <f>H174+H175</f>
        <v>1149</v>
      </c>
      <c r="I176" s="310">
        <f>I174+I175</f>
        <v>1170</v>
      </c>
      <c r="J176" s="310">
        <f>J174+J175</f>
        <v>1143</v>
      </c>
      <c r="K176" s="310">
        <f>K174+K175</f>
        <v>1150</v>
      </c>
      <c r="L176" s="310">
        <f>L174+L175</f>
        <v>1144</v>
      </c>
      <c r="M176" s="310">
        <f t="shared" si="88"/>
        <v>1163</v>
      </c>
      <c r="N176" s="310">
        <f>N174+N175</f>
        <v>1174</v>
      </c>
      <c r="O176" s="310">
        <f>O174+O175</f>
        <v>1156</v>
      </c>
      <c r="P176" s="310">
        <f>P174+P175</f>
        <v>1165</v>
      </c>
      <c r="Q176" s="310">
        <f t="shared" si="88"/>
        <v>1135</v>
      </c>
      <c r="R176" s="310">
        <f t="shared" si="88"/>
        <v>1135</v>
      </c>
      <c r="S176" s="310">
        <f t="shared" si="88"/>
        <v>1135</v>
      </c>
      <c r="T176" s="310">
        <f t="shared" si="88"/>
        <v>1135</v>
      </c>
      <c r="U176" s="310">
        <f>U174+U175</f>
        <v>1135</v>
      </c>
      <c r="V176" s="310">
        <f>V174+V175</f>
        <v>1135</v>
      </c>
      <c r="W176" s="1"/>
      <c r="X176" s="1"/>
      <c r="Y176" s="1"/>
      <c r="Z176" s="1"/>
      <c r="AA176" s="1"/>
      <c r="AB176" s="1"/>
    </row>
    <row r="177" spans="1:28" customFormat="1" ht="16" outlineLevel="1" x14ac:dyDescent="0.2">
      <c r="A177" s="263" t="s">
        <v>175</v>
      </c>
      <c r="B177" s="263"/>
      <c r="C177" s="7"/>
      <c r="D177" s="263">
        <f t="shared" ref="D177:P177" si="89">-D56</f>
        <v>52</v>
      </c>
      <c r="E177" s="263">
        <f t="shared" si="89"/>
        <v>25</v>
      </c>
      <c r="F177" s="263">
        <f t="shared" si="89"/>
        <v>35</v>
      </c>
      <c r="G177" s="263">
        <f t="shared" si="89"/>
        <v>52</v>
      </c>
      <c r="H177" s="263">
        <f t="shared" si="89"/>
        <v>12</v>
      </c>
      <c r="I177" s="263">
        <f t="shared" si="89"/>
        <v>13</v>
      </c>
      <c r="J177" s="263">
        <f t="shared" si="89"/>
        <v>13</v>
      </c>
      <c r="K177" s="263">
        <f t="shared" si="89"/>
        <v>13</v>
      </c>
      <c r="L177" s="263">
        <f t="shared" si="89"/>
        <v>51</v>
      </c>
      <c r="M177" s="263">
        <f t="shared" si="89"/>
        <v>12</v>
      </c>
      <c r="N177" s="263">
        <f t="shared" si="89"/>
        <v>12</v>
      </c>
      <c r="O177" s="263">
        <f t="shared" si="89"/>
        <v>12</v>
      </c>
      <c r="P177" s="263">
        <f t="shared" si="89"/>
        <v>11.981437768061234</v>
      </c>
      <c r="Q177" s="263">
        <f t="shared" ref="Q177:V177" si="90">AVERAGE(Q174,Q176)*Q28</f>
        <v>46.951351083474258</v>
      </c>
      <c r="R177" s="263">
        <f t="shared" si="90"/>
        <v>46.765935480248601</v>
      </c>
      <c r="S177" s="263">
        <f t="shared" si="90"/>
        <v>46.765935480248601</v>
      </c>
      <c r="T177" s="263">
        <f t="shared" si="90"/>
        <v>46.765935480248601</v>
      </c>
      <c r="U177" s="263">
        <f t="shared" si="90"/>
        <v>46.765935480248601</v>
      </c>
      <c r="V177" s="263">
        <f t="shared" si="90"/>
        <v>46.765935480248601</v>
      </c>
      <c r="W177" s="1"/>
      <c r="X177" s="1"/>
      <c r="Y177" s="1"/>
      <c r="Z177" s="1"/>
      <c r="AA177" s="1"/>
      <c r="AB177" s="1"/>
    </row>
    <row r="178" spans="1:28" ht="16" x14ac:dyDescent="0.2">
      <c r="A178" s="263"/>
      <c r="B178" s="263"/>
      <c r="D178" s="263"/>
      <c r="E178" s="263"/>
      <c r="F178" s="263"/>
      <c r="G178" s="263"/>
      <c r="H178" s="263"/>
      <c r="I178" s="263"/>
      <c r="J178" s="263"/>
      <c r="K178" s="263"/>
      <c r="L178" s="263"/>
      <c r="M178" s="263"/>
      <c r="N178" s="263"/>
      <c r="O178" s="263"/>
      <c r="P178" s="263"/>
      <c r="Q178" s="263"/>
      <c r="R178" s="263"/>
      <c r="S178" s="263"/>
      <c r="T178" s="263"/>
      <c r="U178" s="263"/>
      <c r="V178" s="263"/>
      <c r="W178" s="263"/>
      <c r="X178" s="263"/>
      <c r="Y178" s="263"/>
      <c r="Z178" s="263"/>
      <c r="AA178" s="263"/>
      <c r="AB178" s="263"/>
    </row>
    <row r="179" spans="1:28" ht="16" x14ac:dyDescent="0.2">
      <c r="A179" s="263"/>
      <c r="B179" s="546"/>
      <c r="Q179" s="263"/>
      <c r="R179" s="263"/>
      <c r="S179" s="263"/>
      <c r="T179" s="263"/>
      <c r="U179" s="263"/>
      <c r="V179" s="263"/>
      <c r="W179" s="263"/>
      <c r="X179" s="263"/>
      <c r="Y179" s="263"/>
      <c r="Z179" s="263"/>
      <c r="AA179" s="263"/>
      <c r="AB179" s="263"/>
    </row>
    <row r="180" spans="1:28" s="613" customFormat="1" ht="16" outlineLevel="1" x14ac:dyDescent="0.2">
      <c r="A180" s="601" t="s">
        <v>48</v>
      </c>
      <c r="B180" s="602"/>
      <c r="C180" s="602"/>
      <c r="D180" s="602"/>
      <c r="E180" s="602"/>
      <c r="F180" s="602"/>
      <c r="G180" s="602"/>
      <c r="H180" s="602"/>
      <c r="I180" s="602"/>
      <c r="J180" s="602"/>
      <c r="K180" s="602"/>
      <c r="L180" s="603">
        <v>2021</v>
      </c>
      <c r="M180" s="603">
        <v>2022</v>
      </c>
      <c r="N180" s="603">
        <v>2023</v>
      </c>
      <c r="O180" s="603">
        <v>2024</v>
      </c>
      <c r="P180" s="603">
        <v>2025</v>
      </c>
      <c r="Q180" s="603">
        <v>2026</v>
      </c>
      <c r="R180" s="603">
        <v>2027</v>
      </c>
      <c r="S180" s="603">
        <v>2028</v>
      </c>
      <c r="T180" s="603">
        <v>2029</v>
      </c>
      <c r="U180" s="603">
        <v>2030</v>
      </c>
      <c r="V180" s="603">
        <v>2031</v>
      </c>
      <c r="AA180" s="614"/>
      <c r="AB180" s="614"/>
    </row>
    <row r="181" spans="1:28" ht="16" outlineLevel="1" x14ac:dyDescent="0.2">
      <c r="A181" s="582" t="s">
        <v>38</v>
      </c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AA181" s="263"/>
      <c r="AB181" s="263"/>
    </row>
    <row r="182" spans="1:28" ht="16" outlineLevel="1" x14ac:dyDescent="0.2">
      <c r="A182" s="562">
        <v>2017</v>
      </c>
      <c r="L182" s="563">
        <f>IF($A182+1&gt;L$180,0,IF(ROUND(INDEX('Useful Life &amp; SG&amp;A Build'!$A$9:$B$12,3,2),0)+$A182&lt;L$180,0,IF(ROUND(INDEX('Useful Life &amp; SG&amp;A Build'!$A$9:$B$12,3,2),0)+$A182=L$180,0.5*IFERROR(INDEX('Useful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5.333333333333333</v>
      </c>
      <c r="M182" s="563">
        <f>IF($A182+1&gt;M$180,0,IF(ROUND(INDEX('Useful Life &amp; SG&amp;A Build'!$A$9:$B$12,3,2),0)+$A182&lt;M$180,0,IF(ROUND(INDEX('Useful Life &amp; SG&amp;A Build'!$A$9:$B$12,3,2),0)+$A182=M$180,0.5*IFERROR(INDEX('Useful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5.333333333333333</v>
      </c>
      <c r="N182" s="563">
        <f>IF($A182+1&gt;N$180,0,IF(ROUND(INDEX('Useful Life &amp; SG&amp;A Build'!$A$9:$B$12,3,2),0)+$A182&lt;N$180,0,IF(ROUND(INDEX('Useful Life &amp; SG&amp;A Build'!$A$9:$B$12,3,2),0)+$A182=N$180,0.5*IFERROR(INDEX('Useful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5.333333333333333</v>
      </c>
      <c r="O182" s="563">
        <f>IF($A182+1&gt;O$180,0,IF(ROUND(INDEX('Useful Life &amp; SG&amp;A Build'!$A$9:$B$12,3,2),0)+$A182&lt;O$180,0,IF(ROUND(INDEX('Useful Life &amp; SG&amp;A Build'!$A$9:$B$12,3,2),0)+$A182=O$180,0.5*IFERROR(INDEX('Useful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5.333333333333333</v>
      </c>
      <c r="P182" s="563">
        <f>IF($A182+1&gt;P$180,0,IF(ROUND(INDEX('Useful Life &amp; SG&amp;A Build'!$A$9:$B$12,3,2),0)+$A182&lt;P$180,0,IF(ROUND(INDEX('Useful Life &amp; SG&amp;A Build'!$A$9:$B$12,3,2),0)+$A182=P$180,0.5*IFERROR(INDEX('Useful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2.6666666666666665</v>
      </c>
      <c r="Q182" s="563">
        <f>IF($A182+1&gt;Q$180,0,IF(ROUND(INDEX('Useful Life &amp; SG&amp;A Build'!$A$9:$B$12,3,2),0)+$A182&lt;Q$180,0,IF(ROUND(INDEX('Useful Life &amp; SG&amp;A Build'!$A$9:$B$12,3,2),0)+$A182=Q$180,0.5*IFERROR(INDEX('Useful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R182" s="563">
        <f>IF($A182+1&gt;R$180,0,IF(ROUND(INDEX('Useful Life &amp; SG&amp;A Build'!$A$9:$B$12,3,2),0)+$A182&lt;R$180,0,IF(ROUND(INDEX('Useful Life &amp; SG&amp;A Build'!$A$9:$B$12,3,2),0)+$A182=R$180,0.5*IFERROR(INDEX('Useful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S182" s="563">
        <f>IF($A182+1&gt;S$180,0,IF(ROUND(INDEX('Useful Life &amp; SG&amp;A Build'!$A$9:$B$12,3,2),0)+$A182&lt;S$180,0,IF(ROUND(INDEX('Useful Life &amp; SG&amp;A Build'!$A$9:$B$12,3,2),0)+$A182=S$180,0.5*IFERROR(INDEX('Useful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T182" s="563">
        <f>IF($A182+1&gt;T$180,0,IF(ROUND(INDEX('Useful Life &amp; SG&amp;A Build'!$A$9:$B$12,3,2),0)+$A182&lt;T$180,0,IF(ROUND(INDEX('Useful Life &amp; SG&amp;A Build'!$A$9:$B$12,3,2),0)+$A182=T$180,0.5*IFERROR(INDEX('Useful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U182" s="563">
        <f>IF($A182+1&gt;U$180,0,IF(ROUND(INDEX('Useful Life &amp; SG&amp;A Build'!$A$9:$B$12,3,2),0)+$A182&lt;U$180,0,IF(ROUND(INDEX('Useful Life &amp; SG&amp;A Build'!$A$9:$B$12,3,2),0)+$A182=U$180,0.5*IFERROR(INDEX('Useful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V182" s="563">
        <f>IF($A182+1&gt;V$180,0,IF(ROUND(INDEX('Useful Life &amp; SG&amp;A Build'!$A$9:$B$12,3,2),0)+$A182&lt;V$180,0,IF(ROUND(INDEX('Useful Life &amp; SG&amp;A Build'!$A$9:$B$12,3,2),0)+$A182=V$180,0.5*IFERROR(INDEX('Useful Life &amp; SG&amp;A Build'!$A$3:$K$6,3,MATCH($A182,'Useful Life &amp; SG&amp;A Build'!$A$3:$K$3,0))/INDEX('Useful Life &amp; SG&amp;A Build'!$A$9:$B$12,3,2),0),IFERROR(INDEX('Useful Life &amp; SG&amp;A Build'!$A$3:$K$6,3,MATCH($A182,'Useful Life &amp; SG&amp;A Build'!$A$3:$K$3,0))/INDEX('Useful Life &amp; SG&amp;A Build'!$A$9:$B$12,3,2),0))))</f>
        <v>0</v>
      </c>
      <c r="AA182" s="263"/>
      <c r="AB182" s="263"/>
    </row>
    <row r="183" spans="1:28" ht="16" outlineLevel="1" x14ac:dyDescent="0.2">
      <c r="A183" s="562">
        <f>A182+1</f>
        <v>2018</v>
      </c>
      <c r="L183" s="563">
        <f>IF($A183+1&gt;L$180,0,IF(ROUND(INDEX('Useful Life &amp; SG&amp;A Build'!$A$9:$B$12,3,2),0)+$A183&lt;L$180,0,IF(ROUND(INDEX('Useful Life &amp; SG&amp;A Build'!$A$9:$B$12,3,2),0)+$A183=L$180,0.5*IFERROR(INDEX('Useful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8.8000000000000007</v>
      </c>
      <c r="M183" s="563">
        <f>IF($A183+1&gt;M$180,0,IF(ROUND(INDEX('Useful Life &amp; SG&amp;A Build'!$A$9:$B$12,3,2),0)+$A183&lt;M$180,0,IF(ROUND(INDEX('Useful Life &amp; SG&amp;A Build'!$A$9:$B$12,3,2),0)+$A183=M$180,0.5*IFERROR(INDEX('Useful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8.8000000000000007</v>
      </c>
      <c r="N183" s="563">
        <f>IF($A183+1&gt;N$180,0,IF(ROUND(INDEX('Useful Life &amp; SG&amp;A Build'!$A$9:$B$12,3,2),0)+$A183&lt;N$180,0,IF(ROUND(INDEX('Useful Life &amp; SG&amp;A Build'!$A$9:$B$12,3,2),0)+$A183=N$180,0.5*IFERROR(INDEX('Useful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8.8000000000000007</v>
      </c>
      <c r="O183" s="563">
        <f>IF($A183+1&gt;O$180,0,IF(ROUND(INDEX('Useful Life &amp; SG&amp;A Build'!$A$9:$B$12,3,2),0)+$A183&lt;O$180,0,IF(ROUND(INDEX('Useful Life &amp; SG&amp;A Build'!$A$9:$B$12,3,2),0)+$A183=O$180,0.5*IFERROR(INDEX('Useful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8.8000000000000007</v>
      </c>
      <c r="P183" s="563">
        <f>IF($A183+1&gt;P$180,0,IF(ROUND(INDEX('Useful Life &amp; SG&amp;A Build'!$A$9:$B$12,3,2),0)+$A183&lt;P$180,0,IF(ROUND(INDEX('Useful Life &amp; SG&amp;A Build'!$A$9:$B$12,3,2),0)+$A183=P$180,0.5*IFERROR(INDEX('Useful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8.8000000000000007</v>
      </c>
      <c r="Q183" s="563">
        <f>IF($A183+1&gt;Q$180,0,IF(ROUND(INDEX('Useful Life &amp; SG&amp;A Build'!$A$9:$B$12,3,2),0)+$A183&lt;Q$180,0,IF(ROUND(INDEX('Useful Life &amp; SG&amp;A Build'!$A$9:$B$12,3,2),0)+$A183=Q$180,0.5*IFERROR(INDEX('Useful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4.4000000000000004</v>
      </c>
      <c r="R183" s="563">
        <f>IF($A183+1&gt;R$180,0,IF(ROUND(INDEX('Useful Life &amp; SG&amp;A Build'!$A$9:$B$12,3,2),0)+$A183&lt;R$180,0,IF(ROUND(INDEX('Useful Life &amp; SG&amp;A Build'!$A$9:$B$12,3,2),0)+$A183=R$180,0.5*IFERROR(INDEX('Useful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0</v>
      </c>
      <c r="S183" s="563">
        <f>IF($A183+1&gt;S$180,0,IF(ROUND(INDEX('Useful Life &amp; SG&amp;A Build'!$A$9:$B$12,3,2),0)+$A183&lt;S$180,0,IF(ROUND(INDEX('Useful Life &amp; SG&amp;A Build'!$A$9:$B$12,3,2),0)+$A183=S$180,0.5*IFERROR(INDEX('Useful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0</v>
      </c>
      <c r="T183" s="563">
        <f>IF($A183+1&gt;T$180,0,IF(ROUND(INDEX('Useful Life &amp; SG&amp;A Build'!$A$9:$B$12,3,2),0)+$A183&lt;T$180,0,IF(ROUND(INDEX('Useful Life &amp; SG&amp;A Build'!$A$9:$B$12,3,2),0)+$A183=T$180,0.5*IFERROR(INDEX('Useful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0</v>
      </c>
      <c r="U183" s="563">
        <f>IF($A183+1&gt;U$180,0,IF(ROUND(INDEX('Useful Life &amp; SG&amp;A Build'!$A$9:$B$12,3,2),0)+$A183&lt;U$180,0,IF(ROUND(INDEX('Useful Life &amp; SG&amp;A Build'!$A$9:$B$12,3,2),0)+$A183=U$180,0.5*IFERROR(INDEX('Useful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0</v>
      </c>
      <c r="V183" s="563">
        <f>IF($A183+1&gt;V$180,0,IF(ROUND(INDEX('Useful Life &amp; SG&amp;A Build'!$A$9:$B$12,3,2),0)+$A183&lt;V$180,0,IF(ROUND(INDEX('Useful Life &amp; SG&amp;A Build'!$A$9:$B$12,3,2),0)+$A183=V$180,0.5*IFERROR(INDEX('Useful Life &amp; SG&amp;A Build'!$A$3:$K$6,3,MATCH($A183,'Useful Life &amp; SG&amp;A Build'!$A$3:$K$3,0))/INDEX('Useful Life &amp; SG&amp;A Build'!$A$9:$B$12,3,2),0),IFERROR(INDEX('Useful Life &amp; SG&amp;A Build'!$A$3:$K$6,3,MATCH($A183,'Useful Life &amp; SG&amp;A Build'!$A$3:$K$3,0))/INDEX('Useful Life &amp; SG&amp;A Build'!$A$9:$B$12,3,2),0))))</f>
        <v>0</v>
      </c>
      <c r="AA183" s="263"/>
      <c r="AB183" s="263"/>
    </row>
    <row r="184" spans="1:28" ht="16" outlineLevel="1" x14ac:dyDescent="0.2">
      <c r="A184" s="562">
        <v>2019</v>
      </c>
      <c r="L184" s="563">
        <f>IF($A184+1&gt;L$180,0,IF(ROUND(INDEX('Useful Life &amp; SG&amp;A Build'!$A$9:$B$12,3,2),0)+$A184&lt;L$180,0,IF(ROUND(INDEX('Useful Life &amp; SG&amp;A Build'!$A$9:$B$12,3,2),0)+$A184=L$180,0.5*IFERROR(INDEX('Useful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M184" s="563">
        <f>IF($A184+1&gt;M$180,0,IF(ROUND(INDEX('Useful Life &amp; SG&amp;A Build'!$A$9:$B$12,3,2),0)+$A184&lt;M$180,0,IF(ROUND(INDEX('Useful Life &amp; SG&amp;A Build'!$A$9:$B$12,3,2),0)+$A184=M$180,0.5*IFERROR(INDEX('Useful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N184" s="563">
        <f>IF($A184+1&gt;N$180,0,IF(ROUND(INDEX('Useful Life &amp; SG&amp;A Build'!$A$9:$B$12,3,2),0)+$A184&lt;N$180,0,IF(ROUND(INDEX('Useful Life &amp; SG&amp;A Build'!$A$9:$B$12,3,2),0)+$A184=N$180,0.5*IFERROR(INDEX('Useful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O184" s="563">
        <f>IF($A184+1&gt;O$180,0,IF(ROUND(INDEX('Useful Life &amp; SG&amp;A Build'!$A$9:$B$12,3,2),0)+$A184&lt;O$180,0,IF(ROUND(INDEX('Useful Life &amp; SG&amp;A Build'!$A$9:$B$12,3,2),0)+$A184=O$180,0.5*IFERROR(INDEX('Useful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P184" s="563">
        <f>IF($A184+1&gt;P$180,0,IF(ROUND(INDEX('Useful Life &amp; SG&amp;A Build'!$A$9:$B$12,3,2),0)+$A184&lt;P$180,0,IF(ROUND(INDEX('Useful Life &amp; SG&amp;A Build'!$A$9:$B$12,3,2),0)+$A184=P$180,0.5*IFERROR(INDEX('Useful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Q184" s="563">
        <f>IF($A184+1&gt;Q$180,0,IF(ROUND(INDEX('Useful Life &amp; SG&amp;A Build'!$A$9:$B$12,3,2),0)+$A184&lt;Q$180,0,IF(ROUND(INDEX('Useful Life &amp; SG&amp;A Build'!$A$9:$B$12,3,2),0)+$A184=Q$180,0.5*IFERROR(INDEX('Useful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14.266666666666667</v>
      </c>
      <c r="R184" s="563">
        <f>IF($A184+1&gt;R$180,0,IF(ROUND(INDEX('Useful Life &amp; SG&amp;A Build'!$A$9:$B$12,3,2),0)+$A184&lt;R$180,0,IF(ROUND(INDEX('Useful Life &amp; SG&amp;A Build'!$A$9:$B$12,3,2),0)+$A184=R$180,0.5*IFERROR(INDEX('Useful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7.1333333333333337</v>
      </c>
      <c r="S184" s="563">
        <f>IF($A184+1&gt;S$180,0,IF(ROUND(INDEX('Useful Life &amp; SG&amp;A Build'!$A$9:$B$12,3,2),0)+$A184&lt;S$180,0,IF(ROUND(INDEX('Useful Life &amp; SG&amp;A Build'!$A$9:$B$12,3,2),0)+$A184=S$180,0.5*IFERROR(INDEX('Useful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0</v>
      </c>
      <c r="T184" s="563">
        <f>IF($A184+1&gt;T$180,0,IF(ROUND(INDEX('Useful Life &amp; SG&amp;A Build'!$A$9:$B$12,3,2),0)+$A184&lt;T$180,0,IF(ROUND(INDEX('Useful Life &amp; SG&amp;A Build'!$A$9:$B$12,3,2),0)+$A184=T$180,0.5*IFERROR(INDEX('Useful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0</v>
      </c>
      <c r="U184" s="563">
        <f>IF($A184+1&gt;U$180,0,IF(ROUND(INDEX('Useful Life &amp; SG&amp;A Build'!$A$9:$B$12,3,2),0)+$A184&lt;U$180,0,IF(ROUND(INDEX('Useful Life &amp; SG&amp;A Build'!$A$9:$B$12,3,2),0)+$A184=U$180,0.5*IFERROR(INDEX('Useful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0</v>
      </c>
      <c r="V184" s="563">
        <f>IF($A184+1&gt;V$180,0,IF(ROUND(INDEX('Useful Life &amp; SG&amp;A Build'!$A$9:$B$12,3,2),0)+$A184&lt;V$180,0,IF(ROUND(INDEX('Useful Life &amp; SG&amp;A Build'!$A$9:$B$12,3,2),0)+$A184=V$180,0.5*IFERROR(INDEX('Useful Life &amp; SG&amp;A Build'!$A$3:$K$6,3,MATCH($A184,'Useful Life &amp; SG&amp;A Build'!$A$3:$K$3,0))/INDEX('Useful Life &amp; SG&amp;A Build'!$A$9:$B$12,3,2),0),IFERROR(INDEX('Useful Life &amp; SG&amp;A Build'!$A$3:$K$6,3,MATCH($A184,'Useful Life &amp; SG&amp;A Build'!$A$3:$K$3,0))/INDEX('Useful Life &amp; SG&amp;A Build'!$A$9:$B$12,3,2),0))))</f>
        <v>0</v>
      </c>
      <c r="AA184" s="263"/>
      <c r="AB184" s="263"/>
    </row>
    <row r="185" spans="1:28" ht="16" outlineLevel="1" x14ac:dyDescent="0.2">
      <c r="A185" s="562">
        <f>A184+1</f>
        <v>2020</v>
      </c>
      <c r="L185" s="563">
        <f>IF($A185+1&gt;L$180,0,IF(ROUND(INDEX('Useful Life &amp; SG&amp;A Build'!$A$9:$B$12,3,2),0)+$A185&lt;L$180,0,IF(ROUND(INDEX('Useful Life &amp; SG&amp;A Build'!$A$9:$B$12,3,2),0)+$A185=L$180,0.5*IFERROR(INDEX('Useful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M185" s="563">
        <f>IF($A185+1&gt;M$180,0,IF(ROUND(INDEX('Useful Life &amp; SG&amp;A Build'!$A$9:$B$12,3,2),0)+$A185&lt;M$180,0,IF(ROUND(INDEX('Useful Life &amp; SG&amp;A Build'!$A$9:$B$12,3,2),0)+$A185=M$180,0.5*IFERROR(INDEX('Useful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N185" s="563">
        <f>IF($A185+1&gt;N$180,0,IF(ROUND(INDEX('Useful Life &amp; SG&amp;A Build'!$A$9:$B$12,3,2),0)+$A185&lt;N$180,0,IF(ROUND(INDEX('Useful Life &amp; SG&amp;A Build'!$A$9:$B$12,3,2),0)+$A185=N$180,0.5*IFERROR(INDEX('Useful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O185" s="563">
        <f>IF($A185+1&gt;O$180,0,IF(ROUND(INDEX('Useful Life &amp; SG&amp;A Build'!$A$9:$B$12,3,2),0)+$A185&lt;O$180,0,IF(ROUND(INDEX('Useful Life &amp; SG&amp;A Build'!$A$9:$B$12,3,2),0)+$A185=O$180,0.5*IFERROR(INDEX('Useful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P185" s="563">
        <f>IF($A185+1&gt;P$180,0,IF(ROUND(INDEX('Useful Life &amp; SG&amp;A Build'!$A$9:$B$12,3,2),0)+$A185&lt;P$180,0,IF(ROUND(INDEX('Useful Life &amp; SG&amp;A Build'!$A$9:$B$12,3,2),0)+$A185=P$180,0.5*IFERROR(INDEX('Useful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Q185" s="563">
        <f>IF($A185+1&gt;Q$180,0,IF(ROUND(INDEX('Useful Life &amp; SG&amp;A Build'!$A$9:$B$12,3,2),0)+$A185&lt;Q$180,0,IF(ROUND(INDEX('Useful Life &amp; SG&amp;A Build'!$A$9:$B$12,3,2),0)+$A185=Q$180,0.5*IFERROR(INDEX('Useful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R185" s="563">
        <f>IF($A185+1&gt;R$180,0,IF(ROUND(INDEX('Useful Life &amp; SG&amp;A Build'!$A$9:$B$12,3,2),0)+$A185&lt;R$180,0,IF(ROUND(INDEX('Useful Life &amp; SG&amp;A Build'!$A$9:$B$12,3,2),0)+$A185=R$180,0.5*IFERROR(INDEX('Useful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9.8666666666666671</v>
      </c>
      <c r="S185" s="563">
        <f>IF($A185+1&gt;S$180,0,IF(ROUND(INDEX('Useful Life &amp; SG&amp;A Build'!$A$9:$B$12,3,2),0)+$A185&lt;S$180,0,IF(ROUND(INDEX('Useful Life &amp; SG&amp;A Build'!$A$9:$B$12,3,2),0)+$A185=S$180,0.5*IFERROR(INDEX('Useful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4.9333333333333336</v>
      </c>
      <c r="T185" s="563">
        <f>IF($A185+1&gt;T$180,0,IF(ROUND(INDEX('Useful Life &amp; SG&amp;A Build'!$A$9:$B$12,3,2),0)+$A185&lt;T$180,0,IF(ROUND(INDEX('Useful Life &amp; SG&amp;A Build'!$A$9:$B$12,3,2),0)+$A185=T$180,0.5*IFERROR(INDEX('Useful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0</v>
      </c>
      <c r="U185" s="563">
        <f>IF($A185+1&gt;U$180,0,IF(ROUND(INDEX('Useful Life &amp; SG&amp;A Build'!$A$9:$B$12,3,2),0)+$A185&lt;U$180,0,IF(ROUND(INDEX('Useful Life &amp; SG&amp;A Build'!$A$9:$B$12,3,2),0)+$A185=U$180,0.5*IFERROR(INDEX('Useful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0</v>
      </c>
      <c r="V185" s="563">
        <f>IF($A185+1&gt;V$180,0,IF(ROUND(INDEX('Useful Life &amp; SG&amp;A Build'!$A$9:$B$12,3,2),0)+$A185&lt;V$180,0,IF(ROUND(INDEX('Useful Life &amp; SG&amp;A Build'!$A$9:$B$12,3,2),0)+$A185=V$180,0.5*IFERROR(INDEX('Useful Life &amp; SG&amp;A Build'!$A$3:$K$6,3,MATCH($A185,'Useful Life &amp; SG&amp;A Build'!$A$3:$K$3,0))/INDEX('Useful Life &amp; SG&amp;A Build'!$A$9:$B$12,3,2),0),IFERROR(INDEX('Useful Life &amp; SG&amp;A Build'!$A$3:$K$6,3,MATCH($A185,'Useful Life &amp; SG&amp;A Build'!$A$3:$K$3,0))/INDEX('Useful Life &amp; SG&amp;A Build'!$A$9:$B$12,3,2),0))))</f>
        <v>0</v>
      </c>
      <c r="AA185" s="263"/>
      <c r="AB185" s="263"/>
    </row>
    <row r="186" spans="1:28" ht="16" outlineLevel="1" x14ac:dyDescent="0.2">
      <c r="A186" s="562">
        <f t="shared" ref="A186:A195" si="91">A185+1</f>
        <v>2021</v>
      </c>
      <c r="L186" s="563">
        <f>IF($A186+1&gt;L$180,0,IF(ROUND(INDEX('Useful Life &amp; SG&amp;A Build'!$A$9:$B$12,3,2),0)+$A186&lt;L$180,0,IF(ROUND(INDEX('Useful Life &amp; SG&amp;A Build'!$A$9:$B$12,3,2),0)+$A186=L$180,0.5*IFERROR(INDEX('Useful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0</v>
      </c>
      <c r="M186" s="563">
        <f>IF($A186+1&gt;M$180,0,IF(ROUND(INDEX('Useful Life &amp; SG&amp;A Build'!$A$9:$B$12,3,2),0)+$A186&lt;M$180,0,IF(ROUND(INDEX('Useful Life &amp; SG&amp;A Build'!$A$9:$B$12,3,2),0)+$A186=M$180,0.5*IFERROR(INDEX('Useful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N186" s="563">
        <f>IF($A186+1&gt;N$180,0,IF(ROUND(INDEX('Useful Life &amp; SG&amp;A Build'!$A$9:$B$12,3,2),0)+$A186&lt;N$180,0,IF(ROUND(INDEX('Useful Life &amp; SG&amp;A Build'!$A$9:$B$12,3,2),0)+$A186=N$180,0.5*IFERROR(INDEX('Useful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O186" s="563">
        <f>IF($A186+1&gt;O$180,0,IF(ROUND(INDEX('Useful Life &amp; SG&amp;A Build'!$A$9:$B$12,3,2),0)+$A186&lt;O$180,0,IF(ROUND(INDEX('Useful Life &amp; SG&amp;A Build'!$A$9:$B$12,3,2),0)+$A186=O$180,0.5*IFERROR(INDEX('Useful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P186" s="563">
        <f>IF($A186+1&gt;P$180,0,IF(ROUND(INDEX('Useful Life &amp; SG&amp;A Build'!$A$9:$B$12,3,2),0)+$A186&lt;P$180,0,IF(ROUND(INDEX('Useful Life &amp; SG&amp;A Build'!$A$9:$B$12,3,2),0)+$A186=P$180,0.5*IFERROR(INDEX('Useful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Q186" s="563">
        <f>IF($A186+1&gt;Q$180,0,IF(ROUND(INDEX('Useful Life &amp; SG&amp;A Build'!$A$9:$B$12,3,2),0)+$A186&lt;Q$180,0,IF(ROUND(INDEX('Useful Life &amp; SG&amp;A Build'!$A$9:$B$12,3,2),0)+$A186=Q$180,0.5*IFERROR(INDEX('Useful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R186" s="563">
        <f>IF($A186+1&gt;R$180,0,IF(ROUND(INDEX('Useful Life &amp; SG&amp;A Build'!$A$9:$B$12,3,2),0)+$A186&lt;R$180,0,IF(ROUND(INDEX('Useful Life &amp; SG&amp;A Build'!$A$9:$B$12,3,2),0)+$A186=R$180,0.5*IFERROR(INDEX('Useful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S186" s="563">
        <f>IF($A186+1&gt;S$180,0,IF(ROUND(INDEX('Useful Life &amp; SG&amp;A Build'!$A$9:$B$12,3,2),0)+$A186&lt;S$180,0,IF(ROUND(INDEX('Useful Life &amp; SG&amp;A Build'!$A$9:$B$12,3,2),0)+$A186=S$180,0.5*IFERROR(INDEX('Useful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7.6</v>
      </c>
      <c r="T186" s="563">
        <f>IF($A186+1&gt;T$180,0,IF(ROUND(INDEX('Useful Life &amp; SG&amp;A Build'!$A$9:$B$12,3,2),0)+$A186&lt;T$180,0,IF(ROUND(INDEX('Useful Life &amp; SG&amp;A Build'!$A$9:$B$12,3,2),0)+$A186=T$180,0.5*IFERROR(INDEX('Useful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3.8</v>
      </c>
      <c r="U186" s="563">
        <f>IF($A186+1&gt;U$180,0,IF(ROUND(INDEX('Useful Life &amp; SG&amp;A Build'!$A$9:$B$12,3,2),0)+$A186&lt;U$180,0,IF(ROUND(INDEX('Useful Life &amp; SG&amp;A Build'!$A$9:$B$12,3,2),0)+$A186=U$180,0.5*IFERROR(INDEX('Useful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0</v>
      </c>
      <c r="V186" s="563">
        <f>IF($A186+1&gt;V$180,0,IF(ROUND(INDEX('Useful Life &amp; SG&amp;A Build'!$A$9:$B$12,3,2),0)+$A186&lt;V$180,0,IF(ROUND(INDEX('Useful Life &amp; SG&amp;A Build'!$A$9:$B$12,3,2),0)+$A186=V$180,0.5*IFERROR(INDEX('Useful Life &amp; SG&amp;A Build'!$A$3:$K$6,3,MATCH($A186,'Useful Life &amp; SG&amp;A Build'!$A$3:$K$3,0))/INDEX('Useful Life &amp; SG&amp;A Build'!$A$9:$B$12,3,2),0),IFERROR(INDEX('Useful Life &amp; SG&amp;A Build'!$A$3:$K$6,3,MATCH($A186,'Useful Life &amp; SG&amp;A Build'!$A$3:$K$3,0))/INDEX('Useful Life &amp; SG&amp;A Build'!$A$9:$B$12,3,2),0))))</f>
        <v>0</v>
      </c>
      <c r="AA186" s="263"/>
      <c r="AB186" s="263"/>
    </row>
    <row r="187" spans="1:28" ht="16" outlineLevel="1" x14ac:dyDescent="0.2">
      <c r="A187" s="562">
        <f t="shared" si="91"/>
        <v>2022</v>
      </c>
      <c r="L187" s="563">
        <f>IF($A187+1&gt;L$180,0,IF(ROUND(INDEX('Useful Life &amp; SG&amp;A Build'!$A$9:$B$12,3,2),0)+$A187&lt;L$180,0,IF(ROUND(INDEX('Useful Life &amp; SG&amp;A Build'!$A$9:$B$12,3,2),0)+$A187=L$180,0.5*IFERROR(INDEX('Useful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0</v>
      </c>
      <c r="M187" s="563">
        <f>IF($A187+1&gt;M$180,0,IF(ROUND(INDEX('Useful Life &amp; SG&amp;A Build'!$A$9:$B$12,3,2),0)+$A187&lt;M$180,0,IF(ROUND(INDEX('Useful Life &amp; SG&amp;A Build'!$A$9:$B$12,3,2),0)+$A187=M$180,0.5*IFERROR(INDEX('Useful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0</v>
      </c>
      <c r="N187" s="563">
        <f>IF($A187+1&gt;N$180,0,IF(ROUND(INDEX('Useful Life &amp; SG&amp;A Build'!$A$9:$B$12,3,2),0)+$A187&lt;N$180,0,IF(ROUND(INDEX('Useful Life &amp; SG&amp;A Build'!$A$9:$B$12,3,2),0)+$A187=N$180,0.5*IFERROR(INDEX('Useful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O187" s="563">
        <f>IF($A187+1&gt;O$180,0,IF(ROUND(INDEX('Useful Life &amp; SG&amp;A Build'!$A$9:$B$12,3,2),0)+$A187&lt;O$180,0,IF(ROUND(INDEX('Useful Life &amp; SG&amp;A Build'!$A$9:$B$12,3,2),0)+$A187=O$180,0.5*IFERROR(INDEX('Useful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P187" s="563">
        <f>IF($A187+1&gt;P$180,0,IF(ROUND(INDEX('Useful Life &amp; SG&amp;A Build'!$A$9:$B$12,3,2),0)+$A187&lt;P$180,0,IF(ROUND(INDEX('Useful Life &amp; SG&amp;A Build'!$A$9:$B$12,3,2),0)+$A187=P$180,0.5*IFERROR(INDEX('Useful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Q187" s="563">
        <f>IF($A187+1&gt;Q$180,0,IF(ROUND(INDEX('Useful Life &amp; SG&amp;A Build'!$A$9:$B$12,3,2),0)+$A187&lt;Q$180,0,IF(ROUND(INDEX('Useful Life &amp; SG&amp;A Build'!$A$9:$B$12,3,2),0)+$A187=Q$180,0.5*IFERROR(INDEX('Useful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R187" s="563">
        <f>IF($A187+1&gt;R$180,0,IF(ROUND(INDEX('Useful Life &amp; SG&amp;A Build'!$A$9:$B$12,3,2),0)+$A187&lt;R$180,0,IF(ROUND(INDEX('Useful Life &amp; SG&amp;A Build'!$A$9:$B$12,3,2),0)+$A187=R$180,0.5*IFERROR(INDEX('Useful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S187" s="563">
        <f>IF($A187+1&gt;S$180,0,IF(ROUND(INDEX('Useful Life &amp; SG&amp;A Build'!$A$9:$B$12,3,2),0)+$A187&lt;S$180,0,IF(ROUND(INDEX('Useful Life &amp; SG&amp;A Build'!$A$9:$B$12,3,2),0)+$A187=S$180,0.5*IFERROR(INDEX('Useful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T187" s="563">
        <f>IF($A187+1&gt;T$180,0,IF(ROUND(INDEX('Useful Life &amp; SG&amp;A Build'!$A$9:$B$12,3,2),0)+$A187&lt;T$180,0,IF(ROUND(INDEX('Useful Life &amp; SG&amp;A Build'!$A$9:$B$12,3,2),0)+$A187=T$180,0.5*IFERROR(INDEX('Useful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1.3333333333333333</v>
      </c>
      <c r="U187" s="563">
        <f>IF($A187+1&gt;U$180,0,IF(ROUND(INDEX('Useful Life &amp; SG&amp;A Build'!$A$9:$B$12,3,2),0)+$A187&lt;U$180,0,IF(ROUND(INDEX('Useful Life &amp; SG&amp;A Build'!$A$9:$B$12,3,2),0)+$A187=U$180,0.5*IFERROR(INDEX('Useful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0.66666666666666663</v>
      </c>
      <c r="V187" s="563">
        <f>IF($A187+1&gt;V$180,0,IF(ROUND(INDEX('Useful Life &amp; SG&amp;A Build'!$A$9:$B$12,3,2),0)+$A187&lt;V$180,0,IF(ROUND(INDEX('Useful Life &amp; SG&amp;A Build'!$A$9:$B$12,3,2),0)+$A187=V$180,0.5*IFERROR(INDEX('Useful Life &amp; SG&amp;A Build'!$A$3:$K$6,3,MATCH($A187,'Useful Life &amp; SG&amp;A Build'!$A$3:$K$3,0))/INDEX('Useful Life &amp; SG&amp;A Build'!$A$9:$B$12,3,2),0),IFERROR(INDEX('Useful Life &amp; SG&amp;A Build'!$A$3:$K$6,3,MATCH($A187,'Useful Life &amp; SG&amp;A Build'!$A$3:$K$3,0))/INDEX('Useful Life &amp; SG&amp;A Build'!$A$9:$B$12,3,2),0))))</f>
        <v>0</v>
      </c>
      <c r="AA187" s="263"/>
      <c r="AB187" s="263"/>
    </row>
    <row r="188" spans="1:28" ht="16" outlineLevel="1" x14ac:dyDescent="0.2">
      <c r="A188" s="562">
        <f t="shared" si="91"/>
        <v>2023</v>
      </c>
      <c r="L188" s="563">
        <f>IF($A188+1&gt;L$180,0,IF(ROUND(INDEX('Useful Life &amp; SG&amp;A Build'!$A$9:$B$12,3,2),0)+$A188&lt;L$180,0,IF(ROUND(INDEX('Useful Life &amp; SG&amp;A Build'!$A$9:$B$12,3,2),0)+$A188=L$180,0.5*IFERROR(INDEX('Useful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0</v>
      </c>
      <c r="M188" s="563">
        <f>IF($A188+1&gt;M$180,0,IF(ROUND(INDEX('Useful Life &amp; SG&amp;A Build'!$A$9:$B$12,3,2),0)+$A188&lt;M$180,0,IF(ROUND(INDEX('Useful Life &amp; SG&amp;A Build'!$A$9:$B$12,3,2),0)+$A188=M$180,0.5*IFERROR(INDEX('Useful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0</v>
      </c>
      <c r="N188" s="563">
        <f>IF($A188+1&gt;N$180,0,IF(ROUND(INDEX('Useful Life &amp; SG&amp;A Build'!$A$9:$B$12,3,2),0)+$A188&lt;N$180,0,IF(ROUND(INDEX('Useful Life &amp; SG&amp;A Build'!$A$9:$B$12,3,2),0)+$A188=N$180,0.5*IFERROR(INDEX('Useful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0</v>
      </c>
      <c r="O188" s="563">
        <f>IF($A188+1&gt;O$180,0,IF(ROUND(INDEX('Useful Life &amp; SG&amp;A Build'!$A$9:$B$12,3,2),0)+$A188&lt;O$180,0,IF(ROUND(INDEX('Useful Life &amp; SG&amp;A Build'!$A$9:$B$12,3,2),0)+$A188=O$180,0.5*IFERROR(INDEX('Useful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P188" s="563">
        <f>IF($A188+1&gt;P$180,0,IF(ROUND(INDEX('Useful Life &amp; SG&amp;A Build'!$A$9:$B$12,3,2),0)+$A188&lt;P$180,0,IF(ROUND(INDEX('Useful Life &amp; SG&amp;A Build'!$A$9:$B$12,3,2),0)+$A188=P$180,0.5*IFERROR(INDEX('Useful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Q188" s="563">
        <f>IF($A188+1&gt;Q$180,0,IF(ROUND(INDEX('Useful Life &amp; SG&amp;A Build'!$A$9:$B$12,3,2),0)+$A188&lt;Q$180,0,IF(ROUND(INDEX('Useful Life &amp; SG&amp;A Build'!$A$9:$B$12,3,2),0)+$A188=Q$180,0.5*IFERROR(INDEX('Useful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R188" s="563">
        <f>IF($A188+1&gt;R$180,0,IF(ROUND(INDEX('Useful Life &amp; SG&amp;A Build'!$A$9:$B$12,3,2),0)+$A188&lt;R$180,0,IF(ROUND(INDEX('Useful Life &amp; SG&amp;A Build'!$A$9:$B$12,3,2),0)+$A188=R$180,0.5*IFERROR(INDEX('Useful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S188" s="563">
        <f>IF($A188+1&gt;S$180,0,IF(ROUND(INDEX('Useful Life &amp; SG&amp;A Build'!$A$9:$B$12,3,2),0)+$A188&lt;S$180,0,IF(ROUND(INDEX('Useful Life &amp; SG&amp;A Build'!$A$9:$B$12,3,2),0)+$A188=S$180,0.5*IFERROR(INDEX('Useful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T188" s="563">
        <f>IF($A188+1&gt;T$180,0,IF(ROUND(INDEX('Useful Life &amp; SG&amp;A Build'!$A$9:$B$12,3,2),0)+$A188&lt;T$180,0,IF(ROUND(INDEX('Useful Life &amp; SG&amp;A Build'!$A$9:$B$12,3,2),0)+$A188=T$180,0.5*IFERROR(INDEX('Useful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U188" s="563">
        <f>IF($A188+1&gt;U$180,0,IF(ROUND(INDEX('Useful Life &amp; SG&amp;A Build'!$A$9:$B$12,3,2),0)+$A188&lt;U$180,0,IF(ROUND(INDEX('Useful Life &amp; SG&amp;A Build'!$A$9:$B$12,3,2),0)+$A188=U$180,0.5*IFERROR(INDEX('Useful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4.666666666666667</v>
      </c>
      <c r="V188" s="563">
        <f>IF($A188+1&gt;V$180,0,IF(ROUND(INDEX('Useful Life &amp; SG&amp;A Build'!$A$9:$B$12,3,2),0)+$A188&lt;V$180,0,IF(ROUND(INDEX('Useful Life &amp; SG&amp;A Build'!$A$9:$B$12,3,2),0)+$A188=V$180,0.5*IFERROR(INDEX('Useful Life &amp; SG&amp;A Build'!$A$3:$K$6,3,MATCH($A188,'Useful Life &amp; SG&amp;A Build'!$A$3:$K$3,0))/INDEX('Useful Life &amp; SG&amp;A Build'!$A$9:$B$12,3,2),0),IFERROR(INDEX('Useful Life &amp; SG&amp;A Build'!$A$3:$K$6,3,MATCH($A188,'Useful Life &amp; SG&amp;A Build'!$A$3:$K$3,0))/INDEX('Useful Life &amp; SG&amp;A Build'!$A$9:$B$12,3,2),0))))</f>
        <v>2.3333333333333335</v>
      </c>
      <c r="AA188" s="263"/>
      <c r="AB188" s="263"/>
    </row>
    <row r="189" spans="1:28" ht="16" outlineLevel="1" x14ac:dyDescent="0.2">
      <c r="A189" s="562">
        <f t="shared" si="91"/>
        <v>2024</v>
      </c>
      <c r="L189" s="563">
        <f>IF($A189+1&gt;L$180,0,IF(ROUND(INDEX('Useful Life &amp; SG&amp;A Build'!$A$9:$B$12,3,2),0)+$A189&lt;L$180,0,IF(ROUND(INDEX('Useful Life &amp; SG&amp;A Build'!$A$9:$B$12,3,2),0)+$A189=L$180,0.5*IFERROR(INDEX('Useful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0</v>
      </c>
      <c r="M189" s="563">
        <f>IF($A189+1&gt;M$180,0,IF(ROUND(INDEX('Useful Life &amp; SG&amp;A Build'!$A$9:$B$12,3,2),0)+$A189&lt;M$180,0,IF(ROUND(INDEX('Useful Life &amp; SG&amp;A Build'!$A$9:$B$12,3,2),0)+$A189=M$180,0.5*IFERROR(INDEX('Useful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0</v>
      </c>
      <c r="N189" s="563">
        <f>IF($A189+1&gt;N$180,0,IF(ROUND(INDEX('Useful Life &amp; SG&amp;A Build'!$A$9:$B$12,3,2),0)+$A189&lt;N$180,0,IF(ROUND(INDEX('Useful Life &amp; SG&amp;A Build'!$A$9:$B$12,3,2),0)+$A189=N$180,0.5*IFERROR(INDEX('Useful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0</v>
      </c>
      <c r="O189" s="563">
        <f>IF($A189+1&gt;O$180,0,IF(ROUND(INDEX('Useful Life &amp; SG&amp;A Build'!$A$9:$B$12,3,2),0)+$A189&lt;O$180,0,IF(ROUND(INDEX('Useful Life &amp; SG&amp;A Build'!$A$9:$B$12,3,2),0)+$A189=O$180,0.5*IFERROR(INDEX('Useful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0</v>
      </c>
      <c r="P189" s="563">
        <f>IF($A189+1&gt;P$180,0,IF(ROUND(INDEX('Useful Life &amp; SG&amp;A Build'!$A$9:$B$12,3,2),0)+$A189&lt;P$180,0,IF(ROUND(INDEX('Useful Life &amp; SG&amp;A Build'!$A$9:$B$12,3,2),0)+$A189=P$180,0.5*IFERROR(INDEX('Useful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Q189" s="563">
        <f>IF($A189+1&gt;Q$180,0,IF(ROUND(INDEX('Useful Life &amp; SG&amp;A Build'!$A$9:$B$12,3,2),0)+$A189&lt;Q$180,0,IF(ROUND(INDEX('Useful Life &amp; SG&amp;A Build'!$A$9:$B$12,3,2),0)+$A189=Q$180,0.5*IFERROR(INDEX('Useful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R189" s="563">
        <f>IF($A189+1&gt;R$180,0,IF(ROUND(INDEX('Useful Life &amp; SG&amp;A Build'!$A$9:$B$12,3,2),0)+$A189&lt;R$180,0,IF(ROUND(INDEX('Useful Life &amp; SG&amp;A Build'!$A$9:$B$12,3,2),0)+$A189=R$180,0.5*IFERROR(INDEX('Useful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S189" s="563">
        <f>IF($A189+1&gt;S$180,0,IF(ROUND(INDEX('Useful Life &amp; SG&amp;A Build'!$A$9:$B$12,3,2),0)+$A189&lt;S$180,0,IF(ROUND(INDEX('Useful Life &amp; SG&amp;A Build'!$A$9:$B$12,3,2),0)+$A189=S$180,0.5*IFERROR(INDEX('Useful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T189" s="563">
        <f>IF($A189+1&gt;T$180,0,IF(ROUND(INDEX('Useful Life &amp; SG&amp;A Build'!$A$9:$B$12,3,2),0)+$A189&lt;T$180,0,IF(ROUND(INDEX('Useful Life &amp; SG&amp;A Build'!$A$9:$B$12,3,2),0)+$A189=T$180,0.5*IFERROR(INDEX('Useful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U189" s="563">
        <f>IF($A189+1&gt;U$180,0,IF(ROUND(INDEX('Useful Life &amp; SG&amp;A Build'!$A$9:$B$12,3,2),0)+$A189&lt;U$180,0,IF(ROUND(INDEX('Useful Life &amp; SG&amp;A Build'!$A$9:$B$12,3,2),0)+$A189=U$180,0.5*IFERROR(INDEX('Useful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V189" s="563">
        <f>IF($A189+1&gt;V$180,0,IF(ROUND(INDEX('Useful Life &amp; SG&amp;A Build'!$A$9:$B$12,3,2),0)+$A189&lt;V$180,0,IF(ROUND(INDEX('Useful Life &amp; SG&amp;A Build'!$A$9:$B$12,3,2),0)+$A189=V$180,0.5*IFERROR(INDEX('Useful Life &amp; SG&amp;A Build'!$A$3:$K$6,3,MATCH($A189,'Useful Life &amp; SG&amp;A Build'!$A$3:$K$3,0))/INDEX('Useful Life &amp; SG&amp;A Build'!$A$9:$B$12,3,2),0),IFERROR(INDEX('Useful Life &amp; SG&amp;A Build'!$A$3:$K$6,3,MATCH($A189,'Useful Life &amp; SG&amp;A Build'!$A$3:$K$3,0))/INDEX('Useful Life &amp; SG&amp;A Build'!$A$9:$B$12,3,2),0))))</f>
        <v>2.8</v>
      </c>
      <c r="AA189" s="263"/>
      <c r="AB189" s="263"/>
    </row>
    <row r="190" spans="1:28" ht="16" outlineLevel="1" x14ac:dyDescent="0.2">
      <c r="A190" s="562">
        <f t="shared" si="91"/>
        <v>2025</v>
      </c>
      <c r="L190" s="563">
        <f>IF($A190+1&gt;L$180,0,IF(ROUND(INDEX('Useful Life &amp; SG&amp;A Build'!$A$9:$B$12,3,2),0)+$A190&lt;L$180,0,IF(ROUND(INDEX('Useful Life &amp; SG&amp;A Build'!$A$9:$B$12,3,2),0)+$A190=L$180,0.5*IFERROR(INDEX('Useful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0</v>
      </c>
      <c r="M190" s="563">
        <f>IF($A190+1&gt;M$180,0,IF(ROUND(INDEX('Useful Life &amp; SG&amp;A Build'!$A$9:$B$12,3,2),0)+$A190&lt;M$180,0,IF(ROUND(INDEX('Useful Life &amp; SG&amp;A Build'!$A$9:$B$12,3,2),0)+$A190=M$180,0.5*IFERROR(INDEX('Useful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0</v>
      </c>
      <c r="N190" s="563">
        <f>IF($A190+1&gt;N$180,0,IF(ROUND(INDEX('Useful Life &amp; SG&amp;A Build'!$A$9:$B$12,3,2),0)+$A190&lt;N$180,0,IF(ROUND(INDEX('Useful Life &amp; SG&amp;A Build'!$A$9:$B$12,3,2),0)+$A190=N$180,0.5*IFERROR(INDEX('Useful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0</v>
      </c>
      <c r="O190" s="563">
        <f>IF($A190+1&gt;O$180,0,IF(ROUND(INDEX('Useful Life &amp; SG&amp;A Build'!$A$9:$B$12,3,2),0)+$A190&lt;O$180,0,IF(ROUND(INDEX('Useful Life &amp; SG&amp;A Build'!$A$9:$B$12,3,2),0)+$A190=O$180,0.5*IFERROR(INDEX('Useful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0</v>
      </c>
      <c r="P190" s="563">
        <f>IF($A190+1&gt;P$180,0,IF(ROUND(INDEX('Useful Life &amp; SG&amp;A Build'!$A$9:$B$12,3,2),0)+$A190&lt;P$180,0,IF(ROUND(INDEX('Useful Life &amp; SG&amp;A Build'!$A$9:$B$12,3,2),0)+$A190=P$180,0.5*IFERROR(INDEX('Useful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0</v>
      </c>
      <c r="Q190" s="563">
        <f>IF($A190+1&gt;Q$180,0,IF(ROUND(INDEX('Useful Life &amp; SG&amp;A Build'!$A$9:$B$12,3,2),0)+$A190&lt;Q$180,0,IF(ROUND(INDEX('Useful Life &amp; SG&amp;A Build'!$A$9:$B$12,3,2),0)+$A190=Q$180,0.5*IFERROR(INDEX('Useful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R190" s="563">
        <f>IF($A190+1&gt;R$180,0,IF(ROUND(INDEX('Useful Life &amp; SG&amp;A Build'!$A$9:$B$12,3,2),0)+$A190&lt;R$180,0,IF(ROUND(INDEX('Useful Life &amp; SG&amp;A Build'!$A$9:$B$12,3,2),0)+$A190=R$180,0.5*IFERROR(INDEX('Useful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S190" s="563">
        <f>IF($A190+1&gt;S$180,0,IF(ROUND(INDEX('Useful Life &amp; SG&amp;A Build'!$A$9:$B$12,3,2),0)+$A190&lt;S$180,0,IF(ROUND(INDEX('Useful Life &amp; SG&amp;A Build'!$A$9:$B$12,3,2),0)+$A190=S$180,0.5*IFERROR(INDEX('Useful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T190" s="563">
        <f>IF($A190+1&gt;T$180,0,IF(ROUND(INDEX('Useful Life &amp; SG&amp;A Build'!$A$9:$B$12,3,2),0)+$A190&lt;T$180,0,IF(ROUND(INDEX('Useful Life &amp; SG&amp;A Build'!$A$9:$B$12,3,2),0)+$A190=T$180,0.5*IFERROR(INDEX('Useful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U190" s="563">
        <f>IF($A190+1&gt;U$180,0,IF(ROUND(INDEX('Useful Life &amp; SG&amp;A Build'!$A$9:$B$12,3,2),0)+$A190&lt;U$180,0,IF(ROUND(INDEX('Useful Life &amp; SG&amp;A Build'!$A$9:$B$12,3,2),0)+$A190=U$180,0.5*IFERROR(INDEX('Useful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V190" s="563">
        <f>IF($A190+1&gt;V$180,0,IF(ROUND(INDEX('Useful Life &amp; SG&amp;A Build'!$A$9:$B$12,3,2),0)+$A190&lt;V$180,0,IF(ROUND(INDEX('Useful Life &amp; SG&amp;A Build'!$A$9:$B$12,3,2),0)+$A190=V$180,0.5*IFERROR(INDEX('Useful Life &amp; SG&amp;A Build'!$A$3:$K$6,3,MATCH($A190,'Useful Life &amp; SG&amp;A Build'!$A$3:$K$3,0))/INDEX('Useful Life &amp; SG&amp;A Build'!$A$9:$B$12,3,2),0),IFERROR(INDEX('Useful Life &amp; SG&amp;A Build'!$A$3:$K$6,3,MATCH($A190,'Useful Life &amp; SG&amp;A Build'!$A$3:$K$3,0))/INDEX('Useful Life &amp; SG&amp;A Build'!$A$9:$B$12,3,2),0))))</f>
        <v>2.0266666666666668</v>
      </c>
      <c r="AA190" s="263"/>
      <c r="AB190" s="263"/>
    </row>
    <row r="191" spans="1:28" ht="16" outlineLevel="1" x14ac:dyDescent="0.2">
      <c r="A191" s="562">
        <f t="shared" si="91"/>
        <v>2026</v>
      </c>
      <c r="L191" s="563">
        <f>-IF($A191+1&gt;L$180,0,IF(ROUND(INDEX('Useful Life &amp; SG&amp;A Build'!$A$9:$B$12,3,2),0)+$A191&lt;L$180,0,IF(ROUND(INDEX('Useful Life &amp; SG&amp;A Build'!$A$9:$B$12,3,2),0)+$A191=L$180,0.5*IFERROR($Q$166/INDEX('Useful Life &amp; SG&amp;A Build'!$A$9:$B$12,3,2),0),IFERROR($Q$166/INDEX('Useful Life &amp; SG&amp;A Build'!$A$9:$B$12,3,2),0))))</f>
        <v>0</v>
      </c>
      <c r="M191" s="563">
        <f>-IF($A191+1&gt;M$180,0,IF(ROUND(INDEX('Useful Life &amp; SG&amp;A Build'!$A$9:$B$12,3,2),0)+$A191&lt;M$180,0,IF(ROUND(INDEX('Useful Life &amp; SG&amp;A Build'!$A$9:$B$12,3,2),0)+$A191=M$180,0.5*IFERROR($Q$166/INDEX('Useful Life &amp; SG&amp;A Build'!$A$9:$B$12,3,2),0),IFERROR($Q$166/INDEX('Useful Life &amp; SG&amp;A Build'!$A$9:$B$12,3,2),0))))</f>
        <v>0</v>
      </c>
      <c r="N191" s="563">
        <f>-IF($A191+1&gt;N$180,0,IF(ROUND(INDEX('Useful Life &amp; SG&amp;A Build'!$A$9:$B$12,3,2),0)+$A191&lt;N$180,0,IF(ROUND(INDEX('Useful Life &amp; SG&amp;A Build'!$A$9:$B$12,3,2),0)+$A191=N$180,0.5*IFERROR($Q$166/INDEX('Useful Life &amp; SG&amp;A Build'!$A$9:$B$12,3,2),0),IFERROR($Q$166/INDEX('Useful Life &amp; SG&amp;A Build'!$A$9:$B$12,3,2),0))))</f>
        <v>0</v>
      </c>
      <c r="O191" s="563">
        <f>-IF($A191+1&gt;O$180,0,IF(ROUND(INDEX('Useful Life &amp; SG&amp;A Build'!$A$9:$B$12,3,2),0)+$A191&lt;O$180,0,IF(ROUND(INDEX('Useful Life &amp; SG&amp;A Build'!$A$9:$B$12,3,2),0)+$A191=O$180,0.5*IFERROR($Q$166/INDEX('Useful Life &amp; SG&amp;A Build'!$A$9:$B$12,3,2),0),IFERROR($Q$166/INDEX('Useful Life &amp; SG&amp;A Build'!$A$9:$B$12,3,2),0))))</f>
        <v>0</v>
      </c>
      <c r="P191" s="563">
        <f>-IF($A191+1&gt;P$180,0,IF(ROUND(INDEX('Useful Life &amp; SG&amp;A Build'!$A$9:$B$12,3,2),0)+$A191&lt;P$180,0,IF(ROUND(INDEX('Useful Life &amp; SG&amp;A Build'!$A$9:$B$12,3,2),0)+$A191=P$180,0.5*IFERROR($Q$166/INDEX('Useful Life &amp; SG&amp;A Build'!$A$9:$B$12,3,2),0),IFERROR($Q$166/INDEX('Useful Life &amp; SG&amp;A Build'!$A$9:$B$12,3,2),0))))</f>
        <v>0</v>
      </c>
      <c r="Q191" s="563">
        <f>-IF($A191+1&gt;Q$180,0,IF(ROUND(INDEX('Useful Life &amp; SG&amp;A Build'!$A$9:$B$12,3,2),0)+$A191&lt;Q$180,0,IF(ROUND(INDEX('Useful Life &amp; SG&amp;A Build'!$A$9:$B$12,3,2),0)+$A191=Q$180,0.5*IFERROR($Q$166/INDEX('Useful Life &amp; SG&amp;A Build'!$A$9:$B$12,3,2),0),IFERROR($Q$166/INDEX('Useful Life &amp; SG&amp;A Build'!$A$9:$B$12,3,2),0))))</f>
        <v>0</v>
      </c>
      <c r="R191" s="563">
        <f>-IF($A191+1&gt;R$180,0,IF(ROUND(INDEX('Useful Life &amp; SG&amp;A Build'!$A$9:$B$12,3,2),0)+$A191&lt;R$180,0,IF(ROUND(INDEX('Useful Life &amp; SG&amp;A Build'!$A$9:$B$12,3,2),0)+$A191=R$180,0.5*IFERROR($Q$166/INDEX('Useful Life &amp; SG&amp;A Build'!$A$9:$B$12,3,2),0),IFERROR($Q$166/INDEX('Useful Life &amp; SG&amp;A Build'!$A$9:$B$12,3,2),0))))</f>
        <v>3.8748662352601184</v>
      </c>
      <c r="S191" s="563">
        <f>-IF($A191+1&gt;S$180,0,IF(ROUND(INDEX('Useful Life &amp; SG&amp;A Build'!$A$9:$B$12,3,2),0)+$A191&lt;S$180,0,IF(ROUND(INDEX('Useful Life &amp; SG&amp;A Build'!$A$9:$B$12,3,2),0)+$A191=S$180,0.5*IFERROR($Q$166/INDEX('Useful Life &amp; SG&amp;A Build'!$A$9:$B$12,3,2),0),IFERROR($Q$166/INDEX('Useful Life &amp; SG&amp;A Build'!$A$9:$B$12,3,2),0))))</f>
        <v>3.8748662352601184</v>
      </c>
      <c r="T191" s="563">
        <f>-IF($A191+1&gt;T$180,0,IF(ROUND(INDEX('Useful Life &amp; SG&amp;A Build'!$A$9:$B$12,3,2),0)+$A191&lt;T$180,0,IF(ROUND(INDEX('Useful Life &amp; SG&amp;A Build'!$A$9:$B$12,3,2),0)+$A191=T$180,0.5*IFERROR($Q$166/INDEX('Useful Life &amp; SG&amp;A Build'!$A$9:$B$12,3,2),0),IFERROR($Q$166/INDEX('Useful Life &amp; SG&amp;A Build'!$A$9:$B$12,3,2),0))))</f>
        <v>3.8748662352601184</v>
      </c>
      <c r="U191" s="563">
        <f>-IF($A191+1&gt;U$180,0,IF(ROUND(INDEX('Useful Life &amp; SG&amp;A Build'!$A$9:$B$12,3,2),0)+$A191&lt;U$180,0,IF(ROUND(INDEX('Useful Life &amp; SG&amp;A Build'!$A$9:$B$12,3,2),0)+$A191=U$180,0.5*IFERROR($Q$166/INDEX('Useful Life &amp; SG&amp;A Build'!$A$9:$B$12,3,2),0),IFERROR($Q$166/INDEX('Useful Life &amp; SG&amp;A Build'!$A$9:$B$12,3,2),0))))</f>
        <v>3.8748662352601184</v>
      </c>
      <c r="V191" s="563">
        <f>-IF($A191+1&gt;V$180,0,IF(ROUND(INDEX('Useful Life &amp; SG&amp;A Build'!$A$9:$B$12,3,2),0)+$A191&lt;V$180,0,IF(ROUND(INDEX('Useful Life &amp; SG&amp;A Build'!$A$9:$B$12,3,2),0)+$A191=V$180,0.5*IFERROR($Q$166/INDEX('Useful Life &amp; SG&amp;A Build'!$A$9:$B$12,3,2),0),IFERROR($Q$166/INDEX('Useful Life &amp; SG&amp;A Build'!$A$9:$B$12,3,2),0))))</f>
        <v>3.8748662352601184</v>
      </c>
      <c r="AA191" s="263"/>
      <c r="AB191" s="263"/>
    </row>
    <row r="192" spans="1:28" ht="16" outlineLevel="1" x14ac:dyDescent="0.2">
      <c r="A192" s="562">
        <f t="shared" si="91"/>
        <v>2027</v>
      </c>
      <c r="L192" s="563">
        <f>-IF($A192+1&gt;L$180,0,IF(ROUND(INDEX('Useful Life &amp; SG&amp;A Build'!$A$9:$B$12,3,2),0)+$A192&lt;L$180,0,IF(ROUND(INDEX('Useful Life &amp; SG&amp;A Build'!$A$9:$B$12,3,2),0)+$A192=L$180,0.5*IFERROR($R$166/INDEX('Useful Life &amp; SG&amp;A Build'!$A$9:$B$12,3,2),0),IFERROR($R$166/INDEX('Useful Life &amp; SG&amp;A Build'!$A$9:$B$12,3,2),0))))</f>
        <v>0</v>
      </c>
      <c r="M192" s="563">
        <f>-IF($A192+1&gt;M$180,0,IF(ROUND(INDEX('Useful Life &amp; SG&amp;A Build'!$A$9:$B$12,3,2),0)+$A192&lt;M$180,0,IF(ROUND(INDEX('Useful Life &amp; SG&amp;A Build'!$A$9:$B$12,3,2),0)+$A192=M$180,0.5*IFERROR($R$166/INDEX('Useful Life &amp; SG&amp;A Build'!$A$9:$B$12,3,2),0),IFERROR($R$166/INDEX('Useful Life &amp; SG&amp;A Build'!$A$9:$B$12,3,2),0))))</f>
        <v>0</v>
      </c>
      <c r="N192" s="563">
        <f>-IF($A192+1&gt;N$180,0,IF(ROUND(INDEX('Useful Life &amp; SG&amp;A Build'!$A$9:$B$12,3,2),0)+$A192&lt;N$180,0,IF(ROUND(INDEX('Useful Life &amp; SG&amp;A Build'!$A$9:$B$12,3,2),0)+$A192=N$180,0.5*IFERROR($R$166/INDEX('Useful Life &amp; SG&amp;A Build'!$A$9:$B$12,3,2),0),IFERROR($R$166/INDEX('Useful Life &amp; SG&amp;A Build'!$A$9:$B$12,3,2),0))))</f>
        <v>0</v>
      </c>
      <c r="O192" s="563">
        <f>-IF($A192+1&gt;O$180,0,IF(ROUND(INDEX('Useful Life &amp; SG&amp;A Build'!$A$9:$B$12,3,2),0)+$A192&lt;O$180,0,IF(ROUND(INDEX('Useful Life &amp; SG&amp;A Build'!$A$9:$B$12,3,2),0)+$A192=O$180,0.5*IFERROR($R$166/INDEX('Useful Life &amp; SG&amp;A Build'!$A$9:$B$12,3,2),0),IFERROR($R$166/INDEX('Useful Life &amp; SG&amp;A Build'!$A$9:$B$12,3,2),0))))</f>
        <v>0</v>
      </c>
      <c r="P192" s="563">
        <f>-IF($A192+1&gt;P$180,0,IF(ROUND(INDEX('Useful Life &amp; SG&amp;A Build'!$A$9:$B$12,3,2),0)+$A192&lt;P$180,0,IF(ROUND(INDEX('Useful Life &amp; SG&amp;A Build'!$A$9:$B$12,3,2),0)+$A192=P$180,0.5*IFERROR($R$166/INDEX('Useful Life &amp; SG&amp;A Build'!$A$9:$B$12,3,2),0),IFERROR($R$166/INDEX('Useful Life &amp; SG&amp;A Build'!$A$9:$B$12,3,2),0))))</f>
        <v>0</v>
      </c>
      <c r="Q192" s="563">
        <f>-IF($A192+1&gt;Q$180,0,IF(ROUND(INDEX('Useful Life &amp; SG&amp;A Build'!$A$9:$B$12,3,2),0)+$A192&lt;Q$180,0,IF(ROUND(INDEX('Useful Life &amp; SG&amp;A Build'!$A$9:$B$12,3,2),0)+$A192=Q$180,0.5*IFERROR($R$166/INDEX('Useful Life &amp; SG&amp;A Build'!$A$9:$B$12,3,2),0),IFERROR($R$166/INDEX('Useful Life &amp; SG&amp;A Build'!$A$9:$B$12,3,2),0))))</f>
        <v>0</v>
      </c>
      <c r="R192" s="563">
        <f>-IF($A192+1&gt;R$180,0,IF(ROUND(INDEX('Useful Life &amp; SG&amp;A Build'!$A$9:$B$12,3,2),0)+$A192&lt;R$180,0,IF(ROUND(INDEX('Useful Life &amp; SG&amp;A Build'!$A$9:$B$12,3,2),0)+$A192=R$180,0.5*IFERROR($R$166/INDEX('Useful Life &amp; SG&amp;A Build'!$A$9:$B$12,3,2),0),IFERROR($R$166/INDEX('Useful Life &amp; SG&amp;A Build'!$A$9:$B$12,3,2),0))))</f>
        <v>0</v>
      </c>
      <c r="S192" s="563">
        <f>-IF($A192+1&gt;S$180,0,IF(ROUND(INDEX('Useful Life &amp; SG&amp;A Build'!$A$9:$B$12,3,2),0)+$A192&lt;S$180,0,IF(ROUND(INDEX('Useful Life &amp; SG&amp;A Build'!$A$9:$B$12,3,2),0)+$A192=S$180,0.5*IFERROR($R$166/INDEX('Useful Life &amp; SG&amp;A Build'!$A$9:$B$12,3,2),0),IFERROR($R$166/INDEX('Useful Life &amp; SG&amp;A Build'!$A$9:$B$12,3,2),0))))</f>
        <v>4.0627122439890702</v>
      </c>
      <c r="T192" s="563">
        <f>-IF($A192+1&gt;T$180,0,IF(ROUND(INDEX('Useful Life &amp; SG&amp;A Build'!$A$9:$B$12,3,2),0)+$A192&lt;T$180,0,IF(ROUND(INDEX('Useful Life &amp; SG&amp;A Build'!$A$9:$B$12,3,2),0)+$A192=T$180,0.5*IFERROR($R$166/INDEX('Useful Life &amp; SG&amp;A Build'!$A$9:$B$12,3,2),0),IFERROR($R$166/INDEX('Useful Life &amp; SG&amp;A Build'!$A$9:$B$12,3,2),0))))</f>
        <v>4.0627122439890702</v>
      </c>
      <c r="U192" s="563">
        <f>-IF($A192+1&gt;U$180,0,IF(ROUND(INDEX('Useful Life &amp; SG&amp;A Build'!$A$9:$B$12,3,2),0)+$A192&lt;U$180,0,IF(ROUND(INDEX('Useful Life &amp; SG&amp;A Build'!$A$9:$B$12,3,2),0)+$A192=U$180,0.5*IFERROR($R$166/INDEX('Useful Life &amp; SG&amp;A Build'!$A$9:$B$12,3,2),0),IFERROR($R$166/INDEX('Useful Life &amp; SG&amp;A Build'!$A$9:$B$12,3,2),0))))</f>
        <v>4.0627122439890702</v>
      </c>
      <c r="V192" s="563">
        <f>-IF($A192+1&gt;V$180,0,IF(ROUND(INDEX('Useful Life &amp; SG&amp;A Build'!$A$9:$B$12,3,2),0)+$A192&lt;V$180,0,IF(ROUND(INDEX('Useful Life &amp; SG&amp;A Build'!$A$9:$B$12,3,2),0)+$A192=V$180,0.5*IFERROR($R$166/INDEX('Useful Life &amp; SG&amp;A Build'!$A$9:$B$12,3,2),0),IFERROR($R$166/INDEX('Useful Life &amp; SG&amp;A Build'!$A$9:$B$12,3,2),0))))</f>
        <v>4.0627122439890702</v>
      </c>
      <c r="AA192" s="263"/>
      <c r="AB192" s="263"/>
    </row>
    <row r="193" spans="1:28" ht="16" outlineLevel="1" x14ac:dyDescent="0.2">
      <c r="A193" s="562">
        <f t="shared" si="91"/>
        <v>2028</v>
      </c>
      <c r="L193" s="563">
        <f>-IF($A193+1&gt;L$180,0,IF(ROUND(INDEX('Useful Life &amp; SG&amp;A Build'!$A$9:$B$12,3,2),0)+$A193&lt;L$180,0,IF(ROUND(INDEX('Useful Life &amp; SG&amp;A Build'!$A$9:$B$12,3,2),0)+$A193=L$180,0.5*IFERROR($S$166/INDEX('Useful Life &amp; SG&amp;A Build'!$A$9:$B$12,3,2),0),IFERROR($S$166/INDEX('Useful Life &amp; SG&amp;A Build'!$A$9:$B$12,3,2),0))))</f>
        <v>0</v>
      </c>
      <c r="M193" s="563">
        <f>-IF($A193+1&gt;M$180,0,IF(ROUND(INDEX('Useful Life &amp; SG&amp;A Build'!$A$9:$B$12,3,2),0)+$A193&lt;M$180,0,IF(ROUND(INDEX('Useful Life &amp; SG&amp;A Build'!$A$9:$B$12,3,2),0)+$A193=M$180,0.5*IFERROR($S$166/INDEX('Useful Life &amp; SG&amp;A Build'!$A$9:$B$12,3,2),0),IFERROR($S$166/INDEX('Useful Life &amp; SG&amp;A Build'!$A$9:$B$12,3,2),0))))</f>
        <v>0</v>
      </c>
      <c r="N193" s="563">
        <f>-IF($A193+1&gt;N$180,0,IF(ROUND(INDEX('Useful Life &amp; SG&amp;A Build'!$A$9:$B$12,3,2),0)+$A193&lt;N$180,0,IF(ROUND(INDEX('Useful Life &amp; SG&amp;A Build'!$A$9:$B$12,3,2),0)+$A193=N$180,0.5*IFERROR($S$166/INDEX('Useful Life &amp; SG&amp;A Build'!$A$9:$B$12,3,2),0),IFERROR($S$166/INDEX('Useful Life &amp; SG&amp;A Build'!$A$9:$B$12,3,2),0))))</f>
        <v>0</v>
      </c>
      <c r="O193" s="563">
        <f>-IF($A193+1&gt;O$180,0,IF(ROUND(INDEX('Useful Life &amp; SG&amp;A Build'!$A$9:$B$12,3,2),0)+$A193&lt;O$180,0,IF(ROUND(INDEX('Useful Life &amp; SG&amp;A Build'!$A$9:$B$12,3,2),0)+$A193=O$180,0.5*IFERROR($S$166/INDEX('Useful Life &amp; SG&amp;A Build'!$A$9:$B$12,3,2),0),IFERROR($S$166/INDEX('Useful Life &amp; SG&amp;A Build'!$A$9:$B$12,3,2),0))))</f>
        <v>0</v>
      </c>
      <c r="P193" s="563">
        <f>-IF($A193+1&gt;P$180,0,IF(ROUND(INDEX('Useful Life &amp; SG&amp;A Build'!$A$9:$B$12,3,2),0)+$A193&lt;P$180,0,IF(ROUND(INDEX('Useful Life &amp; SG&amp;A Build'!$A$9:$B$12,3,2),0)+$A193=P$180,0.5*IFERROR($S$166/INDEX('Useful Life &amp; SG&amp;A Build'!$A$9:$B$12,3,2),0),IFERROR($S$166/INDEX('Useful Life &amp; SG&amp;A Build'!$A$9:$B$12,3,2),0))))</f>
        <v>0</v>
      </c>
      <c r="Q193" s="563">
        <f>-IF($A193+1&gt;Q$180,0,IF(ROUND(INDEX('Useful Life &amp; SG&amp;A Build'!$A$9:$B$12,3,2),0)+$A193&lt;Q$180,0,IF(ROUND(INDEX('Useful Life &amp; SG&amp;A Build'!$A$9:$B$12,3,2),0)+$A193=Q$180,0.5*IFERROR($S$166/INDEX('Useful Life &amp; SG&amp;A Build'!$A$9:$B$12,3,2),0),IFERROR($S$166/INDEX('Useful Life &amp; SG&amp;A Build'!$A$9:$B$12,3,2),0))))</f>
        <v>0</v>
      </c>
      <c r="R193" s="563">
        <f>-IF($A193+1&gt;R$180,0,IF(ROUND(INDEX('Useful Life &amp; SG&amp;A Build'!$A$9:$B$12,3,2),0)+$A193&lt;R$180,0,IF(ROUND(INDEX('Useful Life &amp; SG&amp;A Build'!$A$9:$B$12,3,2),0)+$A193=R$180,0.5*IFERROR($S$166/INDEX('Useful Life &amp; SG&amp;A Build'!$A$9:$B$12,3,2),0),IFERROR($S$166/INDEX('Useful Life &amp; SG&amp;A Build'!$A$9:$B$12,3,2),0))))</f>
        <v>0</v>
      </c>
      <c r="S193" s="563">
        <f>-IF($A193+1&gt;S$180,0,IF(ROUND(INDEX('Useful Life &amp; SG&amp;A Build'!$A$9:$B$12,3,2),0)+$A193&lt;S$180,0,IF(ROUND(INDEX('Useful Life &amp; SG&amp;A Build'!$A$9:$B$12,3,2),0)+$A193=S$180,0.5*IFERROR($S$166/INDEX('Useful Life &amp; SG&amp;A Build'!$A$9:$B$12,3,2),0),IFERROR($S$166/INDEX('Useful Life &amp; SG&amp;A Build'!$A$9:$B$12,3,2),0))))</f>
        <v>0</v>
      </c>
      <c r="T193" s="563">
        <f>-IF($A193+1&gt;T$180,0,IF(ROUND(INDEX('Useful Life &amp; SG&amp;A Build'!$A$9:$B$12,3,2),0)+$A193&lt;T$180,0,IF(ROUND(INDEX('Useful Life &amp; SG&amp;A Build'!$A$9:$B$12,3,2),0)+$A193=T$180,0.5*IFERROR($S$166/INDEX('Useful Life &amp; SG&amp;A Build'!$A$9:$B$12,3,2),0),IFERROR($S$166/INDEX('Useful Life &amp; SG&amp;A Build'!$A$9:$B$12,3,2),0))))</f>
        <v>3.8453901925660632</v>
      </c>
      <c r="U193" s="563">
        <f>-IF($A193+1&gt;U$180,0,IF(ROUND(INDEX('Useful Life &amp; SG&amp;A Build'!$A$9:$B$12,3,2),0)+$A193&lt;U$180,0,IF(ROUND(INDEX('Useful Life &amp; SG&amp;A Build'!$A$9:$B$12,3,2),0)+$A193=U$180,0.5*IFERROR($S$166/INDEX('Useful Life &amp; SG&amp;A Build'!$A$9:$B$12,3,2),0),IFERROR($S$166/INDEX('Useful Life &amp; SG&amp;A Build'!$A$9:$B$12,3,2),0))))</f>
        <v>3.8453901925660632</v>
      </c>
      <c r="V193" s="563">
        <f>-IF($A193+1&gt;V$180,0,IF(ROUND(INDEX('Useful Life &amp; SG&amp;A Build'!$A$9:$B$12,3,2),0)+$A193&lt;V$180,0,IF(ROUND(INDEX('Useful Life &amp; SG&amp;A Build'!$A$9:$B$12,3,2),0)+$A193=V$180,0.5*IFERROR($S$166/INDEX('Useful Life &amp; SG&amp;A Build'!$A$9:$B$12,3,2),0),IFERROR($S$166/INDEX('Useful Life &amp; SG&amp;A Build'!$A$9:$B$12,3,2),0))))</f>
        <v>3.8453901925660632</v>
      </c>
      <c r="AA193" s="263"/>
      <c r="AB193" s="263"/>
    </row>
    <row r="194" spans="1:28" ht="16" outlineLevel="1" x14ac:dyDescent="0.2">
      <c r="A194" s="562">
        <f t="shared" si="91"/>
        <v>2029</v>
      </c>
      <c r="L194" s="563">
        <f>-IF($A194+1&gt;L$180,0,IF(ROUND(INDEX('Useful Life &amp; SG&amp;A Build'!$A$9:$B$12,3,2),0)+$A194&lt;L$180,0,IF(ROUND(INDEX('Useful Life &amp; SG&amp;A Build'!$A$9:$B$12,3,2),0)+$A194=L$180,0.5*IFERROR($T$166/INDEX('Useful Life &amp; SG&amp;A Build'!$A$9:$B$12,3,2),0),IFERROR($T$166/INDEX('Useful Life &amp; SG&amp;A Build'!$A$9:$B$12,3,2),0))))</f>
        <v>0</v>
      </c>
      <c r="M194" s="563">
        <f>-IF($A194+1&gt;M$180,0,IF(ROUND(INDEX('Useful Life &amp; SG&amp;A Build'!$A$9:$B$12,3,2),0)+$A194&lt;M$180,0,IF(ROUND(INDEX('Useful Life &amp; SG&amp;A Build'!$A$9:$B$12,3,2),0)+$A194=M$180,0.5*IFERROR($T$166/INDEX('Useful Life &amp; SG&amp;A Build'!$A$9:$B$12,3,2),0),IFERROR($T$166/INDEX('Useful Life &amp; SG&amp;A Build'!$A$9:$B$12,3,2),0))))</f>
        <v>0</v>
      </c>
      <c r="N194" s="563">
        <f>-IF($A194+1&gt;N$180,0,IF(ROUND(INDEX('Useful Life &amp; SG&amp;A Build'!$A$9:$B$12,3,2),0)+$A194&lt;N$180,0,IF(ROUND(INDEX('Useful Life &amp; SG&amp;A Build'!$A$9:$B$12,3,2),0)+$A194=N$180,0.5*IFERROR($T$166/INDEX('Useful Life &amp; SG&amp;A Build'!$A$9:$B$12,3,2),0),IFERROR($T$166/INDEX('Useful Life &amp; SG&amp;A Build'!$A$9:$B$12,3,2),0))))</f>
        <v>0</v>
      </c>
      <c r="O194" s="563">
        <f>-IF($A194+1&gt;O$180,0,IF(ROUND(INDEX('Useful Life &amp; SG&amp;A Build'!$A$9:$B$12,3,2),0)+$A194&lt;O$180,0,IF(ROUND(INDEX('Useful Life &amp; SG&amp;A Build'!$A$9:$B$12,3,2),0)+$A194=O$180,0.5*IFERROR($T$166/INDEX('Useful Life &amp; SG&amp;A Build'!$A$9:$B$12,3,2),0),IFERROR($T$166/INDEX('Useful Life &amp; SG&amp;A Build'!$A$9:$B$12,3,2),0))))</f>
        <v>0</v>
      </c>
      <c r="P194" s="563">
        <f>-IF($A194+1&gt;P$180,0,IF(ROUND(INDEX('Useful Life &amp; SG&amp;A Build'!$A$9:$B$12,3,2),0)+$A194&lt;P$180,0,IF(ROUND(INDEX('Useful Life &amp; SG&amp;A Build'!$A$9:$B$12,3,2),0)+$A194=P$180,0.5*IFERROR($T$166/INDEX('Useful Life &amp; SG&amp;A Build'!$A$9:$B$12,3,2),0),IFERROR($T$166/INDEX('Useful Life &amp; SG&amp;A Build'!$A$9:$B$12,3,2),0))))</f>
        <v>0</v>
      </c>
      <c r="Q194" s="563">
        <f>-IF($A194+1&gt;Q$180,0,IF(ROUND(INDEX('Useful Life &amp; SG&amp;A Build'!$A$9:$B$12,3,2),0)+$A194&lt;Q$180,0,IF(ROUND(INDEX('Useful Life &amp; SG&amp;A Build'!$A$9:$B$12,3,2),0)+$A194=Q$180,0.5*IFERROR($T$166/INDEX('Useful Life &amp; SG&amp;A Build'!$A$9:$B$12,3,2),0),IFERROR($T$166/INDEX('Useful Life &amp; SG&amp;A Build'!$A$9:$B$12,3,2),0))))</f>
        <v>0</v>
      </c>
      <c r="R194" s="563">
        <f>-IF($A194+1&gt;R$180,0,IF(ROUND(INDEX('Useful Life &amp; SG&amp;A Build'!$A$9:$B$12,3,2),0)+$A194&lt;R$180,0,IF(ROUND(INDEX('Useful Life &amp; SG&amp;A Build'!$A$9:$B$12,3,2),0)+$A194=R$180,0.5*IFERROR($T$166/INDEX('Useful Life &amp; SG&amp;A Build'!$A$9:$B$12,3,2),0),IFERROR($T$166/INDEX('Useful Life &amp; SG&amp;A Build'!$A$9:$B$12,3,2),0))))</f>
        <v>0</v>
      </c>
      <c r="S194" s="563">
        <f>-IF($A194+1&gt;S$180,0,IF(ROUND(INDEX('Useful Life &amp; SG&amp;A Build'!$A$9:$B$12,3,2),0)+$A194&lt;S$180,0,IF(ROUND(INDEX('Useful Life &amp; SG&amp;A Build'!$A$9:$B$12,3,2),0)+$A194=S$180,0.5*IFERROR($T$166/INDEX('Useful Life &amp; SG&amp;A Build'!$A$9:$B$12,3,2),0),IFERROR($T$166/INDEX('Useful Life &amp; SG&amp;A Build'!$A$9:$B$12,3,2),0))))</f>
        <v>0</v>
      </c>
      <c r="T194" s="563">
        <f>-IF($A194+1&gt;T$180,0,IF(ROUND(INDEX('Useful Life &amp; SG&amp;A Build'!$A$9:$B$12,3,2),0)+$A194&lt;T$180,0,IF(ROUND(INDEX('Useful Life &amp; SG&amp;A Build'!$A$9:$B$12,3,2),0)+$A194=T$180,0.5*IFERROR($T$166/INDEX('Useful Life &amp; SG&amp;A Build'!$A$9:$B$12,3,2),0),IFERROR($T$166/INDEX('Useful Life &amp; SG&amp;A Build'!$A$9:$B$12,3,2),0))))</f>
        <v>0</v>
      </c>
      <c r="U194" s="563">
        <f>-IF($A194+1&gt;U$180,0,IF(ROUND(INDEX('Useful Life &amp; SG&amp;A Build'!$A$9:$B$12,3,2),0)+$A194&lt;U$180,0,IF(ROUND(INDEX('Useful Life &amp; SG&amp;A Build'!$A$9:$B$12,3,2),0)+$A194=U$180,0.5*IFERROR($T$166/INDEX('Useful Life &amp; SG&amp;A Build'!$A$9:$B$12,3,2),0),IFERROR($T$166/INDEX('Useful Life &amp; SG&amp;A Build'!$A$9:$B$12,3,2),0))))</f>
        <v>3.4074932019132826</v>
      </c>
      <c r="V194" s="563">
        <f>-IF($A194+1&gt;V$180,0,IF(ROUND(INDEX('Useful Life &amp; SG&amp;A Build'!$A$9:$B$12,3,2),0)+$A194&lt;V$180,0,IF(ROUND(INDEX('Useful Life &amp; SG&amp;A Build'!$A$9:$B$12,3,2),0)+$A194=V$180,0.5*IFERROR($T$166/INDEX('Useful Life &amp; SG&amp;A Build'!$A$9:$B$12,3,2),0),IFERROR($T$166/INDEX('Useful Life &amp; SG&amp;A Build'!$A$9:$B$12,3,2),0))))</f>
        <v>3.4074932019132826</v>
      </c>
      <c r="AA194" s="263"/>
      <c r="AB194" s="263"/>
    </row>
    <row r="195" spans="1:28" ht="16" outlineLevel="1" x14ac:dyDescent="0.2">
      <c r="A195" s="597">
        <f t="shared" si="91"/>
        <v>2030</v>
      </c>
      <c r="B195" s="599"/>
      <c r="C195" s="599"/>
      <c r="D195" s="599"/>
      <c r="E195" s="599"/>
      <c r="F195" s="599"/>
      <c r="G195" s="599"/>
      <c r="H195" s="599"/>
      <c r="I195" s="599"/>
      <c r="J195" s="599"/>
      <c r="K195" s="599"/>
      <c r="L195" s="598">
        <f>-IF($A195+1&gt;L$180,0,IF(ROUND(INDEX('Useful Life &amp; SG&amp;A Build'!$A$9:$B$12,3,2),0)+$A195&lt;L$180,0,IF(ROUND(INDEX('Useful Life &amp; SG&amp;A Build'!$A$9:$B$12,3,2),0)+$A195=L$180,0.5*IFERROR($U$166/INDEX('Useful Life &amp; SG&amp;A Build'!$A$9:$B$12,3,2),0),IFERROR($U$166/INDEX('Useful Life &amp; SG&amp;A Build'!$A$9:$B$12,3,2),0))))</f>
        <v>0</v>
      </c>
      <c r="M195" s="598">
        <f>-IF($A195+1&gt;M$180,0,IF(ROUND(INDEX('Useful Life &amp; SG&amp;A Build'!$A$9:$B$12,3,2),0)+$A195&lt;M$180,0,IF(ROUND(INDEX('Useful Life &amp; SG&amp;A Build'!$A$9:$B$12,3,2),0)+$A195=M$180,0.5*IFERROR($U$166/INDEX('Useful Life &amp; SG&amp;A Build'!$A$9:$B$12,3,2),0),IFERROR($U$166/INDEX('Useful Life &amp; SG&amp;A Build'!$A$9:$B$12,3,2),0))))</f>
        <v>0</v>
      </c>
      <c r="N195" s="598">
        <f>-IF($A195+1&gt;N$180,0,IF(ROUND(INDEX('Useful Life &amp; SG&amp;A Build'!$A$9:$B$12,3,2),0)+$A195&lt;N$180,0,IF(ROUND(INDEX('Useful Life &amp; SG&amp;A Build'!$A$9:$B$12,3,2),0)+$A195=N$180,0.5*IFERROR($U$166/INDEX('Useful Life &amp; SG&amp;A Build'!$A$9:$B$12,3,2),0),IFERROR($U$166/INDEX('Useful Life &amp; SG&amp;A Build'!$A$9:$B$12,3,2),0))))</f>
        <v>0</v>
      </c>
      <c r="O195" s="598">
        <f>-IF($A195+1&gt;O$180,0,IF(ROUND(INDEX('Useful Life &amp; SG&amp;A Build'!$A$9:$B$12,3,2),0)+$A195&lt;O$180,0,IF(ROUND(INDEX('Useful Life &amp; SG&amp;A Build'!$A$9:$B$12,3,2),0)+$A195=O$180,0.5*IFERROR($U$166/INDEX('Useful Life &amp; SG&amp;A Build'!$A$9:$B$12,3,2),0),IFERROR($U$166/INDEX('Useful Life &amp; SG&amp;A Build'!$A$9:$B$12,3,2),0))))</f>
        <v>0</v>
      </c>
      <c r="P195" s="598">
        <f>-IF($A195+1&gt;P$180,0,IF(ROUND(INDEX('Useful Life &amp; SG&amp;A Build'!$A$9:$B$12,3,2),0)+$A195&lt;P$180,0,IF(ROUND(INDEX('Useful Life &amp; SG&amp;A Build'!$A$9:$B$12,3,2),0)+$A195=P$180,0.5*IFERROR($U$166/INDEX('Useful Life &amp; SG&amp;A Build'!$A$9:$B$12,3,2),0),IFERROR($U$166/INDEX('Useful Life &amp; SG&amp;A Build'!$A$9:$B$12,3,2),0))))</f>
        <v>0</v>
      </c>
      <c r="Q195" s="598">
        <f>-IF($A195+1&gt;Q$180,0,IF(ROUND(INDEX('Useful Life &amp; SG&amp;A Build'!$A$9:$B$12,3,2),0)+$A195&lt;Q$180,0,IF(ROUND(INDEX('Useful Life &amp; SG&amp;A Build'!$A$9:$B$12,3,2),0)+$A195=Q$180,0.5*IFERROR($U$166/INDEX('Useful Life &amp; SG&amp;A Build'!$A$9:$B$12,3,2),0),IFERROR($U$166/INDEX('Useful Life &amp; SG&amp;A Build'!$A$9:$B$12,3,2),0))))</f>
        <v>0</v>
      </c>
      <c r="R195" s="598">
        <f>-IF($A195+1&gt;R$180,0,IF(ROUND(INDEX('Useful Life &amp; SG&amp;A Build'!$A$9:$B$12,3,2),0)+$A195&lt;R$180,0,IF(ROUND(INDEX('Useful Life &amp; SG&amp;A Build'!$A$9:$B$12,3,2),0)+$A195=R$180,0.5*IFERROR($U$166/INDEX('Useful Life &amp; SG&amp;A Build'!$A$9:$B$12,3,2),0),IFERROR($U$166/INDEX('Useful Life &amp; SG&amp;A Build'!$A$9:$B$12,3,2),0))))</f>
        <v>0</v>
      </c>
      <c r="S195" s="598">
        <f>-IF($A195+1&gt;S$180,0,IF(ROUND(INDEX('Useful Life &amp; SG&amp;A Build'!$A$9:$B$12,3,2),0)+$A195&lt;S$180,0,IF(ROUND(INDEX('Useful Life &amp; SG&amp;A Build'!$A$9:$B$12,3,2),0)+$A195=S$180,0.5*IFERROR($U$166/INDEX('Useful Life &amp; SG&amp;A Build'!$A$9:$B$12,3,2),0),IFERROR($U$166/INDEX('Useful Life &amp; SG&amp;A Build'!$A$9:$B$12,3,2),0))))</f>
        <v>0</v>
      </c>
      <c r="T195" s="598">
        <f>-IF($A195+1&gt;T$180,0,IF(ROUND(INDEX('Useful Life &amp; SG&amp;A Build'!$A$9:$B$12,3,2),0)+$A195&lt;T$180,0,IF(ROUND(INDEX('Useful Life &amp; SG&amp;A Build'!$A$9:$B$12,3,2),0)+$A195=T$180,0.5*IFERROR($U$166/INDEX('Useful Life &amp; SG&amp;A Build'!$A$9:$B$12,3,2),0),IFERROR($U$166/INDEX('Useful Life &amp; SG&amp;A Build'!$A$9:$B$12,3,2),0))))</f>
        <v>0</v>
      </c>
      <c r="U195" s="598">
        <f>-IF($A195+1&gt;U$180,0,IF(ROUND(INDEX('Useful Life &amp; SG&amp;A Build'!$A$9:$B$12,3,2),0)+$A195&lt;U$180,0,IF(ROUND(INDEX('Useful Life &amp; SG&amp;A Build'!$A$9:$B$12,3,2),0)+$A195=U$180,0.5*IFERROR($U$166/INDEX('Useful Life &amp; SG&amp;A Build'!$A$9:$B$12,3,2),0),IFERROR($U$166/INDEX('Useful Life &amp; SG&amp;A Build'!$A$9:$B$12,3,2),0))))</f>
        <v>0</v>
      </c>
      <c r="V195" s="598">
        <f>-IF($A195+1&gt;V$180,0,IF(ROUND(INDEX('Useful Life &amp; SG&amp;A Build'!$A$9:$B$12,3,2),0)+$A195&lt;V$180,0,IF(ROUND(INDEX('Useful Life &amp; SG&amp;A Build'!$A$9:$B$12,3,2),0)+$A195=V$180,0.5*IFERROR($U$166/INDEX('Useful Life &amp; SG&amp;A Build'!$A$9:$B$12,3,2),0),IFERROR($U$166/INDEX('Useful Life &amp; SG&amp;A Build'!$A$9:$B$12,3,2),0))))</f>
        <v>3.3148077689132034</v>
      </c>
      <c r="AA195" s="263"/>
      <c r="AB195" s="263"/>
    </row>
    <row r="196" spans="1:28" ht="16" outlineLevel="1" x14ac:dyDescent="0.2">
      <c r="A196" s="600" t="s">
        <v>497</v>
      </c>
      <c r="L196" s="263">
        <f>SUM(L182:L195)</f>
        <v>38.266666666666666</v>
      </c>
      <c r="M196" s="263">
        <f>SUM(M182:M195)</f>
        <v>45.866666666666667</v>
      </c>
      <c r="N196" s="263">
        <f>SUM(N182:N195)</f>
        <v>47.2</v>
      </c>
      <c r="O196" s="263">
        <f>SUM(O182:O195)</f>
        <v>51.866666666666667</v>
      </c>
      <c r="P196" s="263">
        <f>SUM(P182:P195)</f>
        <v>52</v>
      </c>
      <c r="Q196" s="263">
        <f t="shared" ref="Q196:V196" si="92">SUM(Q182:Q195)</f>
        <v>46.959999999999994</v>
      </c>
      <c r="R196" s="263">
        <f t="shared" si="92"/>
        <v>39.301532901926784</v>
      </c>
      <c r="S196" s="263">
        <f t="shared" si="92"/>
        <v>31.297578479249189</v>
      </c>
      <c r="T196" s="263">
        <f t="shared" si="92"/>
        <v>26.40963533848192</v>
      </c>
      <c r="U196" s="263">
        <f t="shared" si="92"/>
        <v>25.350461873728534</v>
      </c>
      <c r="V196" s="263">
        <f t="shared" si="92"/>
        <v>25.665269642641739</v>
      </c>
      <c r="AA196" s="263"/>
      <c r="AB196" s="263"/>
    </row>
    <row r="197" spans="1:28" ht="16" outlineLevel="1" x14ac:dyDescent="0.2">
      <c r="L197" s="263"/>
      <c r="M197" s="309"/>
      <c r="N197" s="263"/>
      <c r="O197" s="263"/>
      <c r="P197" s="263"/>
      <c r="Q197" s="263"/>
      <c r="R197" s="263"/>
      <c r="S197" s="263"/>
      <c r="T197" s="263"/>
      <c r="U197" s="263"/>
      <c r="V197" s="263"/>
      <c r="AA197" s="263"/>
      <c r="AB197" s="263"/>
    </row>
    <row r="198" spans="1:28" ht="16" outlineLevel="1" x14ac:dyDescent="0.2">
      <c r="A198" s="582" t="s">
        <v>37</v>
      </c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584">
        <v>2021</v>
      </c>
      <c r="M198" s="584">
        <v>2022</v>
      </c>
      <c r="N198" s="584">
        <v>2023</v>
      </c>
      <c r="O198" s="584">
        <v>2024</v>
      </c>
      <c r="P198" s="584">
        <v>2025</v>
      </c>
      <c r="Q198" s="584">
        <v>2026</v>
      </c>
      <c r="R198" s="584">
        <v>2027</v>
      </c>
      <c r="S198" s="584">
        <v>2028</v>
      </c>
      <c r="T198" s="584">
        <v>2029</v>
      </c>
      <c r="U198" s="584">
        <v>2030</v>
      </c>
      <c r="V198" s="584">
        <v>2031</v>
      </c>
      <c r="AA198" s="263"/>
      <c r="AB198" s="263"/>
    </row>
    <row r="199" spans="1:28" ht="16" outlineLevel="1" x14ac:dyDescent="0.2">
      <c r="A199" s="562">
        <v>2017</v>
      </c>
      <c r="L199" s="563">
        <f>IF($A199+1&gt;L$198,0,IF(ROUND(INDEX('Useful Life &amp; SG&amp;A Build'!$A$9:$B$12,2,2),0)+$A199&lt;L$198,0,IF(ROUND(INDEX('Useful Life &amp; SG&amp;A Build'!$A$9:$B$12,2,2),0)+$A199=L$198,0.5*IFERROR(INDEX('Useful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30.142857142857142</v>
      </c>
      <c r="M199" s="563">
        <f>IF($A199+1&gt;M$198,0,IF(ROUND(INDEX('Useful Life &amp; SG&amp;A Build'!$A$9:$B$12,2,2),0)+$A199&lt;M$198,0,IF(ROUND(INDEX('Useful Life &amp; SG&amp;A Build'!$A$9:$B$12,2,2),0)+$A199=M$198,0.5*IFERROR(INDEX('Useful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N199" s="563">
        <f>IF($A199+1&gt;N$198,0,IF(ROUND(INDEX('Useful Life &amp; SG&amp;A Build'!$A$9:$B$12,2,2),0)+$A199&lt;N$198,0,IF(ROUND(INDEX('Useful Life &amp; SG&amp;A Build'!$A$9:$B$12,2,2),0)+$A199=N$198,0.5*IFERROR(INDEX('Useful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O199" s="563">
        <f>IF($A199+1&gt;O$198,0,IF(ROUND(INDEX('Useful Life &amp; SG&amp;A Build'!$A$9:$B$12,2,2),0)+$A199&lt;O$198,0,IF(ROUND(INDEX('Useful Life &amp; SG&amp;A Build'!$A$9:$B$12,2,2),0)+$A199=O$198,0.5*IFERROR(INDEX('Useful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P199" s="563">
        <f>IF($A199+1&gt;P$198,0,IF(ROUND(INDEX('Useful Life &amp; SG&amp;A Build'!$A$9:$B$12,2,2),0)+$A199&lt;P$198,0,IF(ROUND(INDEX('Useful Life &amp; SG&amp;A Build'!$A$9:$B$12,2,2),0)+$A199=P$198,0.5*IFERROR(INDEX('Useful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Q199" s="563">
        <f>IF($A199+1&gt;Q$198,0,IF(ROUND(INDEX('Useful Life &amp; SG&amp;A Build'!$A$9:$B$12,2,2),0)+$A199&lt;Q$198,0,IF(ROUND(INDEX('Useful Life &amp; SG&amp;A Build'!$A$9:$B$12,2,2),0)+$A199=Q$198,0.5*IFERROR(INDEX('Useful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R199" s="563">
        <f>IF($A199+1&gt;R$198,0,IF(ROUND(INDEX('Useful Life &amp; SG&amp;A Build'!$A$9:$B$12,2,2),0)+$A199&lt;R$198,0,IF(ROUND(INDEX('Useful Life &amp; SG&amp;A Build'!$A$9:$B$12,2,2),0)+$A199=R$198,0.5*IFERROR(INDEX('Useful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S199" s="563">
        <f>IF($A199+1&gt;S$198,0,IF(ROUND(INDEX('Useful Life &amp; SG&amp;A Build'!$A$9:$B$12,2,2),0)+$A199&lt;S$198,0,IF(ROUND(INDEX('Useful Life &amp; SG&amp;A Build'!$A$9:$B$12,2,2),0)+$A199=S$198,0.5*IFERROR(INDEX('Useful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T199" s="563">
        <f>IF($A199+1&gt;T$198,0,IF(ROUND(INDEX('Useful Life &amp; SG&amp;A Build'!$A$9:$B$12,2,2),0)+$A199&lt;T$198,0,IF(ROUND(INDEX('Useful Life &amp; SG&amp;A Build'!$A$9:$B$12,2,2),0)+$A199=T$198,0.5*IFERROR(INDEX('Useful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U199" s="563">
        <f>IF($A199+1&gt;U$198,0,IF(ROUND(INDEX('Useful Life &amp; SG&amp;A Build'!$A$9:$B$12,2,2),0)+$A199&lt;U$198,0,IF(ROUND(INDEX('Useful Life &amp; SG&amp;A Build'!$A$9:$B$12,2,2),0)+$A199=U$198,0.5*IFERROR(INDEX('Useful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V199" s="563">
        <f>IF($A199+1&gt;V$198,0,IF(ROUND(INDEX('Useful Life &amp; SG&amp;A Build'!$A$9:$B$12,2,2),0)+$A199&lt;V$198,0,IF(ROUND(INDEX('Useful Life &amp; SG&amp;A Build'!$A$9:$B$12,2,2),0)+$A199=V$198,0.5*IFERROR(INDEX('Useful Life &amp; SG&amp;A Build'!$A$3:$K$6,2,MATCH($A199,'Useful Life &amp; SG&amp;A Build'!$A$3:$K$3,0))/INDEX('Useful Life &amp; SG&amp;A Build'!$A$9:$B$12,2,2),0),IFERROR(INDEX('Useful Life &amp; SG&amp;A Build'!$A$3:$K$6,2,MATCH($A199,'Useful Life &amp; SG&amp;A Build'!$A$3:$K$3,0))/INDEX('Useful Life &amp; SG&amp;A Build'!$A$9:$B$12,2,2),0))))</f>
        <v>0</v>
      </c>
      <c r="AA199" s="263"/>
      <c r="AB199" s="263"/>
    </row>
    <row r="200" spans="1:28" ht="16" outlineLevel="1" x14ac:dyDescent="0.2">
      <c r="A200" s="562">
        <f>A199+1</f>
        <v>2018</v>
      </c>
      <c r="L200" s="563">
        <f>IF($A200+1&gt;L$198,0,IF(ROUND(INDEX('Useful Life &amp; SG&amp;A Build'!$A$9:$B$12,2,2),0)+$A200&lt;L$198,0,IF(ROUND(INDEX('Useful Life &amp; SG&amp;A Build'!$A$9:$B$12,2,2),0)+$A200=L$198,0.5*IFERROR(INDEX('Useful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56.285714285714285</v>
      </c>
      <c r="M200" s="563">
        <f>IF($A200+1&gt;M$198,0,IF(ROUND(INDEX('Useful Life &amp; SG&amp;A Build'!$A$9:$B$12,2,2),0)+$A200&lt;M$198,0,IF(ROUND(INDEX('Useful Life &amp; SG&amp;A Build'!$A$9:$B$12,2,2),0)+$A200=M$198,0.5*IFERROR(INDEX('Useful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28.142857142857142</v>
      </c>
      <c r="N200" s="563">
        <f>IF($A200+1&gt;N$198,0,IF(ROUND(INDEX('Useful Life &amp; SG&amp;A Build'!$A$9:$B$12,2,2),0)+$A200&lt;N$198,0,IF(ROUND(INDEX('Useful Life &amp; SG&amp;A Build'!$A$9:$B$12,2,2),0)+$A200=N$198,0.5*IFERROR(INDEX('Useful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O200" s="563">
        <f>IF($A200+1&gt;O$198,0,IF(ROUND(INDEX('Useful Life &amp; SG&amp;A Build'!$A$9:$B$12,2,2),0)+$A200&lt;O$198,0,IF(ROUND(INDEX('Useful Life &amp; SG&amp;A Build'!$A$9:$B$12,2,2),0)+$A200=O$198,0.5*IFERROR(INDEX('Useful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P200" s="563">
        <f>IF($A200+1&gt;P$198,0,IF(ROUND(INDEX('Useful Life &amp; SG&amp;A Build'!$A$9:$B$12,2,2),0)+$A200&lt;P$198,0,IF(ROUND(INDEX('Useful Life &amp; SG&amp;A Build'!$A$9:$B$12,2,2),0)+$A200=P$198,0.5*IFERROR(INDEX('Useful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Q200" s="563">
        <f>IF($A200+1&gt;Q$198,0,IF(ROUND(INDEX('Useful Life &amp; SG&amp;A Build'!$A$9:$B$12,2,2),0)+$A200&lt;Q$198,0,IF(ROUND(INDEX('Useful Life &amp; SG&amp;A Build'!$A$9:$B$12,2,2),0)+$A200=Q$198,0.5*IFERROR(INDEX('Useful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R200" s="563">
        <f>IF($A200+1&gt;R$198,0,IF(ROUND(INDEX('Useful Life &amp; SG&amp;A Build'!$A$9:$B$12,2,2),0)+$A200&lt;R$198,0,IF(ROUND(INDEX('Useful Life &amp; SG&amp;A Build'!$A$9:$B$12,2,2),0)+$A200=R$198,0.5*IFERROR(INDEX('Useful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S200" s="563">
        <f>IF($A200+1&gt;S$198,0,IF(ROUND(INDEX('Useful Life &amp; SG&amp;A Build'!$A$9:$B$12,2,2),0)+$A200&lt;S$198,0,IF(ROUND(INDEX('Useful Life &amp; SG&amp;A Build'!$A$9:$B$12,2,2),0)+$A200=S$198,0.5*IFERROR(INDEX('Useful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T200" s="563">
        <f>IF($A200+1&gt;T$198,0,IF(ROUND(INDEX('Useful Life &amp; SG&amp;A Build'!$A$9:$B$12,2,2),0)+$A200&lt;T$198,0,IF(ROUND(INDEX('Useful Life &amp; SG&amp;A Build'!$A$9:$B$12,2,2),0)+$A200=T$198,0.5*IFERROR(INDEX('Useful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U200" s="563">
        <f>IF($A200+1&gt;U$198,0,IF(ROUND(INDEX('Useful Life &amp; SG&amp;A Build'!$A$9:$B$12,2,2),0)+$A200&lt;U$198,0,IF(ROUND(INDEX('Useful Life &amp; SG&amp;A Build'!$A$9:$B$12,2,2),0)+$A200=U$198,0.5*IFERROR(INDEX('Useful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V200" s="563">
        <f>IF($A200+1&gt;V$198,0,IF(ROUND(INDEX('Useful Life &amp; SG&amp;A Build'!$A$9:$B$12,2,2),0)+$A200&lt;V$198,0,IF(ROUND(INDEX('Useful Life &amp; SG&amp;A Build'!$A$9:$B$12,2,2),0)+$A200=V$198,0.5*IFERROR(INDEX('Useful Life &amp; SG&amp;A Build'!$A$3:$K$6,2,MATCH($A200,'Useful Life &amp; SG&amp;A Build'!$A$3:$K$3,0))/INDEX('Useful Life &amp; SG&amp;A Build'!$A$9:$B$12,2,2),0),IFERROR(INDEX('Useful Life &amp; SG&amp;A Build'!$A$3:$K$6,2,MATCH($A200,'Useful Life &amp; SG&amp;A Build'!$A$3:$K$3,0))/INDEX('Useful Life &amp; SG&amp;A Build'!$A$9:$B$12,2,2),0))))</f>
        <v>0</v>
      </c>
      <c r="AA200" s="263"/>
      <c r="AB200" s="263"/>
    </row>
    <row r="201" spans="1:28" ht="16" outlineLevel="1" x14ac:dyDescent="0.2">
      <c r="A201" s="562">
        <v>2019</v>
      </c>
      <c r="L201" s="563">
        <f>IF($A201+1&gt;L$198,0,IF(ROUND(INDEX('Useful Life &amp; SG&amp;A Build'!$A$9:$B$12,2,2),0)+$A201&lt;L$198,0,IF(ROUND(INDEX('Useful Life &amp; SG&amp;A Build'!$A$9:$B$12,2,2),0)+$A201=L$198,0.5*IFERROR(INDEX('Useful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75.428571428571431</v>
      </c>
      <c r="M201" s="563">
        <f>IF($A201+1&gt;M$198,0,IF(ROUND(INDEX('Useful Life &amp; SG&amp;A Build'!$A$9:$B$12,2,2),0)+$A201&lt;M$198,0,IF(ROUND(INDEX('Useful Life &amp; SG&amp;A Build'!$A$9:$B$12,2,2),0)+$A201=M$198,0.5*IFERROR(INDEX('Useful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75.428571428571431</v>
      </c>
      <c r="N201" s="563">
        <f>IF($A201+1&gt;N$198,0,IF(ROUND(INDEX('Useful Life &amp; SG&amp;A Build'!$A$9:$B$12,2,2),0)+$A201&lt;N$198,0,IF(ROUND(INDEX('Useful Life &amp; SG&amp;A Build'!$A$9:$B$12,2,2),0)+$A201=N$198,0.5*IFERROR(INDEX('Useful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37.714285714285715</v>
      </c>
      <c r="O201" s="563">
        <f>IF($A201+1&gt;O$198,0,IF(ROUND(INDEX('Useful Life &amp; SG&amp;A Build'!$A$9:$B$12,2,2),0)+$A201&lt;O$198,0,IF(ROUND(INDEX('Useful Life &amp; SG&amp;A Build'!$A$9:$B$12,2,2),0)+$A201=O$198,0.5*IFERROR(INDEX('Useful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P201" s="563">
        <f>IF($A201+1&gt;P$198,0,IF(ROUND(INDEX('Useful Life &amp; SG&amp;A Build'!$A$9:$B$12,2,2),0)+$A201&lt;P$198,0,IF(ROUND(INDEX('Useful Life &amp; SG&amp;A Build'!$A$9:$B$12,2,2),0)+$A201=P$198,0.5*IFERROR(INDEX('Useful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Q201" s="563">
        <f>IF($A201+1&gt;Q$198,0,IF(ROUND(INDEX('Useful Life &amp; SG&amp;A Build'!$A$9:$B$12,2,2),0)+$A201&lt;Q$198,0,IF(ROUND(INDEX('Useful Life &amp; SG&amp;A Build'!$A$9:$B$12,2,2),0)+$A201=Q$198,0.5*IFERROR(INDEX('Useful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R201" s="563">
        <f>IF($A201+1&gt;R$198,0,IF(ROUND(INDEX('Useful Life &amp; SG&amp;A Build'!$A$9:$B$12,2,2),0)+$A201&lt;R$198,0,IF(ROUND(INDEX('Useful Life &amp; SG&amp;A Build'!$A$9:$B$12,2,2),0)+$A201=R$198,0.5*IFERROR(INDEX('Useful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S201" s="563">
        <f>IF($A201+1&gt;S$198,0,IF(ROUND(INDEX('Useful Life &amp; SG&amp;A Build'!$A$9:$B$12,2,2),0)+$A201&lt;S$198,0,IF(ROUND(INDEX('Useful Life &amp; SG&amp;A Build'!$A$9:$B$12,2,2),0)+$A201=S$198,0.5*IFERROR(INDEX('Useful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T201" s="563">
        <f>IF($A201+1&gt;T$198,0,IF(ROUND(INDEX('Useful Life &amp; SG&amp;A Build'!$A$9:$B$12,2,2),0)+$A201&lt;T$198,0,IF(ROUND(INDEX('Useful Life &amp; SG&amp;A Build'!$A$9:$B$12,2,2),0)+$A201=T$198,0.5*IFERROR(INDEX('Useful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U201" s="563">
        <f>IF($A201+1&gt;U$198,0,IF(ROUND(INDEX('Useful Life &amp; SG&amp;A Build'!$A$9:$B$12,2,2),0)+$A201&lt;U$198,0,IF(ROUND(INDEX('Useful Life &amp; SG&amp;A Build'!$A$9:$B$12,2,2),0)+$A201=U$198,0.5*IFERROR(INDEX('Useful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V201" s="563">
        <f>IF($A201+1&gt;V$198,0,IF(ROUND(INDEX('Useful Life &amp; SG&amp;A Build'!$A$9:$B$12,2,2),0)+$A201&lt;V$198,0,IF(ROUND(INDEX('Useful Life &amp; SG&amp;A Build'!$A$9:$B$12,2,2),0)+$A201=V$198,0.5*IFERROR(INDEX('Useful Life &amp; SG&amp;A Build'!$A$3:$K$6,2,MATCH($A201,'Useful Life &amp; SG&amp;A Build'!$A$3:$K$3,0))/INDEX('Useful Life &amp; SG&amp;A Build'!$A$9:$B$12,2,2),0),IFERROR(INDEX('Useful Life &amp; SG&amp;A Build'!$A$3:$K$6,2,MATCH($A201,'Useful Life &amp; SG&amp;A Build'!$A$3:$K$3,0))/INDEX('Useful Life &amp; SG&amp;A Build'!$A$9:$B$12,2,2),0))))</f>
        <v>0</v>
      </c>
      <c r="AA201" s="263"/>
      <c r="AB201" s="263"/>
    </row>
    <row r="202" spans="1:28" ht="16" outlineLevel="1" x14ac:dyDescent="0.2">
      <c r="A202" s="562">
        <f>A201+1</f>
        <v>2020</v>
      </c>
      <c r="L202" s="563">
        <f>IF($A202+1&gt;L$198,0,IF(ROUND(INDEX('Useful Life &amp; SG&amp;A Build'!$A$9:$B$12,2,2),0)+$A202&lt;L$198,0,IF(ROUND(INDEX('Useful Life &amp; SG&amp;A Build'!$A$9:$B$12,2,2),0)+$A202=L$198,0.5*IFERROR(INDEX('Useful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68</v>
      </c>
      <c r="M202" s="563">
        <f>IF($A202+1&gt;M$198,0,IF(ROUND(INDEX('Useful Life &amp; SG&amp;A Build'!$A$9:$B$12,2,2),0)+$A202&lt;M$198,0,IF(ROUND(INDEX('Useful Life &amp; SG&amp;A Build'!$A$9:$B$12,2,2),0)+$A202=M$198,0.5*IFERROR(INDEX('Useful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68</v>
      </c>
      <c r="N202" s="563">
        <f>IF($A202+1&gt;N$198,0,IF(ROUND(INDEX('Useful Life &amp; SG&amp;A Build'!$A$9:$B$12,2,2),0)+$A202&lt;N$198,0,IF(ROUND(INDEX('Useful Life &amp; SG&amp;A Build'!$A$9:$B$12,2,2),0)+$A202=N$198,0.5*IFERROR(INDEX('Useful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68</v>
      </c>
      <c r="O202" s="563">
        <f>IF($A202+1&gt;O$198,0,IF(ROUND(INDEX('Useful Life &amp; SG&amp;A Build'!$A$9:$B$12,2,2),0)+$A202&lt;O$198,0,IF(ROUND(INDEX('Useful Life &amp; SG&amp;A Build'!$A$9:$B$12,2,2),0)+$A202=O$198,0.5*IFERROR(INDEX('Useful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34</v>
      </c>
      <c r="P202" s="563">
        <f>IF($A202+1&gt;P$198,0,IF(ROUND(INDEX('Useful Life &amp; SG&amp;A Build'!$A$9:$B$12,2,2),0)+$A202&lt;P$198,0,IF(ROUND(INDEX('Useful Life &amp; SG&amp;A Build'!$A$9:$B$12,2,2),0)+$A202=P$198,0.5*IFERROR(INDEX('Useful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Q202" s="563">
        <f>IF($A202+1&gt;Q$198,0,IF(ROUND(INDEX('Useful Life &amp; SG&amp;A Build'!$A$9:$B$12,2,2),0)+$A202&lt;Q$198,0,IF(ROUND(INDEX('Useful Life &amp; SG&amp;A Build'!$A$9:$B$12,2,2),0)+$A202=Q$198,0.5*IFERROR(INDEX('Useful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R202" s="563">
        <f>IF($A202+1&gt;R$198,0,IF(ROUND(INDEX('Useful Life &amp; SG&amp;A Build'!$A$9:$B$12,2,2),0)+$A202&lt;R$198,0,IF(ROUND(INDEX('Useful Life &amp; SG&amp;A Build'!$A$9:$B$12,2,2),0)+$A202=R$198,0.5*IFERROR(INDEX('Useful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S202" s="563">
        <f>IF($A202+1&gt;S$198,0,IF(ROUND(INDEX('Useful Life &amp; SG&amp;A Build'!$A$9:$B$12,2,2),0)+$A202&lt;S$198,0,IF(ROUND(INDEX('Useful Life &amp; SG&amp;A Build'!$A$9:$B$12,2,2),0)+$A202=S$198,0.5*IFERROR(INDEX('Useful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T202" s="563">
        <f>IF($A202+1&gt;T$198,0,IF(ROUND(INDEX('Useful Life &amp; SG&amp;A Build'!$A$9:$B$12,2,2),0)+$A202&lt;T$198,0,IF(ROUND(INDEX('Useful Life &amp; SG&amp;A Build'!$A$9:$B$12,2,2),0)+$A202=T$198,0.5*IFERROR(INDEX('Useful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U202" s="563">
        <f>IF($A202+1&gt;U$198,0,IF(ROUND(INDEX('Useful Life &amp; SG&amp;A Build'!$A$9:$B$12,2,2),0)+$A202&lt;U$198,0,IF(ROUND(INDEX('Useful Life &amp; SG&amp;A Build'!$A$9:$B$12,2,2),0)+$A202=U$198,0.5*IFERROR(INDEX('Useful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V202" s="563">
        <f>IF($A202+1&gt;V$198,0,IF(ROUND(INDEX('Useful Life &amp; SG&amp;A Build'!$A$9:$B$12,2,2),0)+$A202&lt;V$198,0,IF(ROUND(INDEX('Useful Life &amp; SG&amp;A Build'!$A$9:$B$12,2,2),0)+$A202=V$198,0.5*IFERROR(INDEX('Useful Life &amp; SG&amp;A Build'!$A$3:$K$6,2,MATCH($A202,'Useful Life &amp; SG&amp;A Build'!$A$3:$K$3,0))/INDEX('Useful Life &amp; SG&amp;A Build'!$A$9:$B$12,2,2),0),IFERROR(INDEX('Useful Life &amp; SG&amp;A Build'!$A$3:$K$6,2,MATCH($A202,'Useful Life &amp; SG&amp;A Build'!$A$3:$K$3,0))/INDEX('Useful Life &amp; SG&amp;A Build'!$A$9:$B$12,2,2),0))))</f>
        <v>0</v>
      </c>
      <c r="AA202" s="263"/>
      <c r="AB202" s="263"/>
    </row>
    <row r="203" spans="1:28" ht="16" outlineLevel="1" x14ac:dyDescent="0.2">
      <c r="A203" s="562">
        <f t="shared" ref="A203:A212" si="93">A202+1</f>
        <v>2021</v>
      </c>
      <c r="L203" s="563">
        <f>IF($A203+1&gt;L$198,0,IF(ROUND(INDEX('Useful Life &amp; SG&amp;A Build'!$A$9:$B$12,2,2),0)+$A203&lt;L$198,0,IF(ROUND(INDEX('Useful Life &amp; SG&amp;A Build'!$A$9:$B$12,2,2),0)+$A203=L$198,0.5*IFERROR(INDEX('Useful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M203" s="563">
        <f>IF($A203+1&gt;M$198,0,IF(ROUND(INDEX('Useful Life &amp; SG&amp;A Build'!$A$9:$B$12,2,2),0)+$A203&lt;M$198,0,IF(ROUND(INDEX('Useful Life &amp; SG&amp;A Build'!$A$9:$B$12,2,2),0)+$A203=M$198,0.5*IFERROR(INDEX('Useful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33.428571428571431</v>
      </c>
      <c r="N203" s="563">
        <f>IF($A203+1&gt;N$198,0,IF(ROUND(INDEX('Useful Life &amp; SG&amp;A Build'!$A$9:$B$12,2,2),0)+$A203&lt;N$198,0,IF(ROUND(INDEX('Useful Life &amp; SG&amp;A Build'!$A$9:$B$12,2,2),0)+$A203=N$198,0.5*IFERROR(INDEX('Useful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33.428571428571431</v>
      </c>
      <c r="O203" s="563">
        <f>IF($A203+1&gt;O$198,0,IF(ROUND(INDEX('Useful Life &amp; SG&amp;A Build'!$A$9:$B$12,2,2),0)+$A203&lt;O$198,0,IF(ROUND(INDEX('Useful Life &amp; SG&amp;A Build'!$A$9:$B$12,2,2),0)+$A203=O$198,0.5*IFERROR(INDEX('Useful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33.428571428571431</v>
      </c>
      <c r="P203" s="563">
        <f>IF($A203+1&gt;P$198,0,IF(ROUND(INDEX('Useful Life &amp; SG&amp;A Build'!$A$9:$B$12,2,2),0)+$A203&lt;P$198,0,IF(ROUND(INDEX('Useful Life &amp; SG&amp;A Build'!$A$9:$B$12,2,2),0)+$A203=P$198,0.5*IFERROR(INDEX('Useful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16.714285714285715</v>
      </c>
      <c r="Q203" s="563">
        <f>IF($A203+1&gt;Q$198,0,IF(ROUND(INDEX('Useful Life &amp; SG&amp;A Build'!$A$9:$B$12,2,2),0)+$A203&lt;Q$198,0,IF(ROUND(INDEX('Useful Life &amp; SG&amp;A Build'!$A$9:$B$12,2,2),0)+$A203=Q$198,0.5*IFERROR(INDEX('Useful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R203" s="563">
        <f>IF($A203+1&gt;R$198,0,IF(ROUND(INDEX('Useful Life &amp; SG&amp;A Build'!$A$9:$B$12,2,2),0)+$A203&lt;R$198,0,IF(ROUND(INDEX('Useful Life &amp; SG&amp;A Build'!$A$9:$B$12,2,2),0)+$A203=R$198,0.5*IFERROR(INDEX('Useful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S203" s="563">
        <f>IF($A203+1&gt;S$198,0,IF(ROUND(INDEX('Useful Life &amp; SG&amp;A Build'!$A$9:$B$12,2,2),0)+$A203&lt;S$198,0,IF(ROUND(INDEX('Useful Life &amp; SG&amp;A Build'!$A$9:$B$12,2,2),0)+$A203=S$198,0.5*IFERROR(INDEX('Useful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T203" s="563">
        <f>IF($A203+1&gt;T$198,0,IF(ROUND(INDEX('Useful Life &amp; SG&amp;A Build'!$A$9:$B$12,2,2),0)+$A203&lt;T$198,0,IF(ROUND(INDEX('Useful Life &amp; SG&amp;A Build'!$A$9:$B$12,2,2),0)+$A203=T$198,0.5*IFERROR(INDEX('Useful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U203" s="563">
        <f>IF($A203+1&gt;U$198,0,IF(ROUND(INDEX('Useful Life &amp; SG&amp;A Build'!$A$9:$B$12,2,2),0)+$A203&lt;U$198,0,IF(ROUND(INDEX('Useful Life &amp; SG&amp;A Build'!$A$9:$B$12,2,2),0)+$A203=U$198,0.5*IFERROR(INDEX('Useful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V203" s="563">
        <f>IF($A203+1&gt;V$198,0,IF(ROUND(INDEX('Useful Life &amp; SG&amp;A Build'!$A$9:$B$12,2,2),0)+$A203&lt;V$198,0,IF(ROUND(INDEX('Useful Life &amp; SG&amp;A Build'!$A$9:$B$12,2,2),0)+$A203=V$198,0.5*IFERROR(INDEX('Useful Life &amp; SG&amp;A Build'!$A$3:$K$6,2,MATCH($A203,'Useful Life &amp; SG&amp;A Build'!$A$3:$K$3,0))/INDEX('Useful Life &amp; SG&amp;A Build'!$A$9:$B$12,2,2),0),IFERROR(INDEX('Useful Life &amp; SG&amp;A Build'!$A$3:$K$6,2,MATCH($A203,'Useful Life &amp; SG&amp;A Build'!$A$3:$K$3,0))/INDEX('Useful Life &amp; SG&amp;A Build'!$A$9:$B$12,2,2),0))))</f>
        <v>0</v>
      </c>
      <c r="AA203" s="263"/>
      <c r="AB203" s="263"/>
    </row>
    <row r="204" spans="1:28" ht="16" outlineLevel="1" x14ac:dyDescent="0.2">
      <c r="A204" s="562">
        <f t="shared" si="93"/>
        <v>2022</v>
      </c>
      <c r="L204" s="563">
        <f>IF($A204+1&gt;L$198,0,IF(ROUND(INDEX('Useful Life &amp; SG&amp;A Build'!$A$9:$B$12,2,2),0)+$A204&lt;L$198,0,IF(ROUND(INDEX('Useful Life &amp; SG&amp;A Build'!$A$9:$B$12,2,2),0)+$A204=L$198,0.5*IFERROR(INDEX('Useful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M204" s="563">
        <f>IF($A204+1&gt;M$198,0,IF(ROUND(INDEX('Useful Life &amp; SG&amp;A Build'!$A$9:$B$12,2,2),0)+$A204&lt;M$198,0,IF(ROUND(INDEX('Useful Life &amp; SG&amp;A Build'!$A$9:$B$12,2,2),0)+$A204=M$198,0.5*IFERROR(INDEX('Useful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N204" s="563">
        <f>IF($A204+1&gt;N$198,0,IF(ROUND(INDEX('Useful Life &amp; SG&amp;A Build'!$A$9:$B$12,2,2),0)+$A204&lt;N$198,0,IF(ROUND(INDEX('Useful Life &amp; SG&amp;A Build'!$A$9:$B$12,2,2),0)+$A204=N$198,0.5*IFERROR(INDEX('Useful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50.857142857142854</v>
      </c>
      <c r="O204" s="563">
        <f>IF($A204+1&gt;O$198,0,IF(ROUND(INDEX('Useful Life &amp; SG&amp;A Build'!$A$9:$B$12,2,2),0)+$A204&lt;O$198,0,IF(ROUND(INDEX('Useful Life &amp; SG&amp;A Build'!$A$9:$B$12,2,2),0)+$A204=O$198,0.5*IFERROR(INDEX('Useful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50.857142857142854</v>
      </c>
      <c r="P204" s="563">
        <f>IF($A204+1&gt;P$198,0,IF(ROUND(INDEX('Useful Life &amp; SG&amp;A Build'!$A$9:$B$12,2,2),0)+$A204&lt;P$198,0,IF(ROUND(INDEX('Useful Life &amp; SG&amp;A Build'!$A$9:$B$12,2,2),0)+$A204=P$198,0.5*IFERROR(INDEX('Useful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50.857142857142854</v>
      </c>
      <c r="Q204" s="563">
        <f>IF($A204+1&gt;Q$198,0,IF(ROUND(INDEX('Useful Life &amp; SG&amp;A Build'!$A$9:$B$12,2,2),0)+$A204&lt;Q$198,0,IF(ROUND(INDEX('Useful Life &amp; SG&amp;A Build'!$A$9:$B$12,2,2),0)+$A204=Q$198,0.5*IFERROR(INDEX('Useful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25.428571428571427</v>
      </c>
      <c r="R204" s="563">
        <f>IF($A204+1&gt;R$198,0,IF(ROUND(INDEX('Useful Life &amp; SG&amp;A Build'!$A$9:$B$12,2,2),0)+$A204&lt;R$198,0,IF(ROUND(INDEX('Useful Life &amp; SG&amp;A Build'!$A$9:$B$12,2,2),0)+$A204=R$198,0.5*IFERROR(INDEX('Useful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S204" s="563">
        <f>IF($A204+1&gt;S$198,0,IF(ROUND(INDEX('Useful Life &amp; SG&amp;A Build'!$A$9:$B$12,2,2),0)+$A204&lt;S$198,0,IF(ROUND(INDEX('Useful Life &amp; SG&amp;A Build'!$A$9:$B$12,2,2),0)+$A204=S$198,0.5*IFERROR(INDEX('Useful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T204" s="563">
        <f>IF($A204+1&gt;T$198,0,IF(ROUND(INDEX('Useful Life &amp; SG&amp;A Build'!$A$9:$B$12,2,2),0)+$A204&lt;T$198,0,IF(ROUND(INDEX('Useful Life &amp; SG&amp;A Build'!$A$9:$B$12,2,2),0)+$A204=T$198,0.5*IFERROR(INDEX('Useful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U204" s="563">
        <f>IF($A204+1&gt;U$198,0,IF(ROUND(INDEX('Useful Life &amp; SG&amp;A Build'!$A$9:$B$12,2,2),0)+$A204&lt;U$198,0,IF(ROUND(INDEX('Useful Life &amp; SG&amp;A Build'!$A$9:$B$12,2,2),0)+$A204=U$198,0.5*IFERROR(INDEX('Useful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V204" s="563">
        <f>IF($A204+1&gt;V$198,0,IF(ROUND(INDEX('Useful Life &amp; SG&amp;A Build'!$A$9:$B$12,2,2),0)+$A204&lt;V$198,0,IF(ROUND(INDEX('Useful Life &amp; SG&amp;A Build'!$A$9:$B$12,2,2),0)+$A204=V$198,0.5*IFERROR(INDEX('Useful Life &amp; SG&amp;A Build'!$A$3:$K$6,2,MATCH($A204,'Useful Life &amp; SG&amp;A Build'!$A$3:$K$3,0))/INDEX('Useful Life &amp; SG&amp;A Build'!$A$9:$B$12,2,2),0),IFERROR(INDEX('Useful Life &amp; SG&amp;A Build'!$A$3:$K$6,2,MATCH($A204,'Useful Life &amp; SG&amp;A Build'!$A$3:$K$3,0))/INDEX('Useful Life &amp; SG&amp;A Build'!$A$9:$B$12,2,2),0))))</f>
        <v>0</v>
      </c>
      <c r="AA204" s="263"/>
      <c r="AB204" s="263"/>
    </row>
    <row r="205" spans="1:28" ht="16" outlineLevel="1" x14ac:dyDescent="0.2">
      <c r="A205" s="562">
        <f t="shared" si="93"/>
        <v>2023</v>
      </c>
      <c r="L205" s="563">
        <f>IF($A205+1&gt;L$198,0,IF(ROUND(INDEX('Useful Life &amp; SG&amp;A Build'!$A$9:$B$12,2,2),0)+$A205&lt;L$198,0,IF(ROUND(INDEX('Useful Life &amp; SG&amp;A Build'!$A$9:$B$12,2,2),0)+$A205=L$198,0.5*IFERROR(INDEX('Useful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M205" s="563">
        <f>IF($A205+1&gt;M$198,0,IF(ROUND(INDEX('Useful Life &amp; SG&amp;A Build'!$A$9:$B$12,2,2),0)+$A205&lt;M$198,0,IF(ROUND(INDEX('Useful Life &amp; SG&amp;A Build'!$A$9:$B$12,2,2),0)+$A205=M$198,0.5*IFERROR(INDEX('Useful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N205" s="563">
        <f>IF($A205+1&gt;N$198,0,IF(ROUND(INDEX('Useful Life &amp; SG&amp;A Build'!$A$9:$B$12,2,2),0)+$A205&lt;N$198,0,IF(ROUND(INDEX('Useful Life &amp; SG&amp;A Build'!$A$9:$B$12,2,2),0)+$A205=N$198,0.5*IFERROR(INDEX('Useful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O205" s="563">
        <f>IF($A205+1&gt;O$198,0,IF(ROUND(INDEX('Useful Life &amp; SG&amp;A Build'!$A$9:$B$12,2,2),0)+$A205&lt;O$198,0,IF(ROUND(INDEX('Useful Life &amp; SG&amp;A Build'!$A$9:$B$12,2,2),0)+$A205=O$198,0.5*IFERROR(INDEX('Useful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101.42857142857143</v>
      </c>
      <c r="P205" s="563">
        <f>IF($A205+1&gt;P$198,0,IF(ROUND(INDEX('Useful Life &amp; SG&amp;A Build'!$A$9:$B$12,2,2),0)+$A205&lt;P$198,0,IF(ROUND(INDEX('Useful Life &amp; SG&amp;A Build'!$A$9:$B$12,2,2),0)+$A205=P$198,0.5*IFERROR(INDEX('Useful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101.42857142857143</v>
      </c>
      <c r="Q205" s="563">
        <f>IF($A205+1&gt;Q$198,0,IF(ROUND(INDEX('Useful Life &amp; SG&amp;A Build'!$A$9:$B$12,2,2),0)+$A205&lt;Q$198,0,IF(ROUND(INDEX('Useful Life &amp; SG&amp;A Build'!$A$9:$B$12,2,2),0)+$A205=Q$198,0.5*IFERROR(INDEX('Useful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101.42857142857143</v>
      </c>
      <c r="R205" s="563">
        <f>IF($A205+1&gt;R$198,0,IF(ROUND(INDEX('Useful Life &amp; SG&amp;A Build'!$A$9:$B$12,2,2),0)+$A205&lt;R$198,0,IF(ROUND(INDEX('Useful Life &amp; SG&amp;A Build'!$A$9:$B$12,2,2),0)+$A205=R$198,0.5*IFERROR(INDEX('Useful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50.714285714285715</v>
      </c>
      <c r="S205" s="563">
        <f>IF($A205+1&gt;S$198,0,IF(ROUND(INDEX('Useful Life &amp; SG&amp;A Build'!$A$9:$B$12,2,2),0)+$A205&lt;S$198,0,IF(ROUND(INDEX('Useful Life &amp; SG&amp;A Build'!$A$9:$B$12,2,2),0)+$A205=S$198,0.5*IFERROR(INDEX('Useful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T205" s="563">
        <f>IF($A205+1&gt;T$198,0,IF(ROUND(INDEX('Useful Life &amp; SG&amp;A Build'!$A$9:$B$12,2,2),0)+$A205&lt;T$198,0,IF(ROUND(INDEX('Useful Life &amp; SG&amp;A Build'!$A$9:$B$12,2,2),0)+$A205=T$198,0.5*IFERROR(INDEX('Useful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U205" s="563">
        <f>IF($A205+1&gt;U$198,0,IF(ROUND(INDEX('Useful Life &amp; SG&amp;A Build'!$A$9:$B$12,2,2),0)+$A205&lt;U$198,0,IF(ROUND(INDEX('Useful Life &amp; SG&amp;A Build'!$A$9:$B$12,2,2),0)+$A205=U$198,0.5*IFERROR(INDEX('Useful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V205" s="563">
        <f>IF($A205+1&gt;V$198,0,IF(ROUND(INDEX('Useful Life &amp; SG&amp;A Build'!$A$9:$B$12,2,2),0)+$A205&lt;V$198,0,IF(ROUND(INDEX('Useful Life &amp; SG&amp;A Build'!$A$9:$B$12,2,2),0)+$A205=V$198,0.5*IFERROR(INDEX('Useful Life &amp; SG&amp;A Build'!$A$3:$K$6,2,MATCH($A205,'Useful Life &amp; SG&amp;A Build'!$A$3:$K$3,0))/INDEX('Useful Life &amp; SG&amp;A Build'!$A$9:$B$12,2,2),0),IFERROR(INDEX('Useful Life &amp; SG&amp;A Build'!$A$3:$K$6,2,MATCH($A205,'Useful Life &amp; SG&amp;A Build'!$A$3:$K$3,0))/INDEX('Useful Life &amp; SG&amp;A Build'!$A$9:$B$12,2,2),0))))</f>
        <v>0</v>
      </c>
      <c r="AA205" s="263"/>
      <c r="AB205" s="263"/>
    </row>
    <row r="206" spans="1:28" ht="16" outlineLevel="1" x14ac:dyDescent="0.2">
      <c r="A206" s="562">
        <f t="shared" si="93"/>
        <v>2024</v>
      </c>
      <c r="L206" s="563">
        <f>IF($A206+1&gt;L$198,0,IF(ROUND(INDEX('Useful Life &amp; SG&amp;A Build'!$A$9:$B$12,2,2),0)+$A206&lt;L$198,0,IF(ROUND(INDEX('Useful Life &amp; SG&amp;A Build'!$A$9:$B$12,2,2),0)+$A206=L$198,0.5*IFERROR(INDEX('Useful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M206" s="563">
        <f>IF($A206+1&gt;M$198,0,IF(ROUND(INDEX('Useful Life &amp; SG&amp;A Build'!$A$9:$B$12,2,2),0)+$A206&lt;M$198,0,IF(ROUND(INDEX('Useful Life &amp; SG&amp;A Build'!$A$9:$B$12,2,2),0)+$A206=M$198,0.5*IFERROR(INDEX('Useful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N206" s="563">
        <f>IF($A206+1&gt;N$198,0,IF(ROUND(INDEX('Useful Life &amp; SG&amp;A Build'!$A$9:$B$12,2,2),0)+$A206&lt;N$198,0,IF(ROUND(INDEX('Useful Life &amp; SG&amp;A Build'!$A$9:$B$12,2,2),0)+$A206=N$198,0.5*IFERROR(INDEX('Useful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O206" s="563">
        <f>IF($A206+1&gt;O$198,0,IF(ROUND(INDEX('Useful Life &amp; SG&amp;A Build'!$A$9:$B$12,2,2),0)+$A206&lt;O$198,0,IF(ROUND(INDEX('Useful Life &amp; SG&amp;A Build'!$A$9:$B$12,2,2),0)+$A206=O$198,0.5*IFERROR(INDEX('Useful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P206" s="563">
        <f>IF($A206+1&gt;P$198,0,IF(ROUND(INDEX('Useful Life &amp; SG&amp;A Build'!$A$9:$B$12,2,2),0)+$A206&lt;P$198,0,IF(ROUND(INDEX('Useful Life &amp; SG&amp;A Build'!$A$9:$B$12,2,2),0)+$A206=P$198,0.5*IFERROR(INDEX('Useful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79.428571428571431</v>
      </c>
      <c r="Q206" s="563">
        <f>IF($A206+1&gt;Q$198,0,IF(ROUND(INDEX('Useful Life &amp; SG&amp;A Build'!$A$9:$B$12,2,2),0)+$A206&lt;Q$198,0,IF(ROUND(INDEX('Useful Life &amp; SG&amp;A Build'!$A$9:$B$12,2,2),0)+$A206=Q$198,0.5*IFERROR(INDEX('Useful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79.428571428571431</v>
      </c>
      <c r="R206" s="563">
        <f>IF($A206+1&gt;R$198,0,IF(ROUND(INDEX('Useful Life &amp; SG&amp;A Build'!$A$9:$B$12,2,2),0)+$A206&lt;R$198,0,IF(ROUND(INDEX('Useful Life &amp; SG&amp;A Build'!$A$9:$B$12,2,2),0)+$A206=R$198,0.5*IFERROR(INDEX('Useful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79.428571428571431</v>
      </c>
      <c r="S206" s="563">
        <f>IF($A206+1&gt;S$198,0,IF(ROUND(INDEX('Useful Life &amp; SG&amp;A Build'!$A$9:$B$12,2,2),0)+$A206&lt;S$198,0,IF(ROUND(INDEX('Useful Life &amp; SG&amp;A Build'!$A$9:$B$12,2,2),0)+$A206=S$198,0.5*IFERROR(INDEX('Useful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39.714285714285715</v>
      </c>
      <c r="T206" s="563">
        <f>IF($A206+1&gt;T$198,0,IF(ROUND(INDEX('Useful Life &amp; SG&amp;A Build'!$A$9:$B$12,2,2),0)+$A206&lt;T$198,0,IF(ROUND(INDEX('Useful Life &amp; SG&amp;A Build'!$A$9:$B$12,2,2),0)+$A206=T$198,0.5*IFERROR(INDEX('Useful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U206" s="563">
        <f>IF($A206+1&gt;U$198,0,IF(ROUND(INDEX('Useful Life &amp; SG&amp;A Build'!$A$9:$B$12,2,2),0)+$A206&lt;U$198,0,IF(ROUND(INDEX('Useful Life &amp; SG&amp;A Build'!$A$9:$B$12,2,2),0)+$A206=U$198,0.5*IFERROR(INDEX('Useful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V206" s="563">
        <f>IF($A206+1&gt;V$198,0,IF(ROUND(INDEX('Useful Life &amp; SG&amp;A Build'!$A$9:$B$12,2,2),0)+$A206&lt;V$198,0,IF(ROUND(INDEX('Useful Life &amp; SG&amp;A Build'!$A$9:$B$12,2,2),0)+$A206=V$198,0.5*IFERROR(INDEX('Useful Life &amp; SG&amp;A Build'!$A$3:$K$6,2,MATCH($A206,'Useful Life &amp; SG&amp;A Build'!$A$3:$K$3,0))/INDEX('Useful Life &amp; SG&amp;A Build'!$A$9:$B$12,2,2),0),IFERROR(INDEX('Useful Life &amp; SG&amp;A Build'!$A$3:$K$6,2,MATCH($A206,'Useful Life &amp; SG&amp;A Build'!$A$3:$K$3,0))/INDEX('Useful Life &amp; SG&amp;A Build'!$A$9:$B$12,2,2),0))))</f>
        <v>0</v>
      </c>
      <c r="AA206" s="263"/>
      <c r="AB206" s="263"/>
    </row>
    <row r="207" spans="1:28" ht="16" outlineLevel="1" x14ac:dyDescent="0.2">
      <c r="A207" s="562">
        <f t="shared" si="93"/>
        <v>2025</v>
      </c>
      <c r="L207" s="563">
        <f>IF($A207+1&gt;L$198,0,IF(ROUND(INDEX('Useful Life &amp; SG&amp;A Build'!$A$9:$B$12,2,2),0)+$A207&lt;L$198,0,IF(ROUND(INDEX('Useful Life &amp; SG&amp;A Build'!$A$9:$B$12,2,2),0)+$A207=L$198,0.5*IFERROR(INDEX('Useful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M207" s="563">
        <f>IF($A207+1&gt;M$198,0,IF(ROUND(INDEX('Useful Life &amp; SG&amp;A Build'!$A$9:$B$12,2,2),0)+$A207&lt;M$198,0,IF(ROUND(INDEX('Useful Life &amp; SG&amp;A Build'!$A$9:$B$12,2,2),0)+$A207=M$198,0.5*IFERROR(INDEX('Useful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N207" s="563">
        <f>IF($A207+1&gt;N$198,0,IF(ROUND(INDEX('Useful Life &amp; SG&amp;A Build'!$A$9:$B$12,2,2),0)+$A207&lt;N$198,0,IF(ROUND(INDEX('Useful Life &amp; SG&amp;A Build'!$A$9:$B$12,2,2),0)+$A207=N$198,0.5*IFERROR(INDEX('Useful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O207" s="563">
        <f>IF($A207+1&gt;O$198,0,IF(ROUND(INDEX('Useful Life &amp; SG&amp;A Build'!$A$9:$B$12,2,2),0)+$A207&lt;O$198,0,IF(ROUND(INDEX('Useful Life &amp; SG&amp;A Build'!$A$9:$B$12,2,2),0)+$A207=O$198,0.5*IFERROR(INDEX('Useful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P207" s="563">
        <f>IF($A207+1&gt;P$198,0,IF(ROUND(INDEX('Useful Life &amp; SG&amp;A Build'!$A$9:$B$12,2,2),0)+$A207&lt;P$198,0,IF(ROUND(INDEX('Useful Life &amp; SG&amp;A Build'!$A$9:$B$12,2,2),0)+$A207=P$198,0.5*IFERROR(INDEX('Useful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Q207" s="563">
        <f>IF($A207+1&gt;Q$198,0,IF(ROUND(INDEX('Useful Life &amp; SG&amp;A Build'!$A$9:$B$12,2,2),0)+$A207&lt;Q$198,0,IF(ROUND(INDEX('Useful Life &amp; SG&amp;A Build'!$A$9:$B$12,2,2),0)+$A207=Q$198,0.5*IFERROR(INDEX('Useful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26.285714285714285</v>
      </c>
      <c r="R207" s="563">
        <f>IF($A207+1&gt;R$198,0,IF(ROUND(INDEX('Useful Life &amp; SG&amp;A Build'!$A$9:$B$12,2,2),0)+$A207&lt;R$198,0,IF(ROUND(INDEX('Useful Life &amp; SG&amp;A Build'!$A$9:$B$12,2,2),0)+$A207=R$198,0.5*IFERROR(INDEX('Useful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26.285714285714285</v>
      </c>
      <c r="S207" s="563">
        <f>IF($A207+1&gt;S$198,0,IF(ROUND(INDEX('Useful Life &amp; SG&amp;A Build'!$A$9:$B$12,2,2),0)+$A207&lt;S$198,0,IF(ROUND(INDEX('Useful Life &amp; SG&amp;A Build'!$A$9:$B$12,2,2),0)+$A207=S$198,0.5*IFERROR(INDEX('Useful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26.285714285714285</v>
      </c>
      <c r="T207" s="563">
        <f>IF($A207+1&gt;T$198,0,IF(ROUND(INDEX('Useful Life &amp; SG&amp;A Build'!$A$9:$B$12,2,2),0)+$A207&lt;T$198,0,IF(ROUND(INDEX('Useful Life &amp; SG&amp;A Build'!$A$9:$B$12,2,2),0)+$A207=T$198,0.5*IFERROR(INDEX('Useful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13.142857142857142</v>
      </c>
      <c r="U207" s="563">
        <f>IF($A207+1&gt;U$198,0,IF(ROUND(INDEX('Useful Life &amp; SG&amp;A Build'!$A$9:$B$12,2,2),0)+$A207&lt;U$198,0,IF(ROUND(INDEX('Useful Life &amp; SG&amp;A Build'!$A$9:$B$12,2,2),0)+$A207=U$198,0.5*IFERROR(INDEX('Useful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V207" s="563">
        <f>IF($A207+1&gt;V$198,0,IF(ROUND(INDEX('Useful Life &amp; SG&amp;A Build'!$A$9:$B$12,2,2),0)+$A207&lt;V$198,0,IF(ROUND(INDEX('Useful Life &amp; SG&amp;A Build'!$A$9:$B$12,2,2),0)+$A207=V$198,0.5*IFERROR(INDEX('Useful Life &amp; SG&amp;A Build'!$A$3:$K$6,2,MATCH($A207,'Useful Life &amp; SG&amp;A Build'!$A$3:$K$3,0))/INDEX('Useful Life &amp; SG&amp;A Build'!$A$9:$B$12,2,2),0),IFERROR(INDEX('Useful Life &amp; SG&amp;A Build'!$A$3:$K$6,2,MATCH($A207,'Useful Life &amp; SG&amp;A Build'!$A$3:$K$3,0))/INDEX('Useful Life &amp; SG&amp;A Build'!$A$9:$B$12,2,2),0))))</f>
        <v>0</v>
      </c>
      <c r="AA207" s="263"/>
      <c r="AB207" s="263"/>
    </row>
    <row r="208" spans="1:28" ht="16" outlineLevel="1" x14ac:dyDescent="0.2">
      <c r="A208" s="562">
        <f t="shared" si="93"/>
        <v>2026</v>
      </c>
      <c r="L208" s="563">
        <f>-IF($A208+1&gt;L$198,0,IF(ROUND(INDEX('Useful Life &amp; SG&amp;A Build'!$A$9:$B$12,3,2),0)+$A208&lt;L$198,0,IF(ROUND(INDEX('Useful Life &amp; SG&amp;A Build'!$A$9:$B$12,3,2),0)+$A208=L$198,0.5*IFERROR($Q$161/INDEX('Useful Life &amp; SG&amp;A Build'!$A$9:$B$12,3,2),0),IFERROR($Q$161/INDEX('Useful Life &amp; SG&amp;A Build'!$A$9:$B$12,3,2),0))))</f>
        <v>0</v>
      </c>
      <c r="M208" s="563">
        <f>-IF($A208+1&gt;M$198,0,IF(ROUND(INDEX('Useful Life &amp; SG&amp;A Build'!$A$9:$B$12,3,2),0)+$A208&lt;M$198,0,IF(ROUND(INDEX('Useful Life &amp; SG&amp;A Build'!$A$9:$B$12,3,2),0)+$A208=M$198,0.5*IFERROR($Q$161/INDEX('Useful Life &amp; SG&amp;A Build'!$A$9:$B$12,3,2),0),IFERROR($Q$161/INDEX('Useful Life &amp; SG&amp;A Build'!$A$9:$B$12,3,2),0))))</f>
        <v>0</v>
      </c>
      <c r="N208" s="563">
        <f>-IF($A208+1&gt;N$198,0,IF(ROUND(INDEX('Useful Life &amp; SG&amp;A Build'!$A$9:$B$12,3,2),0)+$A208&lt;N$198,0,IF(ROUND(INDEX('Useful Life &amp; SG&amp;A Build'!$A$9:$B$12,3,2),0)+$A208=N$198,0.5*IFERROR($Q$161/INDEX('Useful Life &amp; SG&amp;A Build'!$A$9:$B$12,3,2),0),IFERROR($Q$161/INDEX('Useful Life &amp; SG&amp;A Build'!$A$9:$B$12,3,2),0))))</f>
        <v>0</v>
      </c>
      <c r="O208" s="563">
        <f>-IF($A208+1&gt;O$198,0,IF(ROUND(INDEX('Useful Life &amp; SG&amp;A Build'!$A$9:$B$12,3,2),0)+$A208&lt;O$198,0,IF(ROUND(INDEX('Useful Life &amp; SG&amp;A Build'!$A$9:$B$12,3,2),0)+$A208=O$198,0.5*IFERROR($Q$161/INDEX('Useful Life &amp; SG&amp;A Build'!$A$9:$B$12,3,2),0),IFERROR($Q$161/INDEX('Useful Life &amp; SG&amp;A Build'!$A$9:$B$12,3,2),0))))</f>
        <v>0</v>
      </c>
      <c r="P208" s="563">
        <f>-IF($A208+1&gt;P$198,0,IF(ROUND(INDEX('Useful Life &amp; SG&amp;A Build'!$A$9:$B$12,3,2),0)+$A208&lt;P$198,0,IF(ROUND(INDEX('Useful Life &amp; SG&amp;A Build'!$A$9:$B$12,3,2),0)+$A208=P$198,0.5*IFERROR($Q$161/INDEX('Useful Life &amp; SG&amp;A Build'!$A$9:$B$12,3,2),0),IFERROR($Q$161/INDEX('Useful Life &amp; SG&amp;A Build'!$A$9:$B$12,3,2),0))))</f>
        <v>0</v>
      </c>
      <c r="Q208" s="563">
        <f>-IF($A208+1&gt;Q$198,0,IF(ROUND(INDEX('Useful Life &amp; SG&amp;A Build'!$A$9:$B$12,3,2),0)+$A208&lt;Q$198,0,IF(ROUND(INDEX('Useful Life &amp; SG&amp;A Build'!$A$9:$B$12,3,2),0)+$A208=Q$198,0.5*IFERROR($Q$161/INDEX('Useful Life &amp; SG&amp;A Build'!$A$9:$B$12,3,2),0),IFERROR($Q$161/INDEX('Useful Life &amp; SG&amp;A Build'!$A$9:$B$12,3,2),0))))</f>
        <v>0</v>
      </c>
      <c r="R208" s="563">
        <f>-IF($A208+1&gt;R$198,0,IF(ROUND(INDEX('Useful Life &amp; SG&amp;A Build'!$A$9:$B$12,3,2),0)+$A208&lt;R$198,0,IF(ROUND(INDEX('Useful Life &amp; SG&amp;A Build'!$A$9:$B$12,3,2),0)+$A208=R$198,0.5*IFERROR($Q$161/INDEX('Useful Life &amp; SG&amp;A Build'!$A$9:$B$12,3,2),0),IFERROR($Q$161/INDEX('Useful Life &amp; SG&amp;A Build'!$A$9:$B$12,3,2),0))))</f>
        <v>25.945074575838944</v>
      </c>
      <c r="S208" s="563">
        <f>-IF($A208+1&gt;S$198,0,IF(ROUND(INDEX('Useful Life &amp; SG&amp;A Build'!$A$9:$B$12,3,2),0)+$A208&lt;S$198,0,IF(ROUND(INDEX('Useful Life &amp; SG&amp;A Build'!$A$9:$B$12,3,2),0)+$A208=S$198,0.5*IFERROR($Q$161/INDEX('Useful Life &amp; SG&amp;A Build'!$A$9:$B$12,3,2),0),IFERROR($Q$161/INDEX('Useful Life &amp; SG&amp;A Build'!$A$9:$B$12,3,2),0))))</f>
        <v>25.945074575838944</v>
      </c>
      <c r="T208" s="563">
        <f>-IF($A208+1&gt;T$198,0,IF(ROUND(INDEX('Useful Life &amp; SG&amp;A Build'!$A$9:$B$12,3,2),0)+$A208&lt;T$198,0,IF(ROUND(INDEX('Useful Life &amp; SG&amp;A Build'!$A$9:$B$12,3,2),0)+$A208=T$198,0.5*IFERROR($Q$161/INDEX('Useful Life &amp; SG&amp;A Build'!$A$9:$B$12,3,2),0),IFERROR($Q$161/INDEX('Useful Life &amp; SG&amp;A Build'!$A$9:$B$12,3,2),0))))</f>
        <v>25.945074575838944</v>
      </c>
      <c r="U208" s="563">
        <f>-IF($A208+1&gt;U$198,0,IF(ROUND(INDEX('Useful Life &amp; SG&amp;A Build'!$A$9:$B$12,3,2),0)+$A208&lt;U$198,0,IF(ROUND(INDEX('Useful Life &amp; SG&amp;A Build'!$A$9:$B$12,3,2),0)+$A208=U$198,0.5*IFERROR($Q$161/INDEX('Useful Life &amp; SG&amp;A Build'!$A$9:$B$12,3,2),0),IFERROR($Q$161/INDEX('Useful Life &amp; SG&amp;A Build'!$A$9:$B$12,3,2),0))))</f>
        <v>25.945074575838944</v>
      </c>
      <c r="V208" s="563">
        <f>-IF($A208+1&gt;V$198,0,IF(ROUND(INDEX('Useful Life &amp; SG&amp;A Build'!$A$9:$B$12,3,2),0)+$A208&lt;V$198,0,IF(ROUND(INDEX('Useful Life &amp; SG&amp;A Build'!$A$9:$B$12,3,2),0)+$A208=V$198,0.5*IFERROR($Q$161/INDEX('Useful Life &amp; SG&amp;A Build'!$A$9:$B$12,3,2),0),IFERROR($Q$161/INDEX('Useful Life &amp; SG&amp;A Build'!$A$9:$B$12,3,2),0))))</f>
        <v>25.945074575838944</v>
      </c>
      <c r="AA208" s="263"/>
      <c r="AB208" s="263"/>
    </row>
    <row r="209" spans="1:28" ht="16" outlineLevel="1" x14ac:dyDescent="0.2">
      <c r="A209" s="562">
        <f t="shared" si="93"/>
        <v>2027</v>
      </c>
      <c r="L209" s="563">
        <f>-IF($A209+1&gt;L$198,0,IF(ROUND(INDEX('Useful Life &amp; SG&amp;A Build'!$A$9:$B$12,3,2),0)+$A209&lt;L$198,0,IF(ROUND(INDEX('Useful Life &amp; SG&amp;A Build'!$A$9:$B$12,3,2),0)+$A209=L$198,0.5*IFERROR($R$161/INDEX('Useful Life &amp; SG&amp;A Build'!$A$9:$B$12,3,2),0),IFERROR($R$161/INDEX('Useful Life &amp; SG&amp;A Build'!$A$9:$B$12,3,2),0))))</f>
        <v>0</v>
      </c>
      <c r="M209" s="563">
        <f>-IF($A209+1&gt;M$198,0,IF(ROUND(INDEX('Useful Life &amp; SG&amp;A Build'!$A$9:$B$12,3,2),0)+$A209&lt;M$198,0,IF(ROUND(INDEX('Useful Life &amp; SG&amp;A Build'!$A$9:$B$12,3,2),0)+$A209=M$198,0.5*IFERROR($R$161/INDEX('Useful Life &amp; SG&amp;A Build'!$A$9:$B$12,3,2),0),IFERROR($R$161/INDEX('Useful Life &amp; SG&amp;A Build'!$A$9:$B$12,3,2),0))))</f>
        <v>0</v>
      </c>
      <c r="N209" s="563">
        <f>-IF($A209+1&gt;N$198,0,IF(ROUND(INDEX('Useful Life &amp; SG&amp;A Build'!$A$9:$B$12,3,2),0)+$A209&lt;N$198,0,IF(ROUND(INDEX('Useful Life &amp; SG&amp;A Build'!$A$9:$B$12,3,2),0)+$A209=N$198,0.5*IFERROR($R$161/INDEX('Useful Life &amp; SG&amp;A Build'!$A$9:$B$12,3,2),0),IFERROR($R$161/INDEX('Useful Life &amp; SG&amp;A Build'!$A$9:$B$12,3,2),0))))</f>
        <v>0</v>
      </c>
      <c r="O209" s="563">
        <f>-IF($A209+1&gt;O$198,0,IF(ROUND(INDEX('Useful Life &amp; SG&amp;A Build'!$A$9:$B$12,3,2),0)+$A209&lt;O$198,0,IF(ROUND(INDEX('Useful Life &amp; SG&amp;A Build'!$A$9:$B$12,3,2),0)+$A209=O$198,0.5*IFERROR($R$161/INDEX('Useful Life &amp; SG&amp;A Build'!$A$9:$B$12,3,2),0),IFERROR($R$161/INDEX('Useful Life &amp; SG&amp;A Build'!$A$9:$B$12,3,2),0))))</f>
        <v>0</v>
      </c>
      <c r="P209" s="563">
        <f>-IF($A209+1&gt;P$198,0,IF(ROUND(INDEX('Useful Life &amp; SG&amp;A Build'!$A$9:$B$12,3,2),0)+$A209&lt;P$198,0,IF(ROUND(INDEX('Useful Life &amp; SG&amp;A Build'!$A$9:$B$12,3,2),0)+$A209=P$198,0.5*IFERROR($R$161/INDEX('Useful Life &amp; SG&amp;A Build'!$A$9:$B$12,3,2),0),IFERROR($R$161/INDEX('Useful Life &amp; SG&amp;A Build'!$A$9:$B$12,3,2),0))))</f>
        <v>0</v>
      </c>
      <c r="Q209" s="563">
        <f>-IF($A209+1&gt;Q$198,0,IF(ROUND(INDEX('Useful Life &amp; SG&amp;A Build'!$A$9:$B$12,3,2),0)+$A209&lt;Q$198,0,IF(ROUND(INDEX('Useful Life &amp; SG&amp;A Build'!$A$9:$B$12,3,2),0)+$A209=Q$198,0.5*IFERROR($R$161/INDEX('Useful Life &amp; SG&amp;A Build'!$A$9:$B$12,3,2),0),IFERROR($R$161/INDEX('Useful Life &amp; SG&amp;A Build'!$A$9:$B$12,3,2),0))))</f>
        <v>0</v>
      </c>
      <c r="R209" s="563">
        <f>-IF($A209+1&gt;R$198,0,IF(ROUND(INDEX('Useful Life &amp; SG&amp;A Build'!$A$9:$B$12,3,2),0)+$A209&lt;R$198,0,IF(ROUND(INDEX('Useful Life &amp; SG&amp;A Build'!$A$9:$B$12,3,2),0)+$A209=R$198,0.5*IFERROR($R$161/INDEX('Useful Life &amp; SG&amp;A Build'!$A$9:$B$12,3,2),0),IFERROR($R$161/INDEX('Useful Life &amp; SG&amp;A Build'!$A$9:$B$12,3,2),0))))</f>
        <v>0</v>
      </c>
      <c r="S209" s="563">
        <f>-IF($A209+1&gt;S$198,0,IF(ROUND(INDEX('Useful Life &amp; SG&amp;A Build'!$A$9:$B$12,3,2),0)+$A209&lt;S$198,0,IF(ROUND(INDEX('Useful Life &amp; SG&amp;A Build'!$A$9:$B$12,3,2),0)+$A209=S$198,0.5*IFERROR($R$161/INDEX('Useful Life &amp; SG&amp;A Build'!$A$9:$B$12,3,2),0),IFERROR($R$161/INDEX('Useful Life &amp; SG&amp;A Build'!$A$9:$B$12,3,2),0))))</f>
        <v>25.706888361389471</v>
      </c>
      <c r="T209" s="563">
        <f>-IF($A209+1&gt;T$198,0,IF(ROUND(INDEX('Useful Life &amp; SG&amp;A Build'!$A$9:$B$12,3,2),0)+$A209&lt;T$198,0,IF(ROUND(INDEX('Useful Life &amp; SG&amp;A Build'!$A$9:$B$12,3,2),0)+$A209=T$198,0.5*IFERROR($R$161/INDEX('Useful Life &amp; SG&amp;A Build'!$A$9:$B$12,3,2),0),IFERROR($R$161/INDEX('Useful Life &amp; SG&amp;A Build'!$A$9:$B$12,3,2),0))))</f>
        <v>25.706888361389471</v>
      </c>
      <c r="U209" s="563">
        <f>-IF($A209+1&gt;U$198,0,IF(ROUND(INDEX('Useful Life &amp; SG&amp;A Build'!$A$9:$B$12,3,2),0)+$A209&lt;U$198,0,IF(ROUND(INDEX('Useful Life &amp; SG&amp;A Build'!$A$9:$B$12,3,2),0)+$A209=U$198,0.5*IFERROR($R$161/INDEX('Useful Life &amp; SG&amp;A Build'!$A$9:$B$12,3,2),0),IFERROR($R$161/INDEX('Useful Life &amp; SG&amp;A Build'!$A$9:$B$12,3,2),0))))</f>
        <v>25.706888361389471</v>
      </c>
      <c r="V209" s="563">
        <f>-IF($A209+1&gt;V$198,0,IF(ROUND(INDEX('Useful Life &amp; SG&amp;A Build'!$A$9:$B$12,3,2),0)+$A209&lt;V$198,0,IF(ROUND(INDEX('Useful Life &amp; SG&amp;A Build'!$A$9:$B$12,3,2),0)+$A209=V$198,0.5*IFERROR($R$161/INDEX('Useful Life &amp; SG&amp;A Build'!$A$9:$B$12,3,2),0),IFERROR($R$161/INDEX('Useful Life &amp; SG&amp;A Build'!$A$9:$B$12,3,2),0))))</f>
        <v>25.706888361389471</v>
      </c>
      <c r="AA209" s="263"/>
      <c r="AB209" s="263"/>
    </row>
    <row r="210" spans="1:28" ht="16" outlineLevel="1" x14ac:dyDescent="0.2">
      <c r="A210" s="562">
        <f t="shared" si="93"/>
        <v>2028</v>
      </c>
      <c r="L210" s="563">
        <f>-IF($A210+1&gt;L$198,0,IF(ROUND(INDEX('Useful Life &amp; SG&amp;A Build'!$A$9:$B$12,3,2),0)+$A210&lt;L$198,0,IF(ROUND(INDEX('Useful Life &amp; SG&amp;A Build'!$A$9:$B$12,3,2),0)+$A210=L$198,0.5*IFERROR($S$161/INDEX('Useful Life &amp; SG&amp;A Build'!$A$9:$B$12,3,2),0),IFERROR($S$161/INDEX('Useful Life &amp; SG&amp;A Build'!$A$9:$B$12,3,2),0))))</f>
        <v>0</v>
      </c>
      <c r="M210" s="563">
        <f>-IF($A210+1&gt;M$198,0,IF(ROUND(INDEX('Useful Life &amp; SG&amp;A Build'!$A$9:$B$12,3,2),0)+$A210&lt;M$198,0,IF(ROUND(INDEX('Useful Life &amp; SG&amp;A Build'!$A$9:$B$12,3,2),0)+$A210=M$198,0.5*IFERROR($S$161/INDEX('Useful Life &amp; SG&amp;A Build'!$A$9:$B$12,3,2),0),IFERROR($S$161/INDEX('Useful Life &amp; SG&amp;A Build'!$A$9:$B$12,3,2),0))))</f>
        <v>0</v>
      </c>
      <c r="N210" s="563">
        <f>-IF($A210+1&gt;N$198,0,IF(ROUND(INDEX('Useful Life &amp; SG&amp;A Build'!$A$9:$B$12,3,2),0)+$A210&lt;N$198,0,IF(ROUND(INDEX('Useful Life &amp; SG&amp;A Build'!$A$9:$B$12,3,2),0)+$A210=N$198,0.5*IFERROR($S$161/INDEX('Useful Life &amp; SG&amp;A Build'!$A$9:$B$12,3,2),0),IFERROR($S$161/INDEX('Useful Life &amp; SG&amp;A Build'!$A$9:$B$12,3,2),0))))</f>
        <v>0</v>
      </c>
      <c r="O210" s="563">
        <f>-IF($A210+1&gt;O$198,0,IF(ROUND(INDEX('Useful Life &amp; SG&amp;A Build'!$A$9:$B$12,3,2),0)+$A210&lt;O$198,0,IF(ROUND(INDEX('Useful Life &amp; SG&amp;A Build'!$A$9:$B$12,3,2),0)+$A210=O$198,0.5*IFERROR($S$161/INDEX('Useful Life &amp; SG&amp;A Build'!$A$9:$B$12,3,2),0),IFERROR($S$161/INDEX('Useful Life &amp; SG&amp;A Build'!$A$9:$B$12,3,2),0))))</f>
        <v>0</v>
      </c>
      <c r="P210" s="563">
        <f>-IF($A210+1&gt;P$198,0,IF(ROUND(INDEX('Useful Life &amp; SG&amp;A Build'!$A$9:$B$12,3,2),0)+$A210&lt;P$198,0,IF(ROUND(INDEX('Useful Life &amp; SG&amp;A Build'!$A$9:$B$12,3,2),0)+$A210=P$198,0.5*IFERROR($S$161/INDEX('Useful Life &amp; SG&amp;A Build'!$A$9:$B$12,3,2),0),IFERROR($S$161/INDEX('Useful Life &amp; SG&amp;A Build'!$A$9:$B$12,3,2),0))))</f>
        <v>0</v>
      </c>
      <c r="Q210" s="563">
        <f>-IF($A210+1&gt;Q$198,0,IF(ROUND(INDEX('Useful Life &amp; SG&amp;A Build'!$A$9:$B$12,3,2),0)+$A210&lt;Q$198,0,IF(ROUND(INDEX('Useful Life &amp; SG&amp;A Build'!$A$9:$B$12,3,2),0)+$A210=Q$198,0.5*IFERROR($S$161/INDEX('Useful Life &amp; SG&amp;A Build'!$A$9:$B$12,3,2),0),IFERROR($S$161/INDEX('Useful Life &amp; SG&amp;A Build'!$A$9:$B$12,3,2),0))))</f>
        <v>0</v>
      </c>
      <c r="R210" s="563">
        <f>-IF($A210+1&gt;R$198,0,IF(ROUND(INDEX('Useful Life &amp; SG&amp;A Build'!$A$9:$B$12,3,2),0)+$A210&lt;R$198,0,IF(ROUND(INDEX('Useful Life &amp; SG&amp;A Build'!$A$9:$B$12,3,2),0)+$A210=R$198,0.5*IFERROR($S$161/INDEX('Useful Life &amp; SG&amp;A Build'!$A$9:$B$12,3,2),0),IFERROR($S$161/INDEX('Useful Life &amp; SG&amp;A Build'!$A$9:$B$12,3,2),0))))</f>
        <v>0</v>
      </c>
      <c r="S210" s="563">
        <f>-IF($A210+1&gt;S$198,0,IF(ROUND(INDEX('Useful Life &amp; SG&amp;A Build'!$A$9:$B$12,3,2),0)+$A210&lt;S$198,0,IF(ROUND(INDEX('Useful Life &amp; SG&amp;A Build'!$A$9:$B$12,3,2),0)+$A210=S$198,0.5*IFERROR($S$161/INDEX('Useful Life &amp; SG&amp;A Build'!$A$9:$B$12,3,2),0),IFERROR($S$161/INDEX('Useful Life &amp; SG&amp;A Build'!$A$9:$B$12,3,2),0))))</f>
        <v>0</v>
      </c>
      <c r="T210" s="563">
        <f>-IF($A210+1&gt;T$198,0,IF(ROUND(INDEX('Useful Life &amp; SG&amp;A Build'!$A$9:$B$12,3,2),0)+$A210&lt;T$198,0,IF(ROUND(INDEX('Useful Life &amp; SG&amp;A Build'!$A$9:$B$12,3,2),0)+$A210=T$198,0.5*IFERROR($S$161/INDEX('Useful Life &amp; SG&amp;A Build'!$A$9:$B$12,3,2),0),IFERROR($S$161/INDEX('Useful Life &amp; SG&amp;A Build'!$A$9:$B$12,3,2),0))))</f>
        <v>25.470888792138791</v>
      </c>
      <c r="U210" s="563">
        <f>-IF($A210+1&gt;U$198,0,IF(ROUND(INDEX('Useful Life &amp; SG&amp;A Build'!$A$9:$B$12,3,2),0)+$A210&lt;U$198,0,IF(ROUND(INDEX('Useful Life &amp; SG&amp;A Build'!$A$9:$B$12,3,2),0)+$A210=U$198,0.5*IFERROR($S$161/INDEX('Useful Life &amp; SG&amp;A Build'!$A$9:$B$12,3,2),0),IFERROR($S$161/INDEX('Useful Life &amp; SG&amp;A Build'!$A$9:$B$12,3,2),0))))</f>
        <v>25.470888792138791</v>
      </c>
      <c r="V210" s="563">
        <f>-IF($A210+1&gt;V$198,0,IF(ROUND(INDEX('Useful Life &amp; SG&amp;A Build'!$A$9:$B$12,3,2),0)+$A210&lt;V$198,0,IF(ROUND(INDEX('Useful Life &amp; SG&amp;A Build'!$A$9:$B$12,3,2),0)+$A210=V$198,0.5*IFERROR($S$161/INDEX('Useful Life &amp; SG&amp;A Build'!$A$9:$B$12,3,2),0),IFERROR($S$161/INDEX('Useful Life &amp; SG&amp;A Build'!$A$9:$B$12,3,2),0))))</f>
        <v>25.470888792138791</v>
      </c>
      <c r="AA210" s="263"/>
      <c r="AB210" s="263"/>
    </row>
    <row r="211" spans="1:28" ht="16" outlineLevel="1" x14ac:dyDescent="0.2">
      <c r="A211" s="562">
        <f t="shared" si="93"/>
        <v>2029</v>
      </c>
      <c r="L211" s="563">
        <f>-IF($A211+1&gt;L$198,0,IF(ROUND(INDEX('Useful Life &amp; SG&amp;A Build'!$A$9:$B$12,3,2),0)+$A211&lt;L$198,0,IF(ROUND(INDEX('Useful Life &amp; SG&amp;A Build'!$A$9:$B$12,3,2),0)+$A211=L$198,0.5*IFERROR($T$161/INDEX('Useful Life &amp; SG&amp;A Build'!$A$9:$B$12,3,2),0),IFERROR($T$161/INDEX('Useful Life &amp; SG&amp;A Build'!$A$9:$B$12,3,2),0))))</f>
        <v>0</v>
      </c>
      <c r="M211" s="563">
        <f>-IF($A211+1&gt;M$198,0,IF(ROUND(INDEX('Useful Life &amp; SG&amp;A Build'!$A$9:$B$12,3,2),0)+$A211&lt;M$198,0,IF(ROUND(INDEX('Useful Life &amp; SG&amp;A Build'!$A$9:$B$12,3,2),0)+$A211=M$198,0.5*IFERROR($T$161/INDEX('Useful Life &amp; SG&amp;A Build'!$A$9:$B$12,3,2),0),IFERROR($T$161/INDEX('Useful Life &amp; SG&amp;A Build'!$A$9:$B$12,3,2),0))))</f>
        <v>0</v>
      </c>
      <c r="N211" s="563">
        <f>-IF($A211+1&gt;N$198,0,IF(ROUND(INDEX('Useful Life &amp; SG&amp;A Build'!$A$9:$B$12,3,2),0)+$A211&lt;N$198,0,IF(ROUND(INDEX('Useful Life &amp; SG&amp;A Build'!$A$9:$B$12,3,2),0)+$A211=N$198,0.5*IFERROR($T$161/INDEX('Useful Life &amp; SG&amp;A Build'!$A$9:$B$12,3,2),0),IFERROR($T$161/INDEX('Useful Life &amp; SG&amp;A Build'!$A$9:$B$12,3,2),0))))</f>
        <v>0</v>
      </c>
      <c r="O211" s="563">
        <f>-IF($A211+1&gt;O$198,0,IF(ROUND(INDEX('Useful Life &amp; SG&amp;A Build'!$A$9:$B$12,3,2),0)+$A211&lt;O$198,0,IF(ROUND(INDEX('Useful Life &amp; SG&amp;A Build'!$A$9:$B$12,3,2),0)+$A211=O$198,0.5*IFERROR($T$161/INDEX('Useful Life &amp; SG&amp;A Build'!$A$9:$B$12,3,2),0),IFERROR($T$161/INDEX('Useful Life &amp; SG&amp;A Build'!$A$9:$B$12,3,2),0))))</f>
        <v>0</v>
      </c>
      <c r="P211" s="563">
        <f>-IF($A211+1&gt;P$198,0,IF(ROUND(INDEX('Useful Life &amp; SG&amp;A Build'!$A$9:$B$12,3,2),0)+$A211&lt;P$198,0,IF(ROUND(INDEX('Useful Life &amp; SG&amp;A Build'!$A$9:$B$12,3,2),0)+$A211=P$198,0.5*IFERROR($T$161/INDEX('Useful Life &amp; SG&amp;A Build'!$A$9:$B$12,3,2),0),IFERROR($T$161/INDEX('Useful Life &amp; SG&amp;A Build'!$A$9:$B$12,3,2),0))))</f>
        <v>0</v>
      </c>
      <c r="Q211" s="563">
        <f>-IF($A211+1&gt;Q$198,0,IF(ROUND(INDEX('Useful Life &amp; SG&amp;A Build'!$A$9:$B$12,3,2),0)+$A211&lt;Q$198,0,IF(ROUND(INDEX('Useful Life &amp; SG&amp;A Build'!$A$9:$B$12,3,2),0)+$A211=Q$198,0.5*IFERROR($T$161/INDEX('Useful Life &amp; SG&amp;A Build'!$A$9:$B$12,3,2),0),IFERROR($T$161/INDEX('Useful Life &amp; SG&amp;A Build'!$A$9:$B$12,3,2),0))))</f>
        <v>0</v>
      </c>
      <c r="R211" s="563">
        <f>-IF($A211+1&gt;R$198,0,IF(ROUND(INDEX('Useful Life &amp; SG&amp;A Build'!$A$9:$B$12,3,2),0)+$A211&lt;R$198,0,IF(ROUND(INDEX('Useful Life &amp; SG&amp;A Build'!$A$9:$B$12,3,2),0)+$A211=R$198,0.5*IFERROR($T$161/INDEX('Useful Life &amp; SG&amp;A Build'!$A$9:$B$12,3,2),0),IFERROR($T$161/INDEX('Useful Life &amp; SG&amp;A Build'!$A$9:$B$12,3,2),0))))</f>
        <v>0</v>
      </c>
      <c r="S211" s="563">
        <f>-IF($A211+1&gt;S$198,0,IF(ROUND(INDEX('Useful Life &amp; SG&amp;A Build'!$A$9:$B$12,3,2),0)+$A211&lt;S$198,0,IF(ROUND(INDEX('Useful Life &amp; SG&amp;A Build'!$A$9:$B$12,3,2),0)+$A211=S$198,0.5*IFERROR($T$161/INDEX('Useful Life &amp; SG&amp;A Build'!$A$9:$B$12,3,2),0),IFERROR($T$161/INDEX('Useful Life &amp; SG&amp;A Build'!$A$9:$B$12,3,2),0))))</f>
        <v>0</v>
      </c>
      <c r="T211" s="563">
        <f>-IF($A211+1&gt;T$198,0,IF(ROUND(INDEX('Useful Life &amp; SG&amp;A Build'!$A$9:$B$12,3,2),0)+$A211&lt;T$198,0,IF(ROUND(INDEX('Useful Life &amp; SG&amp;A Build'!$A$9:$B$12,3,2),0)+$A211=T$198,0.5*IFERROR($T$161/INDEX('Useful Life &amp; SG&amp;A Build'!$A$9:$B$12,3,2),0),IFERROR($T$161/INDEX('Useful Life &amp; SG&amp;A Build'!$A$9:$B$12,3,2),0))))</f>
        <v>0</v>
      </c>
      <c r="U211" s="563">
        <f>-IF($A211+1&gt;U$198,0,IF(ROUND(INDEX('Useful Life &amp; SG&amp;A Build'!$A$9:$B$12,3,2),0)+$A211&lt;U$198,0,IF(ROUND(INDEX('Useful Life &amp; SG&amp;A Build'!$A$9:$B$12,3,2),0)+$A211=U$198,0.5*IFERROR($T$161/INDEX('Useful Life &amp; SG&amp;A Build'!$A$9:$B$12,3,2),0),IFERROR($T$161/INDEX('Useful Life &amp; SG&amp;A Build'!$A$9:$B$12,3,2),0))))</f>
        <v>25.237055793804966</v>
      </c>
      <c r="V211" s="563">
        <f>-IF($A211+1&gt;V$198,0,IF(ROUND(INDEX('Useful Life &amp; SG&amp;A Build'!$A$9:$B$12,3,2),0)+$A211&lt;V$198,0,IF(ROUND(INDEX('Useful Life &amp; SG&amp;A Build'!$A$9:$B$12,3,2),0)+$A211=V$198,0.5*IFERROR($T$161/INDEX('Useful Life &amp; SG&amp;A Build'!$A$9:$B$12,3,2),0),IFERROR($T$161/INDEX('Useful Life &amp; SG&amp;A Build'!$A$9:$B$12,3,2),0))))</f>
        <v>25.237055793804966</v>
      </c>
      <c r="AA211" s="263"/>
      <c r="AB211" s="263"/>
    </row>
    <row r="212" spans="1:28" ht="16" outlineLevel="1" x14ac:dyDescent="0.2">
      <c r="A212" s="597">
        <f t="shared" si="93"/>
        <v>2030</v>
      </c>
      <c r="B212" s="599"/>
      <c r="C212" s="599"/>
      <c r="D212" s="599"/>
      <c r="E212" s="599"/>
      <c r="F212" s="599"/>
      <c r="G212" s="599"/>
      <c r="H212" s="599"/>
      <c r="I212" s="599"/>
      <c r="J212" s="599"/>
      <c r="K212" s="599"/>
      <c r="L212" s="598">
        <f>-IF($A212+1&gt;L$198,0,IF(ROUND(INDEX('Useful Life &amp; SG&amp;A Build'!$A$9:$B$12,3,2),0)+$A212&lt;L$198,0,IF(ROUND(INDEX('Useful Life &amp; SG&amp;A Build'!$A$9:$B$12,3,2),0)+$A212=L$198,0.5*IFERROR($U$161/INDEX('Useful Life &amp; SG&amp;A Build'!$A$9:$B$12,3,2),0),IFERROR($U$161/INDEX('Useful Life &amp; SG&amp;A Build'!$A$9:$B$12,3,2),0))))</f>
        <v>0</v>
      </c>
      <c r="M212" s="598">
        <f>-IF($A212+1&gt;M$198,0,IF(ROUND(INDEX('Useful Life &amp; SG&amp;A Build'!$A$9:$B$12,3,2),0)+$A212&lt;M$198,0,IF(ROUND(INDEX('Useful Life &amp; SG&amp;A Build'!$A$9:$B$12,3,2),0)+$A212=M$198,0.5*IFERROR($U$161/INDEX('Useful Life &amp; SG&amp;A Build'!$A$9:$B$12,3,2),0),IFERROR($U$161/INDEX('Useful Life &amp; SG&amp;A Build'!$A$9:$B$12,3,2),0))))</f>
        <v>0</v>
      </c>
      <c r="N212" s="598">
        <f>-IF($A212+1&gt;N$198,0,IF(ROUND(INDEX('Useful Life &amp; SG&amp;A Build'!$A$9:$B$12,3,2),0)+$A212&lt;N$198,0,IF(ROUND(INDEX('Useful Life &amp; SG&amp;A Build'!$A$9:$B$12,3,2),0)+$A212=N$198,0.5*IFERROR($U$161/INDEX('Useful Life &amp; SG&amp;A Build'!$A$9:$B$12,3,2),0),IFERROR($U$161/INDEX('Useful Life &amp; SG&amp;A Build'!$A$9:$B$12,3,2),0))))</f>
        <v>0</v>
      </c>
      <c r="O212" s="598">
        <f>-IF($A212+1&gt;O$198,0,IF(ROUND(INDEX('Useful Life &amp; SG&amp;A Build'!$A$9:$B$12,3,2),0)+$A212&lt;O$198,0,IF(ROUND(INDEX('Useful Life &amp; SG&amp;A Build'!$A$9:$B$12,3,2),0)+$A212=O$198,0.5*IFERROR($U$161/INDEX('Useful Life &amp; SG&amp;A Build'!$A$9:$B$12,3,2),0),IFERROR($U$161/INDEX('Useful Life &amp; SG&amp;A Build'!$A$9:$B$12,3,2),0))))</f>
        <v>0</v>
      </c>
      <c r="P212" s="598">
        <f>-IF($A212+1&gt;P$198,0,IF(ROUND(INDEX('Useful Life &amp; SG&amp;A Build'!$A$9:$B$12,3,2),0)+$A212&lt;P$198,0,IF(ROUND(INDEX('Useful Life &amp; SG&amp;A Build'!$A$9:$B$12,3,2),0)+$A212=P$198,0.5*IFERROR($U$161/INDEX('Useful Life &amp; SG&amp;A Build'!$A$9:$B$12,3,2),0),IFERROR($U$161/INDEX('Useful Life &amp; SG&amp;A Build'!$A$9:$B$12,3,2),0))))</f>
        <v>0</v>
      </c>
      <c r="Q212" s="598">
        <f>-IF($A212+1&gt;Q$198,0,IF(ROUND(INDEX('Useful Life &amp; SG&amp;A Build'!$A$9:$B$12,3,2),0)+$A212&lt;Q$198,0,IF(ROUND(INDEX('Useful Life &amp; SG&amp;A Build'!$A$9:$B$12,3,2),0)+$A212=Q$198,0.5*IFERROR($U$161/INDEX('Useful Life &amp; SG&amp;A Build'!$A$9:$B$12,3,2),0),IFERROR($U$161/INDEX('Useful Life &amp; SG&amp;A Build'!$A$9:$B$12,3,2),0))))</f>
        <v>0</v>
      </c>
      <c r="R212" s="598">
        <f>-IF($A212+1&gt;R$198,0,IF(ROUND(INDEX('Useful Life &amp; SG&amp;A Build'!$A$9:$B$12,3,2),0)+$A212&lt;R$198,0,IF(ROUND(INDEX('Useful Life &amp; SG&amp;A Build'!$A$9:$B$12,3,2),0)+$A212=R$198,0.5*IFERROR($U$161/INDEX('Useful Life &amp; SG&amp;A Build'!$A$9:$B$12,3,2),0),IFERROR($U$161/INDEX('Useful Life &amp; SG&amp;A Build'!$A$9:$B$12,3,2),0))))</f>
        <v>0</v>
      </c>
      <c r="S212" s="598">
        <f>-IF($A212+1&gt;S$198,0,IF(ROUND(INDEX('Useful Life &amp; SG&amp;A Build'!$A$9:$B$12,3,2),0)+$A212&lt;S$198,0,IF(ROUND(INDEX('Useful Life &amp; SG&amp;A Build'!$A$9:$B$12,3,2),0)+$A212=S$198,0.5*IFERROR($U$161/INDEX('Useful Life &amp; SG&amp;A Build'!$A$9:$B$12,3,2),0),IFERROR($U$161/INDEX('Useful Life &amp; SG&amp;A Build'!$A$9:$B$12,3,2),0))))</f>
        <v>0</v>
      </c>
      <c r="T212" s="598">
        <f>-IF($A212+1&gt;T$198,0,IF(ROUND(INDEX('Useful Life &amp; SG&amp;A Build'!$A$9:$B$12,3,2),0)+$A212&lt;T$198,0,IF(ROUND(INDEX('Useful Life &amp; SG&amp;A Build'!$A$9:$B$12,3,2),0)+$A212=T$198,0.5*IFERROR($U$161/INDEX('Useful Life &amp; SG&amp;A Build'!$A$9:$B$12,3,2),0),IFERROR($U$161/INDEX('Useful Life &amp; SG&amp;A Build'!$A$9:$B$12,3,2),0))))</f>
        <v>0</v>
      </c>
      <c r="U212" s="598">
        <f>-IF($A212+1&gt;U$198,0,IF(ROUND(INDEX('Useful Life &amp; SG&amp;A Build'!$A$9:$B$12,3,2),0)+$A212&lt;U$198,0,IF(ROUND(INDEX('Useful Life &amp; SG&amp;A Build'!$A$9:$B$12,3,2),0)+$A212=U$198,0.5*IFERROR($U$161/INDEX('Useful Life &amp; SG&amp;A Build'!$A$9:$B$12,3,2),0),IFERROR($U$161/INDEX('Useful Life &amp; SG&amp;A Build'!$A$9:$B$12,3,2),0))))</f>
        <v>0</v>
      </c>
      <c r="V212" s="598">
        <f>-IF($A212+1&gt;V$198,0,IF(ROUND(INDEX('Useful Life &amp; SG&amp;A Build'!$A$9:$B$12,3,2),0)+$A212&lt;V$198,0,IF(ROUND(INDEX('Useful Life &amp; SG&amp;A Build'!$A$9:$B$12,3,2),0)+$A212=V$198,0.5*IFERROR($U$161/INDEX('Useful Life &amp; SG&amp;A Build'!$A$9:$B$12,3,2),0),IFERROR($U$161/INDEX('Useful Life &amp; SG&amp;A Build'!$A$9:$B$12,3,2),0))))</f>
        <v>25.005369476396019</v>
      </c>
      <c r="AA212" s="263"/>
      <c r="AB212" s="263"/>
    </row>
    <row r="213" spans="1:28" ht="16" outlineLevel="1" x14ac:dyDescent="0.2">
      <c r="A213" s="600" t="s">
        <v>497</v>
      </c>
      <c r="L213" s="263">
        <f>SUM(L199:L212)</f>
        <v>229.85714285714286</v>
      </c>
      <c r="M213" s="263">
        <f>SUM(M199:M212)</f>
        <v>205</v>
      </c>
      <c r="N213" s="263">
        <f>SUM(N199:N212)</f>
        <v>190.00000000000003</v>
      </c>
      <c r="O213" s="263">
        <f>SUM(O199:O212)</f>
        <v>219.71428571428572</v>
      </c>
      <c r="P213" s="263">
        <f>SUM(P199:P212)</f>
        <v>248.42857142857144</v>
      </c>
      <c r="Q213" s="263">
        <f t="shared" ref="Q213:V213" si="94">SUM(Q199:Q212)</f>
        <v>232.57142857142856</v>
      </c>
      <c r="R213" s="263">
        <f t="shared" si="94"/>
        <v>182.37364600441038</v>
      </c>
      <c r="S213" s="263">
        <f t="shared" si="94"/>
        <v>117.65196293722842</v>
      </c>
      <c r="T213" s="263">
        <f t="shared" si="94"/>
        <v>90.265708872224351</v>
      </c>
      <c r="U213" s="263">
        <f t="shared" si="94"/>
        <v>102.35990752317218</v>
      </c>
      <c r="V213" s="263">
        <f t="shared" si="94"/>
        <v>127.36527699956821</v>
      </c>
      <c r="AA213" s="263"/>
      <c r="AB213" s="263"/>
    </row>
    <row r="214" spans="1:28" ht="16" outlineLevel="1" x14ac:dyDescent="0.2">
      <c r="A214" s="263"/>
      <c r="E214" s="263"/>
      <c r="F214" s="309"/>
      <c r="G214" s="263"/>
      <c r="H214" s="263"/>
      <c r="I214" s="263"/>
      <c r="J214" s="263"/>
      <c r="K214" s="263"/>
      <c r="L214" s="263"/>
      <c r="M214" s="263"/>
      <c r="N214" s="263"/>
      <c r="O214" s="263"/>
      <c r="P214" s="263"/>
      <c r="Q214" s="263"/>
      <c r="R214" s="263"/>
      <c r="S214" s="263"/>
      <c r="T214" s="263"/>
      <c r="U214" s="263"/>
      <c r="V214" s="263"/>
      <c r="W214" s="263"/>
      <c r="X214" s="263"/>
      <c r="Y214" s="263"/>
      <c r="Z214" s="565"/>
      <c r="AA214" s="263"/>
      <c r="AB214" s="263"/>
    </row>
    <row r="215" spans="1:28" ht="16" outlineLevel="1" x14ac:dyDescent="0.2">
      <c r="A215" s="582" t="s">
        <v>484</v>
      </c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584">
        <v>2021</v>
      </c>
      <c r="M215" s="584">
        <v>2022</v>
      </c>
      <c r="N215" s="584">
        <v>2023</v>
      </c>
      <c r="O215" s="584">
        <v>2024</v>
      </c>
      <c r="P215" s="584">
        <v>2025</v>
      </c>
      <c r="Q215" s="584">
        <v>2026</v>
      </c>
      <c r="R215" s="584">
        <v>2027</v>
      </c>
      <c r="S215" s="584">
        <v>2028</v>
      </c>
      <c r="T215" s="584">
        <v>2029</v>
      </c>
      <c r="U215" s="584">
        <v>2030</v>
      </c>
      <c r="V215" s="584">
        <v>2031</v>
      </c>
      <c r="W215" s="263"/>
      <c r="X215" s="263"/>
      <c r="Y215" s="263"/>
      <c r="Z215" s="565"/>
      <c r="AA215" s="263"/>
      <c r="AB215" s="263"/>
    </row>
    <row r="216" spans="1:28" ht="16" outlineLevel="1" x14ac:dyDescent="0.2">
      <c r="A216" s="562">
        <v>2017</v>
      </c>
      <c r="L216" s="563">
        <f>IF($A216+1&gt;L$215,0,IF(ROUND(INDEX('Useful Life &amp; SG&amp;A Build'!$A$9:$B$12,4,2),0)+$A216&lt;L$215,0,IF(ROUND(INDEX('Useful Life &amp; SG&amp;A Build'!$A$9:$B$12,4,2),0)+$A216=L$215,0.5*IFERROR(INDEX('Useful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77.111111111111114</v>
      </c>
      <c r="M216" s="563">
        <f>IF($A216+1&gt;M$215,0,IF(ROUND(INDEX('Useful Life &amp; SG&amp;A Build'!$A$9:$B$12,4,2),0)+$A216&lt;M$215,0,IF(ROUND(INDEX('Useful Life &amp; SG&amp;A Build'!$A$9:$B$12,4,2),0)+$A216=M$215,0.5*IFERROR(INDEX('Useful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38.555555555555557</v>
      </c>
      <c r="N216" s="563">
        <f>IF($A216+1&gt;N$215,0,IF(ROUND(INDEX('Useful Life &amp; SG&amp;A Build'!$A$9:$B$12,4,2),0)+$A216&lt;N$215,0,IF(ROUND(INDEX('Useful Life &amp; SG&amp;A Build'!$A$9:$B$12,4,2),0)+$A216=N$215,0.5*IFERROR(INDEX('Useful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O216" s="563">
        <f>IF($A216+1&gt;O$215,0,IF(ROUND(INDEX('Useful Life &amp; SG&amp;A Build'!$A$9:$B$12,4,2),0)+$A216&lt;O$215,0,IF(ROUND(INDEX('Useful Life &amp; SG&amp;A Build'!$A$9:$B$12,4,2),0)+$A216=O$215,0.5*IFERROR(INDEX('Useful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P216" s="563">
        <f>IF($A216+1&gt;P$215,0,IF(ROUND(INDEX('Useful Life &amp; SG&amp;A Build'!$A$9:$B$12,4,2),0)+$A216&lt;P$215,0,IF(ROUND(INDEX('Useful Life &amp; SG&amp;A Build'!$A$9:$B$12,4,2),0)+$A216=P$215,0.5*IFERROR(INDEX('Useful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Q216" s="563">
        <f>IF($A216+1&gt;Q$215,0,IF(ROUND(INDEX('Useful Life &amp; SG&amp;A Build'!$A$9:$B$12,4,2),0)+$A216&lt;Q$215,0,IF(ROUND(INDEX('Useful Life &amp; SG&amp;A Build'!$A$9:$B$12,4,2),0)+$A216=Q$215,0.5*IFERROR(INDEX('Useful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R216" s="563">
        <f>IF($A216+1&gt;R$215,0,IF(ROUND(INDEX('Useful Life &amp; SG&amp;A Build'!$A$9:$B$12,4,2),0)+$A216&lt;R$215,0,IF(ROUND(INDEX('Useful Life &amp; SG&amp;A Build'!$A$9:$B$12,4,2),0)+$A216=R$215,0.5*IFERROR(INDEX('Useful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S216" s="563">
        <f>IF($A216+1&gt;S$215,0,IF(ROUND(INDEX('Useful Life &amp; SG&amp;A Build'!$A$9:$B$12,4,2),0)+$A216&lt;S$215,0,IF(ROUND(INDEX('Useful Life &amp; SG&amp;A Build'!$A$9:$B$12,4,2),0)+$A216=S$215,0.5*IFERROR(INDEX('Useful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T216" s="563">
        <f>IF($A216+1&gt;T$215,0,IF(ROUND(INDEX('Useful Life &amp; SG&amp;A Build'!$A$9:$B$12,4,2),0)+$A216&lt;T$215,0,IF(ROUND(INDEX('Useful Life &amp; SG&amp;A Build'!$A$9:$B$12,4,2),0)+$A216=T$215,0.5*IFERROR(INDEX('Useful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U216" s="563">
        <f>IF($A216+1&gt;U$215,0,IF(ROUND(INDEX('Useful Life &amp; SG&amp;A Build'!$A$9:$B$12,4,2),0)+$A216&lt;U$215,0,IF(ROUND(INDEX('Useful Life &amp; SG&amp;A Build'!$A$9:$B$12,4,2),0)+$A216=U$215,0.5*IFERROR(INDEX('Useful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V216" s="563">
        <f>IF($A216+1&gt;V$215,0,IF(ROUND(INDEX('Useful Life &amp; SG&amp;A Build'!$A$9:$B$12,4,2),0)+$A216&lt;V$215,0,IF(ROUND(INDEX('Useful Life &amp; SG&amp;A Build'!$A$9:$B$12,4,2),0)+$A216=V$215,0.5*IFERROR(INDEX('Useful Life &amp; SG&amp;A Build'!$A$3:$K$6,4,MATCH($A216,'Useful Life &amp; SG&amp;A Build'!$A$3:$K$3,0))/INDEX('Useful Life &amp; SG&amp;A Build'!$A$9:$B$12,4,2),0),IFERROR(INDEX('Useful Life &amp; SG&amp;A Build'!$A$3:$K$6,4,MATCH($A216,'Useful Life &amp; SG&amp;A Build'!$A$3:$K$3,0))/INDEX('Useful Life &amp; SG&amp;A Build'!$A$9:$B$12,4,2),0))))</f>
        <v>0</v>
      </c>
      <c r="W216" s="263"/>
      <c r="X216" s="263"/>
      <c r="Y216" s="263"/>
      <c r="Z216" s="565"/>
      <c r="AA216" s="263"/>
      <c r="AB216" s="263"/>
    </row>
    <row r="217" spans="1:28" ht="16" outlineLevel="1" x14ac:dyDescent="0.2">
      <c r="A217" s="562">
        <f>A216+1</f>
        <v>2018</v>
      </c>
      <c r="L217" s="563">
        <f>IF($A217+1&gt;L$215,0,IF(ROUND(INDEX('Useful Life &amp; SG&amp;A Build'!$A$9:$B$12,4,2),0)+$A217&lt;L$215,0,IF(ROUND(INDEX('Useful Life &amp; SG&amp;A Build'!$A$9:$B$12,4,2),0)+$A217=L$215,0.5*IFERROR(INDEX('Useful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94.444444444444443</v>
      </c>
      <c r="M217" s="563">
        <f>IF($A217+1&gt;M$215,0,IF(ROUND(INDEX('Useful Life &amp; SG&amp;A Build'!$A$9:$B$12,4,2),0)+$A217&lt;M$215,0,IF(ROUND(INDEX('Useful Life &amp; SG&amp;A Build'!$A$9:$B$12,4,2),0)+$A217=M$215,0.5*IFERROR(INDEX('Useful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94.444444444444443</v>
      </c>
      <c r="N217" s="563">
        <f>IF($A217+1&gt;N$215,0,IF(ROUND(INDEX('Useful Life &amp; SG&amp;A Build'!$A$9:$B$12,4,2),0)+$A217&lt;N$215,0,IF(ROUND(INDEX('Useful Life &amp; SG&amp;A Build'!$A$9:$B$12,4,2),0)+$A217=N$215,0.5*IFERROR(INDEX('Useful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47.222222222222221</v>
      </c>
      <c r="O217" s="563">
        <f>IF($A217+1&gt;O$215,0,IF(ROUND(INDEX('Useful Life &amp; SG&amp;A Build'!$A$9:$B$12,4,2),0)+$A217&lt;O$215,0,IF(ROUND(INDEX('Useful Life &amp; SG&amp;A Build'!$A$9:$B$12,4,2),0)+$A217=O$215,0.5*IFERROR(INDEX('Useful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P217" s="563">
        <f>IF($A217+1&gt;P$215,0,IF(ROUND(INDEX('Useful Life &amp; SG&amp;A Build'!$A$9:$B$12,4,2),0)+$A217&lt;P$215,0,IF(ROUND(INDEX('Useful Life &amp; SG&amp;A Build'!$A$9:$B$12,4,2),0)+$A217=P$215,0.5*IFERROR(INDEX('Useful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Q217" s="563">
        <f>IF($A217+1&gt;Q$215,0,IF(ROUND(INDEX('Useful Life &amp; SG&amp;A Build'!$A$9:$B$12,4,2),0)+$A217&lt;Q$215,0,IF(ROUND(INDEX('Useful Life &amp; SG&amp;A Build'!$A$9:$B$12,4,2),0)+$A217=Q$215,0.5*IFERROR(INDEX('Useful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R217" s="563">
        <f>IF($A217+1&gt;R$215,0,IF(ROUND(INDEX('Useful Life &amp; SG&amp;A Build'!$A$9:$B$12,4,2),0)+$A217&lt;R$215,0,IF(ROUND(INDEX('Useful Life &amp; SG&amp;A Build'!$A$9:$B$12,4,2),0)+$A217=R$215,0.5*IFERROR(INDEX('Useful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S217" s="563">
        <f>IF($A217+1&gt;S$215,0,IF(ROUND(INDEX('Useful Life &amp; SG&amp;A Build'!$A$9:$B$12,4,2),0)+$A217&lt;S$215,0,IF(ROUND(INDEX('Useful Life &amp; SG&amp;A Build'!$A$9:$B$12,4,2),0)+$A217=S$215,0.5*IFERROR(INDEX('Useful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T217" s="563">
        <f>IF($A217+1&gt;T$215,0,IF(ROUND(INDEX('Useful Life &amp; SG&amp;A Build'!$A$9:$B$12,4,2),0)+$A217&lt;T$215,0,IF(ROUND(INDEX('Useful Life &amp; SG&amp;A Build'!$A$9:$B$12,4,2),0)+$A217=T$215,0.5*IFERROR(INDEX('Useful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U217" s="563">
        <f>IF($A217+1&gt;U$215,0,IF(ROUND(INDEX('Useful Life &amp; SG&amp;A Build'!$A$9:$B$12,4,2),0)+$A217&lt;U$215,0,IF(ROUND(INDEX('Useful Life &amp; SG&amp;A Build'!$A$9:$B$12,4,2),0)+$A217=U$215,0.5*IFERROR(INDEX('Useful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V217" s="563">
        <f>IF($A217+1&gt;V$215,0,IF(ROUND(INDEX('Useful Life &amp; SG&amp;A Build'!$A$9:$B$12,4,2),0)+$A217&lt;V$215,0,IF(ROUND(INDEX('Useful Life &amp; SG&amp;A Build'!$A$9:$B$12,4,2),0)+$A217=V$215,0.5*IFERROR(INDEX('Useful Life &amp; SG&amp;A Build'!$A$3:$K$6,4,MATCH($A217,'Useful Life &amp; SG&amp;A Build'!$A$3:$K$3,0))/INDEX('Useful Life &amp; SG&amp;A Build'!$A$9:$B$12,4,2),0),IFERROR(INDEX('Useful Life &amp; SG&amp;A Build'!$A$3:$K$6,4,MATCH($A217,'Useful Life &amp; SG&amp;A Build'!$A$3:$K$3,0))/INDEX('Useful Life &amp; SG&amp;A Build'!$A$9:$B$12,4,2),0))))</f>
        <v>0</v>
      </c>
      <c r="W217" s="263"/>
      <c r="X217" s="263"/>
      <c r="Y217" s="263"/>
      <c r="Z217" s="565"/>
      <c r="AA217" s="263"/>
      <c r="AB217" s="263"/>
    </row>
    <row r="218" spans="1:28" ht="16" outlineLevel="1" x14ac:dyDescent="0.2">
      <c r="A218" s="562">
        <v>2019</v>
      </c>
      <c r="L218" s="563">
        <f>IF($A218+1&gt;L$215,0,IF(ROUND(INDEX('Useful Life &amp; SG&amp;A Build'!$A$9:$B$12,4,2),0)+$A218&lt;L$215,0,IF(ROUND(INDEX('Useful Life &amp; SG&amp;A Build'!$A$9:$B$12,4,2),0)+$A218=L$215,0.5*IFERROR(INDEX('Useful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99.555555555555557</v>
      </c>
      <c r="M218" s="563">
        <f>IF($A218+1&gt;M$215,0,IF(ROUND(INDEX('Useful Life &amp; SG&amp;A Build'!$A$9:$B$12,4,2),0)+$A218&lt;M$215,0,IF(ROUND(INDEX('Useful Life &amp; SG&amp;A Build'!$A$9:$B$12,4,2),0)+$A218=M$215,0.5*IFERROR(INDEX('Useful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99.555555555555557</v>
      </c>
      <c r="N218" s="563">
        <f>IF($A218+1&gt;N$215,0,IF(ROUND(INDEX('Useful Life &amp; SG&amp;A Build'!$A$9:$B$12,4,2),0)+$A218&lt;N$215,0,IF(ROUND(INDEX('Useful Life &amp; SG&amp;A Build'!$A$9:$B$12,4,2),0)+$A218=N$215,0.5*IFERROR(INDEX('Useful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99.555555555555557</v>
      </c>
      <c r="O218" s="563">
        <f>IF($A218+1&gt;O$215,0,IF(ROUND(INDEX('Useful Life &amp; SG&amp;A Build'!$A$9:$B$12,4,2),0)+$A218&lt;O$215,0,IF(ROUND(INDEX('Useful Life &amp; SG&amp;A Build'!$A$9:$B$12,4,2),0)+$A218=O$215,0.5*IFERROR(INDEX('Useful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49.777777777777779</v>
      </c>
      <c r="P218" s="563">
        <f>IF($A218+1&gt;P$215,0,IF(ROUND(INDEX('Useful Life &amp; SG&amp;A Build'!$A$9:$B$12,4,2),0)+$A218&lt;P$215,0,IF(ROUND(INDEX('Useful Life &amp; SG&amp;A Build'!$A$9:$B$12,4,2),0)+$A218=P$215,0.5*IFERROR(INDEX('Useful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Q218" s="563">
        <f>IF($A218+1&gt;Q$215,0,IF(ROUND(INDEX('Useful Life &amp; SG&amp;A Build'!$A$9:$B$12,4,2),0)+$A218&lt;Q$215,0,IF(ROUND(INDEX('Useful Life &amp; SG&amp;A Build'!$A$9:$B$12,4,2),0)+$A218=Q$215,0.5*IFERROR(INDEX('Useful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R218" s="563">
        <f>IF($A218+1&gt;R$215,0,IF(ROUND(INDEX('Useful Life &amp; SG&amp;A Build'!$A$9:$B$12,4,2),0)+$A218&lt;R$215,0,IF(ROUND(INDEX('Useful Life &amp; SG&amp;A Build'!$A$9:$B$12,4,2),0)+$A218=R$215,0.5*IFERROR(INDEX('Useful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S218" s="563">
        <f>IF($A218+1&gt;S$215,0,IF(ROUND(INDEX('Useful Life &amp; SG&amp;A Build'!$A$9:$B$12,4,2),0)+$A218&lt;S$215,0,IF(ROUND(INDEX('Useful Life &amp; SG&amp;A Build'!$A$9:$B$12,4,2),0)+$A218=S$215,0.5*IFERROR(INDEX('Useful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T218" s="563">
        <f>IF($A218+1&gt;T$215,0,IF(ROUND(INDEX('Useful Life &amp; SG&amp;A Build'!$A$9:$B$12,4,2),0)+$A218&lt;T$215,0,IF(ROUND(INDEX('Useful Life &amp; SG&amp;A Build'!$A$9:$B$12,4,2),0)+$A218=T$215,0.5*IFERROR(INDEX('Useful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U218" s="563">
        <f>IF($A218+1&gt;U$215,0,IF(ROUND(INDEX('Useful Life &amp; SG&amp;A Build'!$A$9:$B$12,4,2),0)+$A218&lt;U$215,0,IF(ROUND(INDEX('Useful Life &amp; SG&amp;A Build'!$A$9:$B$12,4,2),0)+$A218=U$215,0.5*IFERROR(INDEX('Useful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V218" s="563">
        <f>IF($A218+1&gt;V$215,0,IF(ROUND(INDEX('Useful Life &amp; SG&amp;A Build'!$A$9:$B$12,4,2),0)+$A218&lt;V$215,0,IF(ROUND(INDEX('Useful Life &amp; SG&amp;A Build'!$A$9:$B$12,4,2),0)+$A218=V$215,0.5*IFERROR(INDEX('Useful Life &amp; SG&amp;A Build'!$A$3:$K$6,4,MATCH($A218,'Useful Life &amp; SG&amp;A Build'!$A$3:$K$3,0))/INDEX('Useful Life &amp; SG&amp;A Build'!$A$9:$B$12,4,2),0),IFERROR(INDEX('Useful Life &amp; SG&amp;A Build'!$A$3:$K$6,4,MATCH($A218,'Useful Life &amp; SG&amp;A Build'!$A$3:$K$3,0))/INDEX('Useful Life &amp; SG&amp;A Build'!$A$9:$B$12,4,2),0))))</f>
        <v>0</v>
      </c>
      <c r="W218" s="263"/>
      <c r="X218" s="263"/>
      <c r="Y218" s="263"/>
      <c r="Z218" s="565"/>
      <c r="AA218" s="263"/>
      <c r="AB218" s="263"/>
    </row>
    <row r="219" spans="1:28" ht="16" outlineLevel="1" x14ac:dyDescent="0.2">
      <c r="A219" s="562">
        <f t="shared" ref="A219:A229" si="95">A218+1</f>
        <v>2020</v>
      </c>
      <c r="L219" s="563">
        <f>IF($A219+1&gt;L$215,0,IF(ROUND(INDEX('Useful Life &amp; SG&amp;A Build'!$A$9:$B$12,4,2),0)+$A219&lt;L$215,0,IF(ROUND(INDEX('Useful Life &amp; SG&amp;A Build'!$A$9:$B$12,4,2),0)+$A219=L$215,0.5*IFERROR(INDEX('Useful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95.777777777777771</v>
      </c>
      <c r="M219" s="563">
        <f>IF($A219+1&gt;M$215,0,IF(ROUND(INDEX('Useful Life &amp; SG&amp;A Build'!$A$9:$B$12,4,2),0)+$A219&lt;M$215,0,IF(ROUND(INDEX('Useful Life &amp; SG&amp;A Build'!$A$9:$B$12,4,2),0)+$A219=M$215,0.5*IFERROR(INDEX('Useful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95.777777777777771</v>
      </c>
      <c r="N219" s="563">
        <f>IF($A219+1&gt;N$215,0,IF(ROUND(INDEX('Useful Life &amp; SG&amp;A Build'!$A$9:$B$12,4,2),0)+$A219&lt;N$215,0,IF(ROUND(INDEX('Useful Life &amp; SG&amp;A Build'!$A$9:$B$12,4,2),0)+$A219=N$215,0.5*IFERROR(INDEX('Useful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95.777777777777771</v>
      </c>
      <c r="O219" s="563">
        <f>IF($A219+1&gt;O$215,0,IF(ROUND(INDEX('Useful Life &amp; SG&amp;A Build'!$A$9:$B$12,4,2),0)+$A219&lt;O$215,0,IF(ROUND(INDEX('Useful Life &amp; SG&amp;A Build'!$A$9:$B$12,4,2),0)+$A219=O$215,0.5*IFERROR(INDEX('Useful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95.777777777777771</v>
      </c>
      <c r="P219" s="563">
        <f>IF($A219+1&gt;P$215,0,IF(ROUND(INDEX('Useful Life &amp; SG&amp;A Build'!$A$9:$B$12,4,2),0)+$A219&lt;P$215,0,IF(ROUND(INDEX('Useful Life &amp; SG&amp;A Build'!$A$9:$B$12,4,2),0)+$A219=P$215,0.5*IFERROR(INDEX('Useful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47.888888888888886</v>
      </c>
      <c r="Q219" s="563">
        <f>IF($A219+1&gt;Q$215,0,IF(ROUND(INDEX('Useful Life &amp; SG&amp;A Build'!$A$9:$B$12,4,2),0)+$A219&lt;Q$215,0,IF(ROUND(INDEX('Useful Life &amp; SG&amp;A Build'!$A$9:$B$12,4,2),0)+$A219=Q$215,0.5*IFERROR(INDEX('Useful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R219" s="563">
        <f>IF($A219+1&gt;R$215,0,IF(ROUND(INDEX('Useful Life &amp; SG&amp;A Build'!$A$9:$B$12,4,2),0)+$A219&lt;R$215,0,IF(ROUND(INDEX('Useful Life &amp; SG&amp;A Build'!$A$9:$B$12,4,2),0)+$A219=R$215,0.5*IFERROR(INDEX('Useful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S219" s="563">
        <f>IF($A219+1&gt;S$215,0,IF(ROUND(INDEX('Useful Life &amp; SG&amp;A Build'!$A$9:$B$12,4,2),0)+$A219&lt;S$215,0,IF(ROUND(INDEX('Useful Life &amp; SG&amp;A Build'!$A$9:$B$12,4,2),0)+$A219=S$215,0.5*IFERROR(INDEX('Useful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T219" s="563">
        <f>IF($A219+1&gt;T$215,0,IF(ROUND(INDEX('Useful Life &amp; SG&amp;A Build'!$A$9:$B$12,4,2),0)+$A219&lt;T$215,0,IF(ROUND(INDEX('Useful Life &amp; SG&amp;A Build'!$A$9:$B$12,4,2),0)+$A219=T$215,0.5*IFERROR(INDEX('Useful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U219" s="563">
        <f>IF($A219+1&gt;U$215,0,IF(ROUND(INDEX('Useful Life &amp; SG&amp;A Build'!$A$9:$B$12,4,2),0)+$A219&lt;U$215,0,IF(ROUND(INDEX('Useful Life &amp; SG&amp;A Build'!$A$9:$B$12,4,2),0)+$A219=U$215,0.5*IFERROR(INDEX('Useful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V219" s="563">
        <f>IF($A219+1&gt;V$215,0,IF(ROUND(INDEX('Useful Life &amp; SG&amp;A Build'!$A$9:$B$12,4,2),0)+$A219&lt;V$215,0,IF(ROUND(INDEX('Useful Life &amp; SG&amp;A Build'!$A$9:$B$12,4,2),0)+$A219=V$215,0.5*IFERROR(INDEX('Useful Life &amp; SG&amp;A Build'!$A$3:$K$6,4,MATCH($A219,'Useful Life &amp; SG&amp;A Build'!$A$3:$K$3,0))/INDEX('Useful Life &amp; SG&amp;A Build'!$A$9:$B$12,4,2),0),IFERROR(INDEX('Useful Life &amp; SG&amp;A Build'!$A$3:$K$6,4,MATCH($A219,'Useful Life &amp; SG&amp;A Build'!$A$3:$K$3,0))/INDEX('Useful Life &amp; SG&amp;A Build'!$A$9:$B$12,4,2),0))))</f>
        <v>0</v>
      </c>
      <c r="W219" s="263"/>
      <c r="X219" s="263"/>
      <c r="Y219" s="263"/>
      <c r="Z219" s="565"/>
      <c r="AA219" s="263"/>
      <c r="AB219" s="263"/>
    </row>
    <row r="220" spans="1:28" ht="16" outlineLevel="1" x14ac:dyDescent="0.2">
      <c r="A220" s="562">
        <f t="shared" si="95"/>
        <v>2021</v>
      </c>
      <c r="L220" s="563">
        <f>IF($A220+1&gt;L$215,0,IF(ROUND(INDEX('Useful Life &amp; SG&amp;A Build'!$A$9:$B$12,4,2),0)+$A220&lt;L$215,0,IF(ROUND(INDEX('Useful Life &amp; SG&amp;A Build'!$A$9:$B$12,4,2),0)+$A220=L$215,0.5*IFERROR(INDEX('Useful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M220" s="563">
        <f>IF($A220+1&gt;M$215,0,IF(ROUND(INDEX('Useful Life &amp; SG&amp;A Build'!$A$9:$B$12,4,2),0)+$A220&lt;M$215,0,IF(ROUND(INDEX('Useful Life &amp; SG&amp;A Build'!$A$9:$B$12,4,2),0)+$A220=M$215,0.5*IFERROR(INDEX('Useful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119.77777777777777</v>
      </c>
      <c r="N220" s="563">
        <f>IF($A220+1&gt;N$215,0,IF(ROUND(INDEX('Useful Life &amp; SG&amp;A Build'!$A$9:$B$12,4,2),0)+$A220&lt;N$215,0,IF(ROUND(INDEX('Useful Life &amp; SG&amp;A Build'!$A$9:$B$12,4,2),0)+$A220=N$215,0.5*IFERROR(INDEX('Useful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119.77777777777777</v>
      </c>
      <c r="O220" s="563">
        <f>IF($A220+1&gt;O$215,0,IF(ROUND(INDEX('Useful Life &amp; SG&amp;A Build'!$A$9:$B$12,4,2),0)+$A220&lt;O$215,0,IF(ROUND(INDEX('Useful Life &amp; SG&amp;A Build'!$A$9:$B$12,4,2),0)+$A220=O$215,0.5*IFERROR(INDEX('Useful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119.77777777777777</v>
      </c>
      <c r="P220" s="563">
        <f>IF($A220+1&gt;P$215,0,IF(ROUND(INDEX('Useful Life &amp; SG&amp;A Build'!$A$9:$B$12,4,2),0)+$A220&lt;P$215,0,IF(ROUND(INDEX('Useful Life &amp; SG&amp;A Build'!$A$9:$B$12,4,2),0)+$A220=P$215,0.5*IFERROR(INDEX('Useful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119.77777777777777</v>
      </c>
      <c r="Q220" s="563">
        <f>IF($A220+1&gt;Q$215,0,IF(ROUND(INDEX('Useful Life &amp; SG&amp;A Build'!$A$9:$B$12,4,2),0)+$A220&lt;Q$215,0,IF(ROUND(INDEX('Useful Life &amp; SG&amp;A Build'!$A$9:$B$12,4,2),0)+$A220=Q$215,0.5*IFERROR(INDEX('Useful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59.888888888888886</v>
      </c>
      <c r="R220" s="563">
        <f>IF($A220+1&gt;R$215,0,IF(ROUND(INDEX('Useful Life &amp; SG&amp;A Build'!$A$9:$B$12,4,2),0)+$A220&lt;R$215,0,IF(ROUND(INDEX('Useful Life &amp; SG&amp;A Build'!$A$9:$B$12,4,2),0)+$A220=R$215,0.5*IFERROR(INDEX('Useful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S220" s="563">
        <f>IF($A220+1&gt;S$215,0,IF(ROUND(INDEX('Useful Life &amp; SG&amp;A Build'!$A$9:$B$12,4,2),0)+$A220&lt;S$215,0,IF(ROUND(INDEX('Useful Life &amp; SG&amp;A Build'!$A$9:$B$12,4,2),0)+$A220=S$215,0.5*IFERROR(INDEX('Useful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T220" s="563">
        <f>IF($A220+1&gt;T$215,0,IF(ROUND(INDEX('Useful Life &amp; SG&amp;A Build'!$A$9:$B$12,4,2),0)+$A220&lt;T$215,0,IF(ROUND(INDEX('Useful Life &amp; SG&amp;A Build'!$A$9:$B$12,4,2),0)+$A220=T$215,0.5*IFERROR(INDEX('Useful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U220" s="563">
        <f>IF($A220+1&gt;U$215,0,IF(ROUND(INDEX('Useful Life &amp; SG&amp;A Build'!$A$9:$B$12,4,2),0)+$A220&lt;U$215,0,IF(ROUND(INDEX('Useful Life &amp; SG&amp;A Build'!$A$9:$B$12,4,2),0)+$A220=U$215,0.5*IFERROR(INDEX('Useful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V220" s="563">
        <f>IF($A220+1&gt;V$215,0,IF(ROUND(INDEX('Useful Life &amp; SG&amp;A Build'!$A$9:$B$12,4,2),0)+$A220&lt;V$215,0,IF(ROUND(INDEX('Useful Life &amp; SG&amp;A Build'!$A$9:$B$12,4,2),0)+$A220=V$215,0.5*IFERROR(INDEX('Useful Life &amp; SG&amp;A Build'!$A$3:$K$6,4,MATCH($A220,'Useful Life &amp; SG&amp;A Build'!$A$3:$K$3,0))/INDEX('Useful Life &amp; SG&amp;A Build'!$A$9:$B$12,4,2),0),IFERROR(INDEX('Useful Life &amp; SG&amp;A Build'!$A$3:$K$6,4,MATCH($A220,'Useful Life &amp; SG&amp;A Build'!$A$3:$K$3,0))/INDEX('Useful Life &amp; SG&amp;A Build'!$A$9:$B$12,4,2),0))))</f>
        <v>0</v>
      </c>
      <c r="W220" s="263"/>
      <c r="X220" s="263"/>
      <c r="Y220" s="263"/>
      <c r="Z220" s="565"/>
      <c r="AA220" s="263"/>
      <c r="AB220" s="263"/>
    </row>
    <row r="221" spans="1:28" ht="16" outlineLevel="1" x14ac:dyDescent="0.2">
      <c r="A221" s="562">
        <f t="shared" si="95"/>
        <v>2022</v>
      </c>
      <c r="L221" s="563">
        <f>IF($A221+1&gt;L$215,0,IF(ROUND(INDEX('Useful Life &amp; SG&amp;A Build'!$A$9:$B$12,4,2),0)+$A221&lt;L$215,0,IF(ROUND(INDEX('Useful Life &amp; SG&amp;A Build'!$A$9:$B$12,4,2),0)+$A221=L$215,0.5*IFERROR(INDEX('Useful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M221" s="563">
        <f>IF($A221+1&gt;M$215,0,IF(ROUND(INDEX('Useful Life &amp; SG&amp;A Build'!$A$9:$B$12,4,2),0)+$A221&lt;M$215,0,IF(ROUND(INDEX('Useful Life &amp; SG&amp;A Build'!$A$9:$B$12,4,2),0)+$A221=M$215,0.5*IFERROR(INDEX('Useful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N221" s="563">
        <f>IF($A221+1&gt;N$215,0,IF(ROUND(INDEX('Useful Life &amp; SG&amp;A Build'!$A$9:$B$12,4,2),0)+$A221&lt;N$215,0,IF(ROUND(INDEX('Useful Life &amp; SG&amp;A Build'!$A$9:$B$12,4,2),0)+$A221=N$215,0.5*IFERROR(INDEX('Useful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122</v>
      </c>
      <c r="O221" s="563">
        <f>IF($A221+1&gt;O$215,0,IF(ROUND(INDEX('Useful Life &amp; SG&amp;A Build'!$A$9:$B$12,4,2),0)+$A221&lt;O$215,0,IF(ROUND(INDEX('Useful Life &amp; SG&amp;A Build'!$A$9:$B$12,4,2),0)+$A221=O$215,0.5*IFERROR(INDEX('Useful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122</v>
      </c>
      <c r="P221" s="563">
        <f>IF($A221+1&gt;P$215,0,IF(ROUND(INDEX('Useful Life &amp; SG&amp;A Build'!$A$9:$B$12,4,2),0)+$A221&lt;P$215,0,IF(ROUND(INDEX('Useful Life &amp; SG&amp;A Build'!$A$9:$B$12,4,2),0)+$A221=P$215,0.5*IFERROR(INDEX('Useful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122</v>
      </c>
      <c r="Q221" s="563">
        <f>IF($A221+1&gt;Q$215,0,IF(ROUND(INDEX('Useful Life &amp; SG&amp;A Build'!$A$9:$B$12,4,2),0)+$A221&lt;Q$215,0,IF(ROUND(INDEX('Useful Life &amp; SG&amp;A Build'!$A$9:$B$12,4,2),0)+$A221=Q$215,0.5*IFERROR(INDEX('Useful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122</v>
      </c>
      <c r="R221" s="563">
        <f>IF($A221+1&gt;R$215,0,IF(ROUND(INDEX('Useful Life &amp; SG&amp;A Build'!$A$9:$B$12,4,2),0)+$A221&lt;R$215,0,IF(ROUND(INDEX('Useful Life &amp; SG&amp;A Build'!$A$9:$B$12,4,2),0)+$A221=R$215,0.5*IFERROR(INDEX('Useful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61</v>
      </c>
      <c r="S221" s="563">
        <f>IF($A221+1&gt;S$215,0,IF(ROUND(INDEX('Useful Life &amp; SG&amp;A Build'!$A$9:$B$12,4,2),0)+$A221&lt;S$215,0,IF(ROUND(INDEX('Useful Life &amp; SG&amp;A Build'!$A$9:$B$12,4,2),0)+$A221=S$215,0.5*IFERROR(INDEX('Useful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T221" s="563">
        <f>IF($A221+1&gt;T$215,0,IF(ROUND(INDEX('Useful Life &amp; SG&amp;A Build'!$A$9:$B$12,4,2),0)+$A221&lt;T$215,0,IF(ROUND(INDEX('Useful Life &amp; SG&amp;A Build'!$A$9:$B$12,4,2),0)+$A221=T$215,0.5*IFERROR(INDEX('Useful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U221" s="563">
        <f>IF($A221+1&gt;U$215,0,IF(ROUND(INDEX('Useful Life &amp; SG&amp;A Build'!$A$9:$B$12,4,2),0)+$A221&lt;U$215,0,IF(ROUND(INDEX('Useful Life &amp; SG&amp;A Build'!$A$9:$B$12,4,2),0)+$A221=U$215,0.5*IFERROR(INDEX('Useful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V221" s="563">
        <f>IF($A221+1&gt;V$215,0,IF(ROUND(INDEX('Useful Life &amp; SG&amp;A Build'!$A$9:$B$12,4,2),0)+$A221&lt;V$215,0,IF(ROUND(INDEX('Useful Life &amp; SG&amp;A Build'!$A$9:$B$12,4,2),0)+$A221=V$215,0.5*IFERROR(INDEX('Useful Life &amp; SG&amp;A Build'!$A$3:$K$6,4,MATCH($A221,'Useful Life &amp; SG&amp;A Build'!$A$3:$K$3,0))/INDEX('Useful Life &amp; SG&amp;A Build'!$A$9:$B$12,4,2),0),IFERROR(INDEX('Useful Life &amp; SG&amp;A Build'!$A$3:$K$6,4,MATCH($A221,'Useful Life &amp; SG&amp;A Build'!$A$3:$K$3,0))/INDEX('Useful Life &amp; SG&amp;A Build'!$A$9:$B$12,4,2),0))))</f>
        <v>0</v>
      </c>
      <c r="W221" s="263"/>
      <c r="X221" s="263"/>
      <c r="Y221" s="263"/>
      <c r="Z221" s="565"/>
      <c r="AA221" s="263"/>
      <c r="AB221" s="263"/>
    </row>
    <row r="222" spans="1:28" ht="16" outlineLevel="1" x14ac:dyDescent="0.2">
      <c r="A222" s="562">
        <f t="shared" si="95"/>
        <v>2023</v>
      </c>
      <c r="L222" s="563">
        <f>IF($A222+1&gt;L$215,0,IF(ROUND(INDEX('Useful Life &amp; SG&amp;A Build'!$A$9:$B$12,4,2),0)+$A222&lt;L$215,0,IF(ROUND(INDEX('Useful Life &amp; SG&amp;A Build'!$A$9:$B$12,4,2),0)+$A222=L$215,0.5*IFERROR(INDEX('Useful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M222" s="563">
        <f>IF($A222+1&gt;M$215,0,IF(ROUND(INDEX('Useful Life &amp; SG&amp;A Build'!$A$9:$B$12,4,2),0)+$A222&lt;M$215,0,IF(ROUND(INDEX('Useful Life &amp; SG&amp;A Build'!$A$9:$B$12,4,2),0)+$A222=M$215,0.5*IFERROR(INDEX('Useful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N222" s="563">
        <f>IF($A222+1&gt;N$215,0,IF(ROUND(INDEX('Useful Life &amp; SG&amp;A Build'!$A$9:$B$12,4,2),0)+$A222&lt;N$215,0,IF(ROUND(INDEX('Useful Life &amp; SG&amp;A Build'!$A$9:$B$12,4,2),0)+$A222=N$215,0.5*IFERROR(INDEX('Useful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O222" s="563">
        <f>IF($A222+1&gt;O$215,0,IF(ROUND(INDEX('Useful Life &amp; SG&amp;A Build'!$A$9:$B$12,4,2),0)+$A222&lt;O$215,0,IF(ROUND(INDEX('Useful Life &amp; SG&amp;A Build'!$A$9:$B$12,4,2),0)+$A222=O$215,0.5*IFERROR(INDEX('Useful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120</v>
      </c>
      <c r="P222" s="563">
        <f>IF($A222+1&gt;P$215,0,IF(ROUND(INDEX('Useful Life &amp; SG&amp;A Build'!$A$9:$B$12,4,2),0)+$A222&lt;P$215,0,IF(ROUND(INDEX('Useful Life &amp; SG&amp;A Build'!$A$9:$B$12,4,2),0)+$A222=P$215,0.5*IFERROR(INDEX('Useful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120</v>
      </c>
      <c r="Q222" s="563">
        <f>IF($A222+1&gt;Q$215,0,IF(ROUND(INDEX('Useful Life &amp; SG&amp;A Build'!$A$9:$B$12,4,2),0)+$A222&lt;Q$215,0,IF(ROUND(INDEX('Useful Life &amp; SG&amp;A Build'!$A$9:$B$12,4,2),0)+$A222=Q$215,0.5*IFERROR(INDEX('Useful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120</v>
      </c>
      <c r="R222" s="563">
        <f>IF($A222+1&gt;R$215,0,IF(ROUND(INDEX('Useful Life &amp; SG&amp;A Build'!$A$9:$B$12,4,2),0)+$A222&lt;R$215,0,IF(ROUND(INDEX('Useful Life &amp; SG&amp;A Build'!$A$9:$B$12,4,2),0)+$A222=R$215,0.5*IFERROR(INDEX('Useful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120</v>
      </c>
      <c r="S222" s="563">
        <f>IF($A222+1&gt;S$215,0,IF(ROUND(INDEX('Useful Life &amp; SG&amp;A Build'!$A$9:$B$12,4,2),0)+$A222&lt;S$215,0,IF(ROUND(INDEX('Useful Life &amp; SG&amp;A Build'!$A$9:$B$12,4,2),0)+$A222=S$215,0.5*IFERROR(INDEX('Useful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60</v>
      </c>
      <c r="T222" s="563">
        <f>IF($A222+1&gt;T$215,0,IF(ROUND(INDEX('Useful Life &amp; SG&amp;A Build'!$A$9:$B$12,4,2),0)+$A222&lt;T$215,0,IF(ROUND(INDEX('Useful Life &amp; SG&amp;A Build'!$A$9:$B$12,4,2),0)+$A222=T$215,0.5*IFERROR(INDEX('Useful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U222" s="563">
        <f>IF($A222+1&gt;U$215,0,IF(ROUND(INDEX('Useful Life &amp; SG&amp;A Build'!$A$9:$B$12,4,2),0)+$A222&lt;U$215,0,IF(ROUND(INDEX('Useful Life &amp; SG&amp;A Build'!$A$9:$B$12,4,2),0)+$A222=U$215,0.5*IFERROR(INDEX('Useful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V222" s="563">
        <f>IF($A222+1&gt;V$215,0,IF(ROUND(INDEX('Useful Life &amp; SG&amp;A Build'!$A$9:$B$12,4,2),0)+$A222&lt;V$215,0,IF(ROUND(INDEX('Useful Life &amp; SG&amp;A Build'!$A$9:$B$12,4,2),0)+$A222=V$215,0.5*IFERROR(INDEX('Useful Life &amp; SG&amp;A Build'!$A$3:$K$6,4,MATCH($A222,'Useful Life &amp; SG&amp;A Build'!$A$3:$K$3,0))/INDEX('Useful Life &amp; SG&amp;A Build'!$A$9:$B$12,4,2),0),IFERROR(INDEX('Useful Life &amp; SG&amp;A Build'!$A$3:$K$6,4,MATCH($A222,'Useful Life &amp; SG&amp;A Build'!$A$3:$K$3,0))/INDEX('Useful Life &amp; SG&amp;A Build'!$A$9:$B$12,4,2),0))))</f>
        <v>0</v>
      </c>
      <c r="W222" s="263"/>
      <c r="X222" s="263"/>
      <c r="Y222" s="263"/>
      <c r="Z222" s="565"/>
      <c r="AA222" s="263"/>
      <c r="AB222" s="263"/>
    </row>
    <row r="223" spans="1:28" ht="16" outlineLevel="1" x14ac:dyDescent="0.2">
      <c r="A223" s="562">
        <f t="shared" si="95"/>
        <v>2024</v>
      </c>
      <c r="L223" s="563">
        <f>IF($A223+1&gt;L$215,0,IF(ROUND(INDEX('Useful Life &amp; SG&amp;A Build'!$A$9:$B$12,4,2),0)+$A223&lt;L$215,0,IF(ROUND(INDEX('Useful Life &amp; SG&amp;A Build'!$A$9:$B$12,4,2),0)+$A223=L$215,0.5*IFERROR(INDEX('Useful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M223" s="563">
        <f>IF($A223+1&gt;M$215,0,IF(ROUND(INDEX('Useful Life &amp; SG&amp;A Build'!$A$9:$B$12,4,2),0)+$A223&lt;M$215,0,IF(ROUND(INDEX('Useful Life &amp; SG&amp;A Build'!$A$9:$B$12,4,2),0)+$A223=M$215,0.5*IFERROR(INDEX('Useful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N223" s="563">
        <f>IF($A223+1&gt;N$215,0,IF(ROUND(INDEX('Useful Life &amp; SG&amp;A Build'!$A$9:$B$12,4,2),0)+$A223&lt;N$215,0,IF(ROUND(INDEX('Useful Life &amp; SG&amp;A Build'!$A$9:$B$12,4,2),0)+$A223=N$215,0.5*IFERROR(INDEX('Useful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O223" s="563">
        <f>IF($A223+1&gt;O$215,0,IF(ROUND(INDEX('Useful Life &amp; SG&amp;A Build'!$A$9:$B$12,4,2),0)+$A223&lt;O$215,0,IF(ROUND(INDEX('Useful Life &amp; SG&amp;A Build'!$A$9:$B$12,4,2),0)+$A223=O$215,0.5*IFERROR(INDEX('Useful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P223" s="563">
        <f>IF($A223+1&gt;P$215,0,IF(ROUND(INDEX('Useful Life &amp; SG&amp;A Build'!$A$9:$B$12,4,2),0)+$A223&lt;P$215,0,IF(ROUND(INDEX('Useful Life &amp; SG&amp;A Build'!$A$9:$B$12,4,2),0)+$A223=P$215,0.5*IFERROR(INDEX('Useful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110.22222222222223</v>
      </c>
      <c r="Q223" s="563">
        <f>IF($A223+1&gt;Q$215,0,IF(ROUND(INDEX('Useful Life &amp; SG&amp;A Build'!$A$9:$B$12,4,2),0)+$A223&lt;Q$215,0,IF(ROUND(INDEX('Useful Life &amp; SG&amp;A Build'!$A$9:$B$12,4,2),0)+$A223=Q$215,0.5*IFERROR(INDEX('Useful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110.22222222222223</v>
      </c>
      <c r="R223" s="563">
        <f>IF($A223+1&gt;R$215,0,IF(ROUND(INDEX('Useful Life &amp; SG&amp;A Build'!$A$9:$B$12,4,2),0)+$A223&lt;R$215,0,IF(ROUND(INDEX('Useful Life &amp; SG&amp;A Build'!$A$9:$B$12,4,2),0)+$A223=R$215,0.5*IFERROR(INDEX('Useful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110.22222222222223</v>
      </c>
      <c r="S223" s="563">
        <f>IF($A223+1&gt;S$215,0,IF(ROUND(INDEX('Useful Life &amp; SG&amp;A Build'!$A$9:$B$12,4,2),0)+$A223&lt;S$215,0,IF(ROUND(INDEX('Useful Life &amp; SG&amp;A Build'!$A$9:$B$12,4,2),0)+$A223=S$215,0.5*IFERROR(INDEX('Useful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110.22222222222223</v>
      </c>
      <c r="T223" s="563">
        <f>IF($A223+1&gt;T$215,0,IF(ROUND(INDEX('Useful Life &amp; SG&amp;A Build'!$A$9:$B$12,4,2),0)+$A223&lt;T$215,0,IF(ROUND(INDEX('Useful Life &amp; SG&amp;A Build'!$A$9:$B$12,4,2),0)+$A223=T$215,0.5*IFERROR(INDEX('Useful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55.111111111111114</v>
      </c>
      <c r="U223" s="563">
        <f>IF($A223+1&gt;U$215,0,IF(ROUND(INDEX('Useful Life &amp; SG&amp;A Build'!$A$9:$B$12,4,2),0)+$A223&lt;U$215,0,IF(ROUND(INDEX('Useful Life &amp; SG&amp;A Build'!$A$9:$B$12,4,2),0)+$A223=U$215,0.5*IFERROR(INDEX('Useful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V223" s="563">
        <f>IF($A223+1&gt;V$215,0,IF(ROUND(INDEX('Useful Life &amp; SG&amp;A Build'!$A$9:$B$12,4,2),0)+$A223&lt;V$215,0,IF(ROUND(INDEX('Useful Life &amp; SG&amp;A Build'!$A$9:$B$12,4,2),0)+$A223=V$215,0.5*IFERROR(INDEX('Useful Life &amp; SG&amp;A Build'!$A$3:$K$6,4,MATCH($A223,'Useful Life &amp; SG&amp;A Build'!$A$3:$K$3,0))/INDEX('Useful Life &amp; SG&amp;A Build'!$A$9:$B$12,4,2),0),IFERROR(INDEX('Useful Life &amp; SG&amp;A Build'!$A$3:$K$6,4,MATCH($A223,'Useful Life &amp; SG&amp;A Build'!$A$3:$K$3,0))/INDEX('Useful Life &amp; SG&amp;A Build'!$A$9:$B$12,4,2),0))))</f>
        <v>0</v>
      </c>
      <c r="W223" s="263"/>
      <c r="X223" s="263"/>
      <c r="Y223" s="263"/>
      <c r="Z223" s="565"/>
      <c r="AA223" s="263"/>
      <c r="AB223" s="263"/>
    </row>
    <row r="224" spans="1:28" ht="16" outlineLevel="1" x14ac:dyDescent="0.2">
      <c r="A224" s="562">
        <f t="shared" si="95"/>
        <v>2025</v>
      </c>
      <c r="L224" s="563">
        <f>IF($A224+1&gt;L$215,0,IF(ROUND(INDEX('Useful Life &amp; SG&amp;A Build'!$A$9:$B$12,4,2),0)+$A224&lt;L$215,0,IF(ROUND(INDEX('Useful Life &amp; SG&amp;A Build'!$A$9:$B$12,4,2),0)+$A224=L$215,0.5*IFERROR(INDEX('Useful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M224" s="563">
        <f>IF($A224+1&gt;M$215,0,IF(ROUND(INDEX('Useful Life &amp; SG&amp;A Build'!$A$9:$B$12,4,2),0)+$A224&lt;M$215,0,IF(ROUND(INDEX('Useful Life &amp; SG&amp;A Build'!$A$9:$B$12,4,2),0)+$A224=M$215,0.5*IFERROR(INDEX('Useful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N224" s="563">
        <f>IF($A224+1&gt;N$215,0,IF(ROUND(INDEX('Useful Life &amp; SG&amp;A Build'!$A$9:$B$12,4,2),0)+$A224&lt;N$215,0,IF(ROUND(INDEX('Useful Life &amp; SG&amp;A Build'!$A$9:$B$12,4,2),0)+$A224=N$215,0.5*IFERROR(INDEX('Useful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O224" s="563">
        <f>IF($A224+1&gt;O$215,0,IF(ROUND(INDEX('Useful Life &amp; SG&amp;A Build'!$A$9:$B$12,4,2),0)+$A224&lt;O$215,0,IF(ROUND(INDEX('Useful Life &amp; SG&amp;A Build'!$A$9:$B$12,4,2),0)+$A224=O$215,0.5*IFERROR(INDEX('Useful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P224" s="563">
        <f>IF($A224+1&gt;P$215,0,IF(ROUND(INDEX('Useful Life &amp; SG&amp;A Build'!$A$9:$B$12,4,2),0)+$A224&lt;P$215,0,IF(ROUND(INDEX('Useful Life &amp; SG&amp;A Build'!$A$9:$B$12,4,2),0)+$A224=P$215,0.5*IFERROR(INDEX('Useful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Q224" s="563">
        <f>IF($A224+1&gt;Q$215,0,IF(ROUND(INDEX('Useful Life &amp; SG&amp;A Build'!$A$9:$B$12,4,2),0)+$A224&lt;Q$215,0,IF(ROUND(INDEX('Useful Life &amp; SG&amp;A Build'!$A$9:$B$12,4,2),0)+$A224=Q$215,0.5*IFERROR(INDEX('Useful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38.933333333333337</v>
      </c>
      <c r="R224" s="563">
        <f>IF($A224+1&gt;R$215,0,IF(ROUND(INDEX('Useful Life &amp; SG&amp;A Build'!$A$9:$B$12,4,2),0)+$A224&lt;R$215,0,IF(ROUND(INDEX('Useful Life &amp; SG&amp;A Build'!$A$9:$B$12,4,2),0)+$A224=R$215,0.5*IFERROR(INDEX('Useful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38.933333333333337</v>
      </c>
      <c r="S224" s="563">
        <f>IF($A224+1&gt;S$215,0,IF(ROUND(INDEX('Useful Life &amp; SG&amp;A Build'!$A$9:$B$12,4,2),0)+$A224&lt;S$215,0,IF(ROUND(INDEX('Useful Life &amp; SG&amp;A Build'!$A$9:$B$12,4,2),0)+$A224=S$215,0.5*IFERROR(INDEX('Useful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38.933333333333337</v>
      </c>
      <c r="T224" s="563">
        <f>IF($A224+1&gt;T$215,0,IF(ROUND(INDEX('Useful Life &amp; SG&amp;A Build'!$A$9:$B$12,4,2),0)+$A224&lt;T$215,0,IF(ROUND(INDEX('Useful Life &amp; SG&amp;A Build'!$A$9:$B$12,4,2),0)+$A224=T$215,0.5*IFERROR(INDEX('Useful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38.933333333333337</v>
      </c>
      <c r="U224" s="563">
        <f>IF($A224+1&gt;U$215,0,IF(ROUND(INDEX('Useful Life &amp; SG&amp;A Build'!$A$9:$B$12,4,2),0)+$A224&lt;U$215,0,IF(ROUND(INDEX('Useful Life &amp; SG&amp;A Build'!$A$9:$B$12,4,2),0)+$A224=U$215,0.5*IFERROR(INDEX('Useful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19.466666666666669</v>
      </c>
      <c r="V224" s="563">
        <f>IF($A224+1&gt;V$215,0,IF(ROUND(INDEX('Useful Life &amp; SG&amp;A Build'!$A$9:$B$12,4,2),0)+$A224&lt;V$215,0,IF(ROUND(INDEX('Useful Life &amp; SG&amp;A Build'!$A$9:$B$12,4,2),0)+$A224=V$215,0.5*IFERROR(INDEX('Useful Life &amp; SG&amp;A Build'!$A$3:$K$6,4,MATCH($A224,'Useful Life &amp; SG&amp;A Build'!$A$3:$K$3,0))/INDEX('Useful Life &amp; SG&amp;A Build'!$A$9:$B$12,4,2),0),IFERROR(INDEX('Useful Life &amp; SG&amp;A Build'!$A$3:$K$6,4,MATCH($A224,'Useful Life &amp; SG&amp;A Build'!$A$3:$K$3,0))/INDEX('Useful Life &amp; SG&amp;A Build'!$A$9:$B$12,4,2),0))))</f>
        <v>0</v>
      </c>
      <c r="W224" s="263"/>
      <c r="X224" s="263"/>
      <c r="Y224" s="263"/>
      <c r="Z224" s="565"/>
      <c r="AA224" s="263"/>
      <c r="AB224" s="263"/>
    </row>
    <row r="225" spans="1:28" ht="16" outlineLevel="1" x14ac:dyDescent="0.2">
      <c r="A225" s="562">
        <f t="shared" si="95"/>
        <v>2026</v>
      </c>
      <c r="L225" s="563">
        <f>-IF($A225+1&gt;L$215,0,IF(ROUND(INDEX('Useful Life &amp; SG&amp;A Build'!$A$9:$B$12,3,2),0)+$A225&lt;L$215,0,IF(ROUND(INDEX('Useful Life &amp; SG&amp;A Build'!$A$9:$B$12,3,2),0)+$A225=L$215,0.5*IFERROR($Q$156/INDEX('Useful Life &amp; SG&amp;A Build'!$A$9:$B$12,3,2),0),IFERROR($Q$156/INDEX('Useful Life &amp; SG&amp;A Build'!$A$9:$B$12,3,2),0))))</f>
        <v>0</v>
      </c>
      <c r="M225" s="563">
        <f>-IF($A225+1&gt;M$215,0,IF(ROUND(INDEX('Useful Life &amp; SG&amp;A Build'!$A$9:$B$12,3,2),0)+$A225&lt;M$215,0,IF(ROUND(INDEX('Useful Life &amp; SG&amp;A Build'!$A$9:$B$12,3,2),0)+$A225=M$215,0.5*IFERROR($Q$156/INDEX('Useful Life &amp; SG&amp;A Build'!$A$9:$B$12,3,2),0),IFERROR($Q$156/INDEX('Useful Life &amp; SG&amp;A Build'!$A$9:$B$12,3,2),0))))</f>
        <v>0</v>
      </c>
      <c r="N225" s="563">
        <f>-IF($A225+1&gt;N$215,0,IF(ROUND(INDEX('Useful Life &amp; SG&amp;A Build'!$A$9:$B$12,3,2),0)+$A225&lt;N$215,0,IF(ROUND(INDEX('Useful Life &amp; SG&amp;A Build'!$A$9:$B$12,3,2),0)+$A225=N$215,0.5*IFERROR($Q$156/INDEX('Useful Life &amp; SG&amp;A Build'!$A$9:$B$12,3,2),0),IFERROR($Q$156/INDEX('Useful Life &amp; SG&amp;A Build'!$A$9:$B$12,3,2),0))))</f>
        <v>0</v>
      </c>
      <c r="O225" s="563">
        <f>-IF($A225+1&gt;O$215,0,IF(ROUND(INDEX('Useful Life &amp; SG&amp;A Build'!$A$9:$B$12,3,2),0)+$A225&lt;O$215,0,IF(ROUND(INDEX('Useful Life &amp; SG&amp;A Build'!$A$9:$B$12,3,2),0)+$A225=O$215,0.5*IFERROR($Q$156/INDEX('Useful Life &amp; SG&amp;A Build'!$A$9:$B$12,3,2),0),IFERROR($Q$156/INDEX('Useful Life &amp; SG&amp;A Build'!$A$9:$B$12,3,2),0))))</f>
        <v>0</v>
      </c>
      <c r="P225" s="563">
        <f>-IF($A225+1&gt;P$215,0,IF(ROUND(INDEX('Useful Life &amp; SG&amp;A Build'!$A$9:$B$12,3,2),0)+$A225&lt;P$215,0,IF(ROUND(INDEX('Useful Life &amp; SG&amp;A Build'!$A$9:$B$12,3,2),0)+$A225=P$215,0.5*IFERROR($Q$156/INDEX('Useful Life &amp; SG&amp;A Build'!$A$9:$B$12,3,2),0),IFERROR($Q$156/INDEX('Useful Life &amp; SG&amp;A Build'!$A$9:$B$12,3,2),0))))</f>
        <v>0</v>
      </c>
      <c r="Q225" s="563">
        <f>-IF($A225+1&gt;Q$215,0,IF(ROUND(INDEX('Useful Life &amp; SG&amp;A Build'!$A$9:$B$12,3,2),0)+$A225&lt;Q$215,0,IF(ROUND(INDEX('Useful Life &amp; SG&amp;A Build'!$A$9:$B$12,3,2),0)+$A225=Q$215,0.5*IFERROR($Q$156/INDEX('Useful Life &amp; SG&amp;A Build'!$A$9:$B$12,3,2),0),IFERROR($Q$156/INDEX('Useful Life &amp; SG&amp;A Build'!$A$9:$B$12,3,2),0))))</f>
        <v>0</v>
      </c>
      <c r="R225" s="563">
        <f>-IF($A225+1&gt;R$215,0,IF(ROUND(INDEX('Useful Life &amp; SG&amp;A Build'!$A$9:$B$12,3,2),0)+$A225&lt;R$215,0,IF(ROUND(INDEX('Useful Life &amp; SG&amp;A Build'!$A$9:$B$12,3,2),0)+$A225=R$215,0.5*IFERROR($Q$156/INDEX('Useful Life &amp; SG&amp;A Build'!$A$9:$B$12,3,2),0),IFERROR($Q$156/INDEX('Useful Life &amp; SG&amp;A Build'!$A$9:$B$12,3,2),0))))</f>
        <v>60.831866703998031</v>
      </c>
      <c r="S225" s="563">
        <f>-IF($A225+1&gt;S$215,0,IF(ROUND(INDEX('Useful Life &amp; SG&amp;A Build'!$A$9:$B$12,3,2),0)+$A225&lt;S$215,0,IF(ROUND(INDEX('Useful Life &amp; SG&amp;A Build'!$A$9:$B$12,3,2),0)+$A225=S$215,0.5*IFERROR($Q$156/INDEX('Useful Life &amp; SG&amp;A Build'!$A$9:$B$12,3,2),0),IFERROR($Q$156/INDEX('Useful Life &amp; SG&amp;A Build'!$A$9:$B$12,3,2),0))))</f>
        <v>60.831866703998031</v>
      </c>
      <c r="T225" s="563">
        <f>-IF($A225+1&gt;T$215,0,IF(ROUND(INDEX('Useful Life &amp; SG&amp;A Build'!$A$9:$B$12,3,2),0)+$A225&lt;T$215,0,IF(ROUND(INDEX('Useful Life &amp; SG&amp;A Build'!$A$9:$B$12,3,2),0)+$A225=T$215,0.5*IFERROR($Q$156/INDEX('Useful Life &amp; SG&amp;A Build'!$A$9:$B$12,3,2),0),IFERROR($Q$156/INDEX('Useful Life &amp; SG&amp;A Build'!$A$9:$B$12,3,2),0))))</f>
        <v>60.831866703998031</v>
      </c>
      <c r="U225" s="563">
        <f>-IF($A225+1&gt;U$215,0,IF(ROUND(INDEX('Useful Life &amp; SG&amp;A Build'!$A$9:$B$12,3,2),0)+$A225&lt;U$215,0,IF(ROUND(INDEX('Useful Life &amp; SG&amp;A Build'!$A$9:$B$12,3,2),0)+$A225=U$215,0.5*IFERROR($Q$156/INDEX('Useful Life &amp; SG&amp;A Build'!$A$9:$B$12,3,2),0),IFERROR($Q$156/INDEX('Useful Life &amp; SG&amp;A Build'!$A$9:$B$12,3,2),0))))</f>
        <v>60.831866703998031</v>
      </c>
      <c r="V225" s="563">
        <f>-IF($A225+1&gt;V$215,0,IF(ROUND(INDEX('Useful Life &amp; SG&amp;A Build'!$A$9:$B$12,3,2),0)+$A225&lt;V$215,0,IF(ROUND(INDEX('Useful Life &amp; SG&amp;A Build'!$A$9:$B$12,3,2),0)+$A225=V$215,0.5*IFERROR($Q$156/INDEX('Useful Life &amp; SG&amp;A Build'!$A$9:$B$12,3,2),0),IFERROR($Q$156/INDEX('Useful Life &amp; SG&amp;A Build'!$A$9:$B$12,3,2),0))))</f>
        <v>60.831866703998031</v>
      </c>
      <c r="W225" s="263"/>
      <c r="X225" s="263"/>
      <c r="Y225" s="263"/>
      <c r="Z225" s="565"/>
      <c r="AA225" s="263"/>
      <c r="AB225" s="263"/>
    </row>
    <row r="226" spans="1:28" ht="16" outlineLevel="1" x14ac:dyDescent="0.2">
      <c r="A226" s="562">
        <f t="shared" si="95"/>
        <v>2027</v>
      </c>
      <c r="L226" s="563">
        <f>-IF($A226+1&gt;L$215,0,IF(ROUND(INDEX('Useful Life &amp; SG&amp;A Build'!$A$9:$B$12,3,2),0)+$A226&lt;L$215,0,IF(ROUND(INDEX('Useful Life &amp; SG&amp;A Build'!$A$9:$B$12,3,2),0)+$A226=L$215,0.5*IFERROR($R$156/INDEX('Useful Life &amp; SG&amp;A Build'!$A$9:$B$12,3,2),0),IFERROR($R$156/INDEX('Useful Life &amp; SG&amp;A Build'!$A$9:$B$12,3,2),0))))</f>
        <v>0</v>
      </c>
      <c r="M226" s="563">
        <f>-IF($A226+1&gt;M$215,0,IF(ROUND(INDEX('Useful Life &amp; SG&amp;A Build'!$A$9:$B$12,3,2),0)+$A226&lt;M$215,0,IF(ROUND(INDEX('Useful Life &amp; SG&amp;A Build'!$A$9:$B$12,3,2),0)+$A226=M$215,0.5*IFERROR($R$156/INDEX('Useful Life &amp; SG&amp;A Build'!$A$9:$B$12,3,2),0),IFERROR($R$156/INDEX('Useful Life &amp; SG&amp;A Build'!$A$9:$B$12,3,2),0))))</f>
        <v>0</v>
      </c>
      <c r="N226" s="563">
        <f>-IF($A226+1&gt;N$215,0,IF(ROUND(INDEX('Useful Life &amp; SG&amp;A Build'!$A$9:$B$12,3,2),0)+$A226&lt;N$215,0,IF(ROUND(INDEX('Useful Life &amp; SG&amp;A Build'!$A$9:$B$12,3,2),0)+$A226=N$215,0.5*IFERROR($R$156/INDEX('Useful Life &amp; SG&amp;A Build'!$A$9:$B$12,3,2),0),IFERROR($R$156/INDEX('Useful Life &amp; SG&amp;A Build'!$A$9:$B$12,3,2),0))))</f>
        <v>0</v>
      </c>
      <c r="O226" s="563">
        <f>-IF($A226+1&gt;O$215,0,IF(ROUND(INDEX('Useful Life &amp; SG&amp;A Build'!$A$9:$B$12,3,2),0)+$A226&lt;O$215,0,IF(ROUND(INDEX('Useful Life &amp; SG&amp;A Build'!$A$9:$B$12,3,2),0)+$A226=O$215,0.5*IFERROR($R$156/INDEX('Useful Life &amp; SG&amp;A Build'!$A$9:$B$12,3,2),0),IFERROR($R$156/INDEX('Useful Life &amp; SG&amp;A Build'!$A$9:$B$12,3,2),0))))</f>
        <v>0</v>
      </c>
      <c r="P226" s="563">
        <f>-IF($A226+1&gt;P$215,0,IF(ROUND(INDEX('Useful Life &amp; SG&amp;A Build'!$A$9:$B$12,3,2),0)+$A226&lt;P$215,0,IF(ROUND(INDEX('Useful Life &amp; SG&amp;A Build'!$A$9:$B$12,3,2),0)+$A226=P$215,0.5*IFERROR($R$156/INDEX('Useful Life &amp; SG&amp;A Build'!$A$9:$B$12,3,2),0),IFERROR($R$156/INDEX('Useful Life &amp; SG&amp;A Build'!$A$9:$B$12,3,2),0))))</f>
        <v>0</v>
      </c>
      <c r="Q226" s="563">
        <f>-IF($A226+1&gt;Q$215,0,IF(ROUND(INDEX('Useful Life &amp; SG&amp;A Build'!$A$9:$B$12,3,2),0)+$A226&lt;Q$215,0,IF(ROUND(INDEX('Useful Life &amp; SG&amp;A Build'!$A$9:$B$12,3,2),0)+$A226=Q$215,0.5*IFERROR($R$156/INDEX('Useful Life &amp; SG&amp;A Build'!$A$9:$B$12,3,2),0),IFERROR($R$156/INDEX('Useful Life &amp; SG&amp;A Build'!$A$9:$B$12,3,2),0))))</f>
        <v>0</v>
      </c>
      <c r="R226" s="563">
        <f>-IF($A226+1&gt;R$215,0,IF(ROUND(INDEX('Useful Life &amp; SG&amp;A Build'!$A$9:$B$12,3,2),0)+$A226&lt;R$215,0,IF(ROUND(INDEX('Useful Life &amp; SG&amp;A Build'!$A$9:$B$12,3,2),0)+$A226=R$215,0.5*IFERROR($R$156/INDEX('Useful Life &amp; SG&amp;A Build'!$A$9:$B$12,3,2),0),IFERROR($R$156/INDEX('Useful Life &amp; SG&amp;A Build'!$A$9:$B$12,3,2),0))))</f>
        <v>0</v>
      </c>
      <c r="S226" s="563">
        <f>-IF($A226+1&gt;S$215,0,IF(ROUND(INDEX('Useful Life &amp; SG&amp;A Build'!$A$9:$B$12,3,2),0)+$A226&lt;S$215,0,IF(ROUND(INDEX('Useful Life &amp; SG&amp;A Build'!$A$9:$B$12,3,2),0)+$A226=S$215,0.5*IFERROR($R$156/INDEX('Useful Life &amp; SG&amp;A Build'!$A$9:$B$12,3,2),0),IFERROR($R$156/INDEX('Useful Life &amp; SG&amp;A Build'!$A$9:$B$12,3,2),0))))</f>
        <v>64.32338317693042</v>
      </c>
      <c r="T226" s="563">
        <f>-IF($A226+1&gt;T$215,0,IF(ROUND(INDEX('Useful Life &amp; SG&amp;A Build'!$A$9:$B$12,3,2),0)+$A226&lt;T$215,0,IF(ROUND(INDEX('Useful Life &amp; SG&amp;A Build'!$A$9:$B$12,3,2),0)+$A226=T$215,0.5*IFERROR($R$156/INDEX('Useful Life &amp; SG&amp;A Build'!$A$9:$B$12,3,2),0),IFERROR($R$156/INDEX('Useful Life &amp; SG&amp;A Build'!$A$9:$B$12,3,2),0))))</f>
        <v>64.32338317693042</v>
      </c>
      <c r="U226" s="563">
        <f>-IF($A226+1&gt;U$215,0,IF(ROUND(INDEX('Useful Life &amp; SG&amp;A Build'!$A$9:$B$12,3,2),0)+$A226&lt;U$215,0,IF(ROUND(INDEX('Useful Life &amp; SG&amp;A Build'!$A$9:$B$12,3,2),0)+$A226=U$215,0.5*IFERROR($R$156/INDEX('Useful Life &amp; SG&amp;A Build'!$A$9:$B$12,3,2),0),IFERROR($R$156/INDEX('Useful Life &amp; SG&amp;A Build'!$A$9:$B$12,3,2),0))))</f>
        <v>64.32338317693042</v>
      </c>
      <c r="V226" s="563">
        <f>-IF($A226+1&gt;V$215,0,IF(ROUND(INDEX('Useful Life &amp; SG&amp;A Build'!$A$9:$B$12,3,2),0)+$A226&lt;V$215,0,IF(ROUND(INDEX('Useful Life &amp; SG&amp;A Build'!$A$9:$B$12,3,2),0)+$A226=V$215,0.5*IFERROR($R$156/INDEX('Useful Life &amp; SG&amp;A Build'!$A$9:$B$12,3,2),0),IFERROR($R$156/INDEX('Useful Life &amp; SG&amp;A Build'!$A$9:$B$12,3,2),0))))</f>
        <v>64.32338317693042</v>
      </c>
      <c r="W226" s="263"/>
      <c r="X226" s="263"/>
      <c r="Y226" s="263"/>
      <c r="Z226" s="565"/>
      <c r="AA226" s="263"/>
      <c r="AB226" s="263"/>
    </row>
    <row r="227" spans="1:28" ht="16" outlineLevel="1" x14ac:dyDescent="0.2">
      <c r="A227" s="562">
        <f t="shared" si="95"/>
        <v>2028</v>
      </c>
      <c r="L227" s="563">
        <f>-IF($A227+1&gt;L$215,0,IF(ROUND(INDEX('Useful Life &amp; SG&amp;A Build'!$A$9:$B$12,3,2),0)+$A227&lt;L$215,0,IF(ROUND(INDEX('Useful Life &amp; SG&amp;A Build'!$A$9:$B$12,3,2),0)+$A227=L$215,0.5*IFERROR($S$156/INDEX('Useful Life &amp; SG&amp;A Build'!$A$9:$B$12,3,2),0),IFERROR($S$156/INDEX('Useful Life &amp; SG&amp;A Build'!$A$9:$B$12,3,2),0))))</f>
        <v>0</v>
      </c>
      <c r="M227" s="563">
        <f>-IF($A227+1&gt;M$215,0,IF(ROUND(INDEX('Useful Life &amp; SG&amp;A Build'!$A$9:$B$12,3,2),0)+$A227&lt;M$215,0,IF(ROUND(INDEX('Useful Life &amp; SG&amp;A Build'!$A$9:$B$12,3,2),0)+$A227=M$215,0.5*IFERROR($S$156/INDEX('Useful Life &amp; SG&amp;A Build'!$A$9:$B$12,3,2),0),IFERROR($S$156/INDEX('Useful Life &amp; SG&amp;A Build'!$A$9:$B$12,3,2),0))))</f>
        <v>0</v>
      </c>
      <c r="N227" s="563">
        <f>-IF($A227+1&gt;N$215,0,IF(ROUND(INDEX('Useful Life &amp; SG&amp;A Build'!$A$9:$B$12,3,2),0)+$A227&lt;N$215,0,IF(ROUND(INDEX('Useful Life &amp; SG&amp;A Build'!$A$9:$B$12,3,2),0)+$A227=N$215,0.5*IFERROR($S$156/INDEX('Useful Life &amp; SG&amp;A Build'!$A$9:$B$12,3,2),0),IFERROR($S$156/INDEX('Useful Life &amp; SG&amp;A Build'!$A$9:$B$12,3,2),0))))</f>
        <v>0</v>
      </c>
      <c r="O227" s="563">
        <f>-IF($A227+1&gt;O$215,0,IF(ROUND(INDEX('Useful Life &amp; SG&amp;A Build'!$A$9:$B$12,3,2),0)+$A227&lt;O$215,0,IF(ROUND(INDEX('Useful Life &amp; SG&amp;A Build'!$A$9:$B$12,3,2),0)+$A227=O$215,0.5*IFERROR($S$156/INDEX('Useful Life &amp; SG&amp;A Build'!$A$9:$B$12,3,2),0),IFERROR($S$156/INDEX('Useful Life &amp; SG&amp;A Build'!$A$9:$B$12,3,2),0))))</f>
        <v>0</v>
      </c>
      <c r="P227" s="563">
        <f>-IF($A227+1&gt;P$215,0,IF(ROUND(INDEX('Useful Life &amp; SG&amp;A Build'!$A$9:$B$12,3,2),0)+$A227&lt;P$215,0,IF(ROUND(INDEX('Useful Life &amp; SG&amp;A Build'!$A$9:$B$12,3,2),0)+$A227=P$215,0.5*IFERROR($S$156/INDEX('Useful Life &amp; SG&amp;A Build'!$A$9:$B$12,3,2),0),IFERROR($S$156/INDEX('Useful Life &amp; SG&amp;A Build'!$A$9:$B$12,3,2),0))))</f>
        <v>0</v>
      </c>
      <c r="Q227" s="563">
        <f>-IF($A227+1&gt;Q$215,0,IF(ROUND(INDEX('Useful Life &amp; SG&amp;A Build'!$A$9:$B$12,3,2),0)+$A227&lt;Q$215,0,IF(ROUND(INDEX('Useful Life &amp; SG&amp;A Build'!$A$9:$B$12,3,2),0)+$A227=Q$215,0.5*IFERROR($S$156/INDEX('Useful Life &amp; SG&amp;A Build'!$A$9:$B$12,3,2),0),IFERROR($S$156/INDEX('Useful Life &amp; SG&amp;A Build'!$A$9:$B$12,3,2),0))))</f>
        <v>0</v>
      </c>
      <c r="R227" s="563">
        <f>-IF($A227+1&gt;R$215,0,IF(ROUND(INDEX('Useful Life &amp; SG&amp;A Build'!$A$9:$B$12,3,2),0)+$A227&lt;R$215,0,IF(ROUND(INDEX('Useful Life &amp; SG&amp;A Build'!$A$9:$B$12,3,2),0)+$A227=R$215,0.5*IFERROR($S$156/INDEX('Useful Life &amp; SG&amp;A Build'!$A$9:$B$12,3,2),0),IFERROR($S$156/INDEX('Useful Life &amp; SG&amp;A Build'!$A$9:$B$12,3,2),0))))</f>
        <v>0</v>
      </c>
      <c r="S227" s="563">
        <f>-IF($A227+1&gt;S$215,0,IF(ROUND(INDEX('Useful Life &amp; SG&amp;A Build'!$A$9:$B$12,3,2),0)+$A227&lt;S$215,0,IF(ROUND(INDEX('Useful Life &amp; SG&amp;A Build'!$A$9:$B$12,3,2),0)+$A227=S$215,0.5*IFERROR($S$156/INDEX('Useful Life &amp; SG&amp;A Build'!$A$9:$B$12,3,2),0),IFERROR($S$156/INDEX('Useful Life &amp; SG&amp;A Build'!$A$9:$B$12,3,2),0))))</f>
        <v>0</v>
      </c>
      <c r="T227" s="563">
        <f>-IF($A227+1&gt;T$215,0,IF(ROUND(INDEX('Useful Life &amp; SG&amp;A Build'!$A$9:$B$12,3,2),0)+$A227&lt;T$215,0,IF(ROUND(INDEX('Useful Life &amp; SG&amp;A Build'!$A$9:$B$12,3,2),0)+$A227=T$215,0.5*IFERROR($S$156/INDEX('Useful Life &amp; SG&amp;A Build'!$A$9:$B$12,3,2),0),IFERROR($S$156/INDEX('Useful Life &amp; SG&amp;A Build'!$A$9:$B$12,3,2),0))))</f>
        <v>61.762402185502538</v>
      </c>
      <c r="U227" s="563">
        <f>-IF($A227+1&gt;U$215,0,IF(ROUND(INDEX('Useful Life &amp; SG&amp;A Build'!$A$9:$B$12,3,2),0)+$A227&lt;U$215,0,IF(ROUND(INDEX('Useful Life &amp; SG&amp;A Build'!$A$9:$B$12,3,2),0)+$A227=U$215,0.5*IFERROR($S$156/INDEX('Useful Life &amp; SG&amp;A Build'!$A$9:$B$12,3,2),0),IFERROR($S$156/INDEX('Useful Life &amp; SG&amp;A Build'!$A$9:$B$12,3,2),0))))</f>
        <v>61.762402185502538</v>
      </c>
      <c r="V227" s="563">
        <f>-IF($A227+1&gt;V$215,0,IF(ROUND(INDEX('Useful Life &amp; SG&amp;A Build'!$A$9:$B$12,3,2),0)+$A227&lt;V$215,0,IF(ROUND(INDEX('Useful Life &amp; SG&amp;A Build'!$A$9:$B$12,3,2),0)+$A227=V$215,0.5*IFERROR($S$156/INDEX('Useful Life &amp; SG&amp;A Build'!$A$9:$B$12,3,2),0),IFERROR($S$156/INDEX('Useful Life &amp; SG&amp;A Build'!$A$9:$B$12,3,2),0))))</f>
        <v>61.762402185502538</v>
      </c>
      <c r="W227" s="263"/>
      <c r="X227" s="263"/>
      <c r="Y227" s="263"/>
      <c r="Z227" s="565"/>
      <c r="AA227" s="263"/>
      <c r="AB227" s="263"/>
    </row>
    <row r="228" spans="1:28" ht="16" outlineLevel="1" x14ac:dyDescent="0.2">
      <c r="A228" s="562">
        <f t="shared" si="95"/>
        <v>2029</v>
      </c>
      <c r="L228" s="563">
        <f>-IF($A228+1&gt;L$215,0,IF(ROUND(INDEX('Useful Life &amp; SG&amp;A Build'!$A$9:$B$12,3,2),0)+$A228&lt;L$215,0,IF(ROUND(INDEX('Useful Life &amp; SG&amp;A Build'!$A$9:$B$12,3,2),0)+$A228=L$215,0.5*IFERROR($T$156/INDEX('Useful Life &amp; SG&amp;A Build'!$A$9:$B$12,3,2),0),IFERROR($T$156/INDEX('Useful Life &amp; SG&amp;A Build'!$A$9:$B$12,3,2),0))))</f>
        <v>0</v>
      </c>
      <c r="M228" s="563">
        <f>-IF($A228+1&gt;M$215,0,IF(ROUND(INDEX('Useful Life &amp; SG&amp;A Build'!$A$9:$B$12,3,2),0)+$A228&lt;M$215,0,IF(ROUND(INDEX('Useful Life &amp; SG&amp;A Build'!$A$9:$B$12,3,2),0)+$A228=M$215,0.5*IFERROR($T$156/INDEX('Useful Life &amp; SG&amp;A Build'!$A$9:$B$12,3,2),0),IFERROR($T$156/INDEX('Useful Life &amp; SG&amp;A Build'!$A$9:$B$12,3,2),0))))</f>
        <v>0</v>
      </c>
      <c r="N228" s="563">
        <f>-IF($A228+1&gt;N$215,0,IF(ROUND(INDEX('Useful Life &amp; SG&amp;A Build'!$A$9:$B$12,3,2),0)+$A228&lt;N$215,0,IF(ROUND(INDEX('Useful Life &amp; SG&amp;A Build'!$A$9:$B$12,3,2),0)+$A228=N$215,0.5*IFERROR($T$156/INDEX('Useful Life &amp; SG&amp;A Build'!$A$9:$B$12,3,2),0),IFERROR($T$156/INDEX('Useful Life &amp; SG&amp;A Build'!$A$9:$B$12,3,2),0))))</f>
        <v>0</v>
      </c>
      <c r="O228" s="563">
        <f>-IF($A228+1&gt;O$215,0,IF(ROUND(INDEX('Useful Life &amp; SG&amp;A Build'!$A$9:$B$12,3,2),0)+$A228&lt;O$215,0,IF(ROUND(INDEX('Useful Life &amp; SG&amp;A Build'!$A$9:$B$12,3,2),0)+$A228=O$215,0.5*IFERROR($T$156/INDEX('Useful Life &amp; SG&amp;A Build'!$A$9:$B$12,3,2),0),IFERROR($T$156/INDEX('Useful Life &amp; SG&amp;A Build'!$A$9:$B$12,3,2),0))))</f>
        <v>0</v>
      </c>
      <c r="P228" s="563">
        <f>-IF($A228+1&gt;P$215,0,IF(ROUND(INDEX('Useful Life &amp; SG&amp;A Build'!$A$9:$B$12,3,2),0)+$A228&lt;P$215,0,IF(ROUND(INDEX('Useful Life &amp; SG&amp;A Build'!$A$9:$B$12,3,2),0)+$A228=P$215,0.5*IFERROR($T$156/INDEX('Useful Life &amp; SG&amp;A Build'!$A$9:$B$12,3,2),0),IFERROR($T$156/INDEX('Useful Life &amp; SG&amp;A Build'!$A$9:$B$12,3,2),0))))</f>
        <v>0</v>
      </c>
      <c r="Q228" s="563">
        <f>-IF($A228+1&gt;Q$215,0,IF(ROUND(INDEX('Useful Life &amp; SG&amp;A Build'!$A$9:$B$12,3,2),0)+$A228&lt;Q$215,0,IF(ROUND(INDEX('Useful Life &amp; SG&amp;A Build'!$A$9:$B$12,3,2),0)+$A228=Q$215,0.5*IFERROR($T$156/INDEX('Useful Life &amp; SG&amp;A Build'!$A$9:$B$12,3,2),0),IFERROR($T$156/INDEX('Useful Life &amp; SG&amp;A Build'!$A$9:$B$12,3,2),0))))</f>
        <v>0</v>
      </c>
      <c r="R228" s="563">
        <f>-IF($A228+1&gt;R$215,0,IF(ROUND(INDEX('Useful Life &amp; SG&amp;A Build'!$A$9:$B$12,3,2),0)+$A228&lt;R$215,0,IF(ROUND(INDEX('Useful Life &amp; SG&amp;A Build'!$A$9:$B$12,3,2),0)+$A228=R$215,0.5*IFERROR($T$156/INDEX('Useful Life &amp; SG&amp;A Build'!$A$9:$B$12,3,2),0),IFERROR($T$156/INDEX('Useful Life &amp; SG&amp;A Build'!$A$9:$B$12,3,2),0))))</f>
        <v>0</v>
      </c>
      <c r="S228" s="563">
        <f>-IF($A228+1&gt;S$215,0,IF(ROUND(INDEX('Useful Life &amp; SG&amp;A Build'!$A$9:$B$12,3,2),0)+$A228&lt;S$215,0,IF(ROUND(INDEX('Useful Life &amp; SG&amp;A Build'!$A$9:$B$12,3,2),0)+$A228=S$215,0.5*IFERROR($T$156/INDEX('Useful Life &amp; SG&amp;A Build'!$A$9:$B$12,3,2),0),IFERROR($T$156/INDEX('Useful Life &amp; SG&amp;A Build'!$A$9:$B$12,3,2),0))))</f>
        <v>0</v>
      </c>
      <c r="T228" s="563">
        <f>-IF($A228+1&gt;T$215,0,IF(ROUND(INDEX('Useful Life &amp; SG&amp;A Build'!$A$9:$B$12,3,2),0)+$A228&lt;T$215,0,IF(ROUND(INDEX('Useful Life &amp; SG&amp;A Build'!$A$9:$B$12,3,2),0)+$A228=T$215,0.5*IFERROR($T$156/INDEX('Useful Life &amp; SG&amp;A Build'!$A$9:$B$12,3,2),0),IFERROR($T$156/INDEX('Useful Life &amp; SG&amp;A Build'!$A$9:$B$12,3,2),0))))</f>
        <v>0</v>
      </c>
      <c r="U228" s="563">
        <f>-IF($A228+1&gt;U$215,0,IF(ROUND(INDEX('Useful Life &amp; SG&amp;A Build'!$A$9:$B$12,3,2),0)+$A228&lt;U$215,0,IF(ROUND(INDEX('Useful Life &amp; SG&amp;A Build'!$A$9:$B$12,3,2),0)+$A228=U$215,0.5*IFERROR($T$156/INDEX('Useful Life &amp; SG&amp;A Build'!$A$9:$B$12,3,2),0),IFERROR($T$156/INDEX('Useful Life &amp; SG&amp;A Build'!$A$9:$B$12,3,2),0))))</f>
        <v>55.886821167587435</v>
      </c>
      <c r="V228" s="563">
        <f>-IF($A228+1&gt;V$215,0,IF(ROUND(INDEX('Useful Life &amp; SG&amp;A Build'!$A$9:$B$12,3,2),0)+$A228&lt;V$215,0,IF(ROUND(INDEX('Useful Life &amp; SG&amp;A Build'!$A$9:$B$12,3,2),0)+$A228=V$215,0.5*IFERROR($T$156/INDEX('Useful Life &amp; SG&amp;A Build'!$A$9:$B$12,3,2),0),IFERROR($T$156/INDEX('Useful Life &amp; SG&amp;A Build'!$A$9:$B$12,3,2),0))))</f>
        <v>55.886821167587435</v>
      </c>
      <c r="W228" s="263"/>
      <c r="X228" s="263"/>
      <c r="Y228" s="263"/>
      <c r="Z228" s="565"/>
      <c r="AA228" s="263"/>
      <c r="AB228" s="263"/>
    </row>
    <row r="229" spans="1:28" ht="16" outlineLevel="1" x14ac:dyDescent="0.2">
      <c r="A229" s="597">
        <f t="shared" si="95"/>
        <v>2030</v>
      </c>
      <c r="B229" s="599"/>
      <c r="C229" s="599"/>
      <c r="D229" s="599"/>
      <c r="E229" s="599"/>
      <c r="F229" s="599"/>
      <c r="G229" s="599"/>
      <c r="H229" s="599"/>
      <c r="I229" s="599"/>
      <c r="J229" s="599"/>
      <c r="K229" s="599"/>
      <c r="L229" s="598">
        <f>-IF($A229+1&gt;L$215,0,IF(ROUND(INDEX('Useful Life &amp; SG&amp;A Build'!$A$9:$B$12,3,2),0)+$A229&lt;L$215,0,IF(ROUND(INDEX('Useful Life &amp; SG&amp;A Build'!$A$9:$B$12,3,2),0)+$A229=L$215,0.5*IFERROR($U$156/INDEX('Useful Life &amp; SG&amp;A Build'!$A$9:$B$12,3,2),0),IFERROR($U$156/INDEX('Useful Life &amp; SG&amp;A Build'!$A$9:$B$12,3,2),0))))</f>
        <v>0</v>
      </c>
      <c r="M229" s="598">
        <f>-IF($A229+1&gt;M$215,0,IF(ROUND(INDEX('Useful Life &amp; SG&amp;A Build'!$A$9:$B$12,3,2),0)+$A229&lt;M$215,0,IF(ROUND(INDEX('Useful Life &amp; SG&amp;A Build'!$A$9:$B$12,3,2),0)+$A229=M$215,0.5*IFERROR($U$156/INDEX('Useful Life &amp; SG&amp;A Build'!$A$9:$B$12,3,2),0),IFERROR($U$156/INDEX('Useful Life &amp; SG&amp;A Build'!$A$9:$B$12,3,2),0))))</f>
        <v>0</v>
      </c>
      <c r="N229" s="598">
        <f>-IF($A229+1&gt;N$215,0,IF(ROUND(INDEX('Useful Life &amp; SG&amp;A Build'!$A$9:$B$12,3,2),0)+$A229&lt;N$215,0,IF(ROUND(INDEX('Useful Life &amp; SG&amp;A Build'!$A$9:$B$12,3,2),0)+$A229=N$215,0.5*IFERROR($U$156/INDEX('Useful Life &amp; SG&amp;A Build'!$A$9:$B$12,3,2),0),IFERROR($U$156/INDEX('Useful Life &amp; SG&amp;A Build'!$A$9:$B$12,3,2),0))))</f>
        <v>0</v>
      </c>
      <c r="O229" s="598">
        <f>-IF($A229+1&gt;O$215,0,IF(ROUND(INDEX('Useful Life &amp; SG&amp;A Build'!$A$9:$B$12,3,2),0)+$A229&lt;O$215,0,IF(ROUND(INDEX('Useful Life &amp; SG&amp;A Build'!$A$9:$B$12,3,2),0)+$A229=O$215,0.5*IFERROR($U$156/INDEX('Useful Life &amp; SG&amp;A Build'!$A$9:$B$12,3,2),0),IFERROR($U$156/INDEX('Useful Life &amp; SG&amp;A Build'!$A$9:$B$12,3,2),0))))</f>
        <v>0</v>
      </c>
      <c r="P229" s="598">
        <f>-IF($A229+1&gt;P$215,0,IF(ROUND(INDEX('Useful Life &amp; SG&amp;A Build'!$A$9:$B$12,3,2),0)+$A229&lt;P$215,0,IF(ROUND(INDEX('Useful Life &amp; SG&amp;A Build'!$A$9:$B$12,3,2),0)+$A229=P$215,0.5*IFERROR($U$156/INDEX('Useful Life &amp; SG&amp;A Build'!$A$9:$B$12,3,2),0),IFERROR($U$156/INDEX('Useful Life &amp; SG&amp;A Build'!$A$9:$B$12,3,2),0))))</f>
        <v>0</v>
      </c>
      <c r="Q229" s="598">
        <f>-IF($A229+1&gt;Q$215,0,IF(ROUND(INDEX('Useful Life &amp; SG&amp;A Build'!$A$9:$B$12,3,2),0)+$A229&lt;Q$215,0,IF(ROUND(INDEX('Useful Life &amp; SG&amp;A Build'!$A$9:$B$12,3,2),0)+$A229=Q$215,0.5*IFERROR($U$156/INDEX('Useful Life &amp; SG&amp;A Build'!$A$9:$B$12,3,2),0),IFERROR($U$156/INDEX('Useful Life &amp; SG&amp;A Build'!$A$9:$B$12,3,2),0))))</f>
        <v>0</v>
      </c>
      <c r="R229" s="598">
        <f>-IF($A229+1&gt;R$215,0,IF(ROUND(INDEX('Useful Life &amp; SG&amp;A Build'!$A$9:$B$12,3,2),0)+$A229&lt;R$215,0,IF(ROUND(INDEX('Useful Life &amp; SG&amp;A Build'!$A$9:$B$12,3,2),0)+$A229=R$215,0.5*IFERROR($U$156/INDEX('Useful Life &amp; SG&amp;A Build'!$A$9:$B$12,3,2),0),IFERROR($U$156/INDEX('Useful Life &amp; SG&amp;A Build'!$A$9:$B$12,3,2),0))))</f>
        <v>0</v>
      </c>
      <c r="S229" s="598">
        <f>-IF($A229+1&gt;S$215,0,IF(ROUND(INDEX('Useful Life &amp; SG&amp;A Build'!$A$9:$B$12,3,2),0)+$A229&lt;S$215,0,IF(ROUND(INDEX('Useful Life &amp; SG&amp;A Build'!$A$9:$B$12,3,2),0)+$A229=S$215,0.5*IFERROR($U$156/INDEX('Useful Life &amp; SG&amp;A Build'!$A$9:$B$12,3,2),0),IFERROR($U$156/INDEX('Useful Life &amp; SG&amp;A Build'!$A$9:$B$12,3,2),0))))</f>
        <v>0</v>
      </c>
      <c r="T229" s="598">
        <f>-IF($A229+1&gt;T$215,0,IF(ROUND(INDEX('Useful Life &amp; SG&amp;A Build'!$A$9:$B$12,3,2),0)+$A229&lt;T$215,0,IF(ROUND(INDEX('Useful Life &amp; SG&amp;A Build'!$A$9:$B$12,3,2),0)+$A229=T$215,0.5*IFERROR($U$156/INDEX('Useful Life &amp; SG&amp;A Build'!$A$9:$B$12,3,2),0),IFERROR($U$156/INDEX('Useful Life &amp; SG&amp;A Build'!$A$9:$B$12,3,2),0))))</f>
        <v>0</v>
      </c>
      <c r="U229" s="598">
        <f>-IF($A229+1&gt;U$215,0,IF(ROUND(INDEX('Useful Life &amp; SG&amp;A Build'!$A$9:$B$12,3,2),0)+$A229&lt;U$215,0,IF(ROUND(INDEX('Useful Life &amp; SG&amp;A Build'!$A$9:$B$12,3,2),0)+$A229=U$215,0.5*IFERROR($U$156/INDEX('Useful Life &amp; SG&amp;A Build'!$A$9:$B$12,3,2),0),IFERROR($U$156/INDEX('Useful Life &amp; SG&amp;A Build'!$A$9:$B$12,3,2),0))))</f>
        <v>0</v>
      </c>
      <c r="V229" s="598">
        <f>-IF($A229+1&gt;V$215,0,IF(ROUND(INDEX('Useful Life &amp; SG&amp;A Build'!$A$9:$B$12,3,2),0)+$A229&lt;V$215,0,IF(ROUND(INDEX('Useful Life &amp; SG&amp;A Build'!$A$9:$B$12,3,2),0)+$A229=V$215,0.5*IFERROR($U$156/INDEX('Useful Life &amp; SG&amp;A Build'!$A$9:$B$12,3,2),0),IFERROR($U$156/INDEX('Useful Life &amp; SG&amp;A Build'!$A$9:$B$12,3,2),0))))</f>
        <v>54.868068693345045</v>
      </c>
      <c r="W229" s="263"/>
      <c r="X229" s="263"/>
      <c r="Y229" s="263"/>
      <c r="Z229" s="565"/>
      <c r="AA229" s="263"/>
      <c r="AB229" s="263"/>
    </row>
    <row r="230" spans="1:28" ht="16" outlineLevel="1" x14ac:dyDescent="0.2">
      <c r="A230" s="600" t="s">
        <v>497</v>
      </c>
      <c r="B230" s="263"/>
      <c r="C230" s="263"/>
      <c r="L230" s="263">
        <f>SUM(L216:L229)</f>
        <v>366.88888888888886</v>
      </c>
      <c r="M230" s="263">
        <f t="shared" ref="M230:V230" si="96">SUM(M216:M229)</f>
        <v>448.11111111111109</v>
      </c>
      <c r="N230" s="263">
        <f t="shared" si="96"/>
        <v>484.33333333333331</v>
      </c>
      <c r="O230" s="263">
        <f t="shared" si="96"/>
        <v>507.33333333333331</v>
      </c>
      <c r="P230" s="263">
        <f t="shared" si="96"/>
        <v>519.88888888888891</v>
      </c>
      <c r="Q230" s="263">
        <f t="shared" si="96"/>
        <v>451.04444444444448</v>
      </c>
      <c r="R230" s="263">
        <f t="shared" si="96"/>
        <v>390.98742225955357</v>
      </c>
      <c r="S230" s="263">
        <f t="shared" si="96"/>
        <v>334.31080543648397</v>
      </c>
      <c r="T230" s="263">
        <f t="shared" si="96"/>
        <v>280.96209651087543</v>
      </c>
      <c r="U230" s="263">
        <f t="shared" si="96"/>
        <v>262.27113990068506</v>
      </c>
      <c r="V230" s="263">
        <f t="shared" si="96"/>
        <v>297.67254192736351</v>
      </c>
      <c r="W230" s="263"/>
      <c r="X230" s="263"/>
      <c r="Y230" s="263"/>
      <c r="Z230" s="565"/>
      <c r="AA230" s="263"/>
      <c r="AB230" s="263"/>
    </row>
    <row r="231" spans="1:28" ht="16" x14ac:dyDescent="0.2">
      <c r="A231" s="263"/>
      <c r="B231" s="263"/>
      <c r="C231" s="263"/>
      <c r="D231" s="263"/>
      <c r="E231" s="263"/>
      <c r="F231" s="263"/>
      <c r="G231" s="263"/>
      <c r="H231" s="263"/>
      <c r="I231" s="263"/>
      <c r="J231" s="263"/>
      <c r="K231" s="263"/>
      <c r="L231" s="263"/>
      <c r="M231" s="263"/>
      <c r="N231" s="263"/>
      <c r="O231" s="263"/>
      <c r="P231" s="263"/>
      <c r="Q231" s="263"/>
      <c r="R231" s="263"/>
      <c r="S231" s="263"/>
      <c r="T231" s="263"/>
      <c r="U231" s="263"/>
      <c r="V231" s="263"/>
      <c r="W231" s="263"/>
      <c r="X231" s="263"/>
      <c r="Y231" s="263"/>
      <c r="Z231" s="565"/>
      <c r="AA231" s="263"/>
      <c r="AB231" s="263"/>
    </row>
    <row r="232" spans="1:28" ht="16" x14ac:dyDescent="0.2">
      <c r="A232" s="263"/>
      <c r="B232" s="263"/>
      <c r="C232" s="263"/>
      <c r="D232" s="263"/>
      <c r="E232" s="263"/>
      <c r="F232" s="263"/>
      <c r="G232" s="263"/>
      <c r="H232" s="263"/>
      <c r="I232" s="263"/>
      <c r="J232" s="263"/>
      <c r="K232" s="263"/>
      <c r="L232" s="263"/>
      <c r="M232" s="263"/>
      <c r="N232" s="263"/>
      <c r="O232" s="263"/>
      <c r="P232" s="263"/>
      <c r="Q232" s="263"/>
      <c r="R232" s="263"/>
      <c r="S232" s="263"/>
      <c r="T232" s="263"/>
      <c r="U232" s="263"/>
      <c r="V232" s="263"/>
      <c r="W232" s="263"/>
      <c r="X232" s="263"/>
      <c r="Y232" s="263"/>
      <c r="Z232" s="565"/>
      <c r="AA232" s="263"/>
      <c r="AB232" s="263"/>
    </row>
    <row r="233" spans="1:28" ht="16" x14ac:dyDescent="0.2">
      <c r="A233" s="263"/>
      <c r="B233" s="364"/>
      <c r="C233" s="364"/>
      <c r="D233" s="364"/>
      <c r="E233" s="364"/>
      <c r="F233" s="364"/>
      <c r="G233" s="263"/>
      <c r="H233" s="263"/>
      <c r="I233" s="263"/>
      <c r="J233" s="263"/>
      <c r="K233" s="263"/>
      <c r="L233" s="263"/>
      <c r="M233" s="263"/>
      <c r="N233" s="263"/>
      <c r="O233" s="263"/>
      <c r="P233" s="263"/>
      <c r="Q233" s="263"/>
      <c r="R233" s="263"/>
      <c r="S233" s="263"/>
      <c r="T233" s="263"/>
      <c r="U233" s="263"/>
      <c r="V233" s="263"/>
      <c r="W233" s="263"/>
      <c r="X233" s="263"/>
      <c r="Y233" s="263"/>
      <c r="Z233" s="565"/>
      <c r="AA233" s="263"/>
      <c r="AB233" s="263"/>
    </row>
    <row r="234" spans="1:28" ht="16" x14ac:dyDescent="0.2">
      <c r="A234" s="263"/>
      <c r="B234" s="263"/>
      <c r="C234" s="309"/>
      <c r="D234" s="263"/>
      <c r="E234" s="263"/>
      <c r="F234" s="263"/>
      <c r="G234" s="263"/>
      <c r="H234" s="263"/>
      <c r="I234" s="263"/>
      <c r="J234" s="263"/>
      <c r="K234" s="263"/>
      <c r="L234" s="263"/>
      <c r="M234" s="263"/>
      <c r="N234" s="263"/>
      <c r="O234" s="263"/>
      <c r="P234" s="263"/>
      <c r="Q234" s="263"/>
      <c r="R234" s="263"/>
      <c r="S234" s="263"/>
      <c r="T234" s="263"/>
      <c r="U234" s="263"/>
      <c r="V234" s="263"/>
      <c r="W234" s="263"/>
      <c r="X234" s="263"/>
      <c r="Y234" s="263"/>
      <c r="Z234" s="565"/>
      <c r="AA234" s="263"/>
      <c r="AB234" s="263"/>
    </row>
    <row r="235" spans="1:28" ht="16" x14ac:dyDescent="0.2">
      <c r="A235" s="263"/>
      <c r="B235" s="263"/>
      <c r="C235" s="309"/>
      <c r="D235" s="263"/>
      <c r="E235" s="263"/>
      <c r="F235" s="263"/>
      <c r="G235" s="263"/>
      <c r="H235" s="263"/>
      <c r="I235" s="263"/>
      <c r="J235" s="263"/>
      <c r="K235" s="263"/>
      <c r="L235" s="263"/>
      <c r="M235" s="263"/>
      <c r="N235" s="263"/>
      <c r="O235" s="263"/>
      <c r="P235" s="263"/>
      <c r="Q235" s="263"/>
      <c r="R235" s="263"/>
      <c r="S235" s="263"/>
      <c r="T235" s="263"/>
      <c r="U235" s="263"/>
      <c r="V235" s="263"/>
      <c r="W235" s="263"/>
      <c r="X235" s="263"/>
      <c r="Y235" s="263"/>
      <c r="Z235" s="565"/>
      <c r="AA235" s="263"/>
      <c r="AB235" s="263"/>
    </row>
    <row r="236" spans="1:28" ht="16" x14ac:dyDescent="0.2">
      <c r="A236" s="263"/>
      <c r="B236" s="263"/>
      <c r="C236" s="309"/>
      <c r="D236" s="263"/>
      <c r="E236" s="263"/>
      <c r="F236" s="263"/>
      <c r="G236" s="263"/>
      <c r="H236" s="263"/>
      <c r="I236" s="263"/>
      <c r="J236" s="263"/>
      <c r="K236" s="263"/>
      <c r="L236" s="263"/>
      <c r="M236" s="263"/>
      <c r="N236" s="263"/>
      <c r="O236" s="263"/>
      <c r="P236" s="263"/>
      <c r="Q236" s="263"/>
      <c r="R236" s="263"/>
      <c r="S236" s="263"/>
      <c r="T236" s="263"/>
      <c r="U236" s="263"/>
      <c r="V236" s="263"/>
      <c r="W236" s="263"/>
      <c r="X236" s="263"/>
      <c r="Y236" s="263"/>
      <c r="Z236" s="565"/>
      <c r="AA236" s="263"/>
      <c r="AB236" s="263"/>
    </row>
    <row r="237" spans="1:28" ht="16" x14ac:dyDescent="0.2">
      <c r="A237" s="263"/>
      <c r="B237" s="263"/>
      <c r="C237" s="309"/>
      <c r="D237" s="263"/>
      <c r="E237" s="263"/>
      <c r="F237" s="263"/>
      <c r="G237" s="263"/>
      <c r="H237" s="263"/>
      <c r="I237" s="263"/>
      <c r="J237" s="263"/>
      <c r="K237" s="263"/>
      <c r="L237" s="263"/>
      <c r="M237" s="263"/>
      <c r="N237" s="263"/>
      <c r="O237" s="263"/>
      <c r="P237" s="263"/>
      <c r="Q237" s="263"/>
      <c r="R237" s="263"/>
      <c r="S237" s="263"/>
      <c r="T237" s="263"/>
      <c r="U237" s="263"/>
      <c r="V237" s="263"/>
      <c r="W237" s="263"/>
      <c r="X237" s="263"/>
      <c r="Y237" s="263"/>
      <c r="Z237" s="565"/>
      <c r="AA237" s="263"/>
      <c r="AB237" s="263"/>
    </row>
    <row r="238" spans="1:28" ht="16" x14ac:dyDescent="0.2">
      <c r="A238" s="263"/>
      <c r="B238" s="263"/>
      <c r="C238" s="309"/>
      <c r="D238" s="263"/>
      <c r="E238" s="263"/>
      <c r="F238" s="263"/>
      <c r="G238" s="263"/>
      <c r="H238" s="263"/>
      <c r="I238" s="263"/>
      <c r="J238" s="263"/>
      <c r="K238" s="263"/>
      <c r="L238" s="263"/>
      <c r="M238" s="263"/>
      <c r="N238" s="263"/>
      <c r="O238" s="263"/>
      <c r="P238" s="263"/>
      <c r="Q238" s="263"/>
      <c r="R238" s="263"/>
      <c r="S238" s="263"/>
      <c r="T238" s="263"/>
      <c r="U238" s="263"/>
      <c r="V238" s="263"/>
      <c r="W238" s="263"/>
      <c r="X238" s="263"/>
      <c r="Y238" s="263"/>
      <c r="Z238" s="565"/>
      <c r="AA238" s="263"/>
      <c r="AB238" s="263"/>
    </row>
    <row r="239" spans="1:28" ht="16" x14ac:dyDescent="0.2">
      <c r="A239" s="263"/>
      <c r="B239" s="263"/>
      <c r="C239" s="309"/>
      <c r="D239" s="263"/>
      <c r="E239" s="263"/>
      <c r="F239" s="263"/>
      <c r="G239" s="263"/>
      <c r="H239" s="263"/>
      <c r="I239" s="263"/>
      <c r="J239" s="263"/>
      <c r="K239" s="263"/>
      <c r="L239" s="263"/>
      <c r="M239" s="263"/>
      <c r="N239" s="263"/>
      <c r="O239" s="263"/>
      <c r="P239" s="263"/>
      <c r="Q239" s="263"/>
      <c r="R239" s="263"/>
      <c r="S239" s="263"/>
      <c r="T239" s="263"/>
      <c r="U239" s="263"/>
      <c r="V239" s="263"/>
      <c r="W239" s="263"/>
      <c r="X239" s="263"/>
      <c r="Y239" s="263"/>
      <c r="Z239" s="565"/>
      <c r="AA239" s="263"/>
      <c r="AB239" s="263"/>
    </row>
    <row r="240" spans="1:28" ht="16" x14ac:dyDescent="0.2">
      <c r="A240" s="263"/>
      <c r="B240" s="263"/>
      <c r="C240" s="309"/>
      <c r="D240" s="263"/>
      <c r="E240" s="263"/>
      <c r="F240" s="263"/>
      <c r="G240" s="263"/>
      <c r="H240" s="263"/>
      <c r="I240" s="263"/>
      <c r="J240" s="263"/>
      <c r="K240" s="263"/>
      <c r="L240" s="263"/>
      <c r="M240" s="263"/>
      <c r="N240" s="263"/>
      <c r="O240" s="263"/>
      <c r="P240" s="263"/>
      <c r="Q240" s="263"/>
      <c r="R240" s="263"/>
      <c r="S240" s="263"/>
      <c r="T240" s="263"/>
      <c r="U240" s="263"/>
      <c r="V240" s="263"/>
      <c r="W240" s="263"/>
      <c r="X240" s="263"/>
      <c r="Y240" s="263"/>
      <c r="Z240" s="565"/>
      <c r="AA240" s="263"/>
      <c r="AB240" s="263"/>
    </row>
    <row r="241" spans="1:28" ht="16" x14ac:dyDescent="0.2">
      <c r="A241" s="263"/>
      <c r="B241" s="263"/>
      <c r="C241" s="309"/>
      <c r="D241" s="263"/>
      <c r="E241" s="263"/>
      <c r="F241" s="263"/>
      <c r="G241" s="263"/>
      <c r="H241" s="263"/>
      <c r="I241" s="263"/>
      <c r="J241" s="263"/>
      <c r="K241" s="263"/>
      <c r="L241" s="263"/>
      <c r="M241" s="263"/>
      <c r="N241" s="263"/>
      <c r="O241" s="263"/>
      <c r="P241" s="263"/>
      <c r="Q241" s="263"/>
      <c r="R241" s="263"/>
      <c r="S241" s="263"/>
      <c r="T241" s="263"/>
      <c r="U241" s="263"/>
      <c r="V241" s="263"/>
      <c r="W241" s="263"/>
      <c r="X241" s="263"/>
      <c r="Y241" s="263"/>
      <c r="Z241" s="565"/>
      <c r="AA241" s="263"/>
      <c r="AB241" s="263"/>
    </row>
    <row r="242" spans="1:28" ht="16" x14ac:dyDescent="0.2">
      <c r="A242" s="263"/>
      <c r="B242" s="263"/>
      <c r="C242" s="309"/>
      <c r="D242" s="263"/>
      <c r="E242" s="263"/>
      <c r="F242" s="263"/>
      <c r="G242" s="263"/>
      <c r="H242" s="263"/>
      <c r="I242" s="263"/>
      <c r="J242" s="263"/>
      <c r="K242" s="263"/>
      <c r="L242" s="263"/>
      <c r="M242" s="263"/>
      <c r="N242" s="263"/>
      <c r="O242" s="263"/>
      <c r="P242" s="263"/>
      <c r="Q242" s="263"/>
      <c r="R242" s="263"/>
      <c r="S242" s="263"/>
      <c r="T242" s="263"/>
      <c r="U242" s="263"/>
      <c r="V242" s="263"/>
      <c r="W242" s="263"/>
      <c r="X242" s="263"/>
      <c r="Y242" s="263"/>
      <c r="Z242" s="565"/>
      <c r="AA242" s="263"/>
      <c r="AB242" s="263"/>
    </row>
    <row r="243" spans="1:28" ht="16" x14ac:dyDescent="0.2">
      <c r="A243" s="263"/>
      <c r="B243" s="263"/>
      <c r="C243" s="309"/>
      <c r="D243" s="263"/>
      <c r="E243" s="263"/>
      <c r="F243" s="263"/>
      <c r="G243" s="263"/>
      <c r="H243" s="263"/>
      <c r="I243" s="263"/>
      <c r="J243" s="263"/>
      <c r="K243" s="263"/>
      <c r="L243" s="263"/>
      <c r="M243" s="263"/>
      <c r="N243" s="263"/>
      <c r="O243" s="263"/>
      <c r="P243" s="263"/>
      <c r="Q243" s="263"/>
      <c r="R243" s="263"/>
      <c r="S243" s="263"/>
      <c r="T243" s="263"/>
      <c r="U243" s="263"/>
      <c r="V243" s="263"/>
      <c r="W243" s="263"/>
      <c r="X243" s="263"/>
      <c r="Y243" s="263"/>
      <c r="Z243" s="565"/>
      <c r="AA243" s="263"/>
      <c r="AB243" s="263"/>
    </row>
    <row r="244" spans="1:28" ht="16" x14ac:dyDescent="0.2">
      <c r="A244" s="263"/>
      <c r="B244" s="263"/>
      <c r="C244" s="309"/>
      <c r="D244" s="263"/>
      <c r="E244" s="263"/>
      <c r="F244" s="263"/>
      <c r="G244" s="263"/>
      <c r="H244" s="263"/>
      <c r="I244" s="263"/>
      <c r="J244" s="263"/>
      <c r="K244" s="263"/>
      <c r="L244" s="263"/>
      <c r="M244" s="263"/>
      <c r="N244" s="263"/>
      <c r="O244" s="263"/>
      <c r="P244" s="263"/>
      <c r="Q244" s="263"/>
      <c r="R244" s="263"/>
      <c r="S244" s="263"/>
      <c r="T244" s="263"/>
      <c r="U244" s="263"/>
      <c r="V244" s="263"/>
      <c r="W244" s="263"/>
      <c r="X244" s="263"/>
      <c r="Y244" s="263"/>
      <c r="Z244" s="565"/>
      <c r="AA244" s="263"/>
      <c r="AB244" s="263"/>
    </row>
    <row r="245" spans="1:28" ht="16" x14ac:dyDescent="0.2">
      <c r="A245" s="263"/>
      <c r="B245" s="263"/>
      <c r="C245" s="309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  <c r="Q245" s="263"/>
      <c r="R245" s="263"/>
      <c r="S245" s="263"/>
      <c r="T245" s="263"/>
      <c r="U245" s="263"/>
      <c r="V245" s="263"/>
      <c r="W245" s="263"/>
      <c r="X245" s="263"/>
      <c r="Y245" s="263"/>
      <c r="Z245" s="565"/>
      <c r="AA245" s="263"/>
      <c r="AB245" s="263"/>
    </row>
    <row r="246" spans="1:28" ht="16" x14ac:dyDescent="0.2">
      <c r="A246" s="263"/>
      <c r="B246" s="263"/>
      <c r="C246" s="309"/>
      <c r="D246" s="263"/>
      <c r="E246" s="263"/>
      <c r="F246" s="263"/>
      <c r="G246" s="263"/>
      <c r="H246" s="263"/>
      <c r="I246" s="263"/>
      <c r="J246" s="263"/>
      <c r="K246" s="263"/>
      <c r="L246" s="263"/>
      <c r="M246" s="263"/>
      <c r="N246" s="263"/>
      <c r="O246" s="263"/>
      <c r="P246" s="263"/>
      <c r="Q246" s="263"/>
      <c r="R246" s="263"/>
      <c r="S246" s="263"/>
      <c r="T246" s="263"/>
      <c r="U246" s="263"/>
      <c r="V246" s="263"/>
      <c r="W246" s="263"/>
      <c r="X246" s="263"/>
      <c r="Y246" s="263"/>
      <c r="Z246" s="615"/>
      <c r="AA246" s="263"/>
      <c r="AB246" s="263"/>
    </row>
    <row r="247" spans="1:28" ht="16" x14ac:dyDescent="0.2">
      <c r="A247" s="263"/>
      <c r="B247" s="263"/>
      <c r="C247" s="309"/>
      <c r="D247" s="263"/>
      <c r="E247" s="263"/>
      <c r="F247" s="263"/>
      <c r="G247" s="263"/>
      <c r="H247" s="263"/>
      <c r="I247" s="263"/>
      <c r="J247" s="263"/>
      <c r="K247" s="263"/>
      <c r="L247" s="263"/>
      <c r="M247" s="263"/>
      <c r="N247" s="263"/>
      <c r="O247" s="263"/>
      <c r="P247" s="263"/>
      <c r="Q247" s="263"/>
      <c r="R247" s="263"/>
      <c r="S247" s="263"/>
      <c r="T247" s="263"/>
      <c r="U247" s="263"/>
      <c r="V247" s="263"/>
      <c r="W247" s="263"/>
      <c r="X247" s="263"/>
      <c r="Y247" s="263"/>
      <c r="Z247" s="615"/>
      <c r="AA247" s="263"/>
      <c r="AB247" s="263"/>
    </row>
    <row r="248" spans="1:28" ht="16" x14ac:dyDescent="0.2">
      <c r="A248" s="263"/>
      <c r="B248" s="263"/>
      <c r="C248" s="309"/>
      <c r="D248" s="263"/>
      <c r="E248" s="263"/>
      <c r="F248" s="263"/>
      <c r="G248" s="263"/>
      <c r="H248" s="263"/>
      <c r="I248" s="263"/>
      <c r="J248" s="263"/>
      <c r="K248" s="263"/>
      <c r="L248" s="263"/>
      <c r="M248" s="263"/>
      <c r="N248" s="263"/>
      <c r="O248" s="263"/>
      <c r="P248" s="263"/>
      <c r="Q248" s="263"/>
      <c r="R248" s="263"/>
      <c r="S248" s="263"/>
      <c r="T248" s="263"/>
      <c r="U248" s="263"/>
      <c r="V248" s="263"/>
      <c r="W248" s="263"/>
      <c r="X248" s="263"/>
      <c r="Y248" s="263"/>
      <c r="Z248" s="565"/>
      <c r="AA248" s="263"/>
      <c r="AB248" s="263"/>
    </row>
    <row r="249" spans="1:28" ht="16" x14ac:dyDescent="0.2">
      <c r="A249" s="263"/>
      <c r="B249" s="263"/>
      <c r="C249" s="309"/>
      <c r="D249" s="263"/>
      <c r="E249" s="263"/>
      <c r="F249" s="263"/>
      <c r="G249" s="263"/>
      <c r="H249" s="263"/>
      <c r="I249" s="263"/>
      <c r="J249" s="263"/>
      <c r="K249" s="263"/>
      <c r="L249" s="263"/>
      <c r="M249" s="263"/>
      <c r="N249" s="263"/>
      <c r="O249" s="263"/>
      <c r="P249" s="263"/>
      <c r="Q249" s="263"/>
      <c r="R249" s="263"/>
      <c r="S249" s="263"/>
      <c r="T249" s="263"/>
      <c r="U249" s="263"/>
      <c r="V249" s="263"/>
      <c r="W249" s="263"/>
      <c r="X249" s="263"/>
      <c r="Y249" s="263"/>
      <c r="Z249" s="565"/>
      <c r="AA249" s="263"/>
      <c r="AB249" s="263"/>
    </row>
    <row r="250" spans="1:28" ht="16" x14ac:dyDescent="0.2">
      <c r="A250" s="263"/>
      <c r="B250" s="263"/>
      <c r="C250" s="309"/>
      <c r="D250" s="263"/>
      <c r="E250" s="263"/>
      <c r="F250" s="263"/>
      <c r="G250" s="263"/>
      <c r="H250" s="263"/>
      <c r="I250" s="263"/>
      <c r="J250" s="263"/>
      <c r="K250" s="263"/>
      <c r="L250" s="263"/>
      <c r="M250" s="263"/>
      <c r="N250" s="263"/>
      <c r="O250" s="263"/>
      <c r="P250" s="263"/>
      <c r="Q250" s="263"/>
      <c r="R250" s="263"/>
      <c r="S250" s="263"/>
      <c r="T250" s="263"/>
      <c r="U250" s="263"/>
      <c r="V250" s="263"/>
      <c r="W250" s="263"/>
      <c r="X250" s="263"/>
      <c r="Y250" s="263"/>
      <c r="Z250" s="565"/>
      <c r="AA250" s="263"/>
      <c r="AB250" s="263"/>
    </row>
    <row r="251" spans="1:28" ht="16" x14ac:dyDescent="0.2">
      <c r="A251" s="263"/>
      <c r="B251" s="263"/>
      <c r="C251" s="309"/>
      <c r="D251" s="263"/>
      <c r="E251" s="263"/>
      <c r="F251" s="263"/>
      <c r="G251" s="263"/>
      <c r="H251" s="263"/>
      <c r="I251" s="263"/>
      <c r="J251" s="263"/>
      <c r="K251" s="263"/>
      <c r="L251" s="263"/>
      <c r="M251" s="263"/>
      <c r="N251" s="263"/>
      <c r="O251" s="263"/>
      <c r="P251" s="263"/>
      <c r="Q251" s="263"/>
      <c r="R251" s="263"/>
      <c r="S251" s="263"/>
      <c r="T251" s="263"/>
      <c r="U251" s="263"/>
      <c r="V251" s="263"/>
      <c r="W251" s="263"/>
      <c r="X251" s="263"/>
      <c r="Y251" s="263"/>
      <c r="Z251" s="565"/>
      <c r="AA251" s="263"/>
      <c r="AB251" s="263"/>
    </row>
    <row r="252" spans="1:28" ht="16" x14ac:dyDescent="0.2">
      <c r="A252" s="263"/>
      <c r="B252" s="263"/>
      <c r="C252" s="309"/>
      <c r="D252" s="263"/>
      <c r="E252" s="263"/>
      <c r="F252" s="263"/>
      <c r="G252" s="263"/>
      <c r="H252" s="263"/>
      <c r="I252" s="263"/>
      <c r="J252" s="263"/>
      <c r="K252" s="263"/>
      <c r="L252" s="263"/>
      <c r="M252" s="263"/>
      <c r="N252" s="263"/>
      <c r="O252" s="263"/>
      <c r="P252" s="263"/>
      <c r="Q252" s="263"/>
      <c r="R252" s="263"/>
      <c r="S252" s="263"/>
      <c r="T252" s="263"/>
      <c r="U252" s="263"/>
      <c r="V252" s="263"/>
      <c r="W252" s="263"/>
      <c r="X252" s="263"/>
      <c r="Y252" s="263"/>
      <c r="Z252" s="565"/>
      <c r="AA252" s="263"/>
      <c r="AB252" s="263"/>
    </row>
    <row r="253" spans="1:28" ht="16" x14ac:dyDescent="0.2">
      <c r="A253" s="263"/>
      <c r="B253" s="263"/>
      <c r="C253" s="309"/>
      <c r="D253" s="263"/>
      <c r="E253" s="263"/>
      <c r="F253" s="263"/>
      <c r="G253" s="263"/>
      <c r="H253" s="263"/>
      <c r="I253" s="263"/>
      <c r="J253" s="263"/>
      <c r="K253" s="263"/>
      <c r="L253" s="263"/>
      <c r="M253" s="263"/>
      <c r="N253" s="263"/>
      <c r="O253" s="263"/>
      <c r="P253" s="263"/>
      <c r="Q253" s="263"/>
      <c r="R253" s="263"/>
      <c r="S253" s="263"/>
      <c r="T253" s="263"/>
      <c r="U253" s="263"/>
      <c r="V253" s="263"/>
      <c r="W253" s="263"/>
      <c r="X253" s="263"/>
      <c r="Y253" s="263"/>
      <c r="Z253" s="565"/>
      <c r="AA253" s="263"/>
      <c r="AB253" s="263"/>
    </row>
    <row r="254" spans="1:28" ht="16" x14ac:dyDescent="0.2">
      <c r="A254" s="263"/>
      <c r="B254" s="263"/>
      <c r="C254" s="309"/>
      <c r="D254" s="263"/>
      <c r="E254" s="263"/>
      <c r="F254" s="263"/>
      <c r="G254" s="263"/>
      <c r="H254" s="263"/>
      <c r="I254" s="263"/>
      <c r="J254" s="263"/>
      <c r="K254" s="263"/>
      <c r="L254" s="263"/>
      <c r="M254" s="263"/>
      <c r="N254" s="263"/>
      <c r="O254" s="263"/>
      <c r="P254" s="263"/>
      <c r="Q254" s="263"/>
      <c r="R254" s="263"/>
      <c r="S254" s="263"/>
      <c r="T254" s="263"/>
      <c r="U254" s="263"/>
      <c r="V254" s="263"/>
      <c r="W254" s="263"/>
      <c r="X254" s="263"/>
      <c r="Y254" s="263"/>
      <c r="Z254" s="565"/>
      <c r="AA254" s="263"/>
      <c r="AB254" s="263"/>
    </row>
    <row r="255" spans="1:28" ht="16" x14ac:dyDescent="0.2">
      <c r="A255" s="263"/>
      <c r="B255" s="263"/>
      <c r="C255" s="309"/>
      <c r="D255" s="263"/>
      <c r="E255" s="263"/>
      <c r="F255" s="263"/>
      <c r="G255" s="263"/>
      <c r="H255" s="263"/>
      <c r="I255" s="263"/>
      <c r="J255" s="263"/>
      <c r="K255" s="263"/>
      <c r="L255" s="263"/>
      <c r="M255" s="263"/>
      <c r="N255" s="263"/>
      <c r="O255" s="263"/>
      <c r="P255" s="263"/>
      <c r="Q255" s="263"/>
      <c r="R255" s="263"/>
      <c r="S255" s="263"/>
      <c r="T255" s="263"/>
      <c r="U255" s="263"/>
      <c r="V255" s="263"/>
      <c r="W255" s="263"/>
      <c r="X255" s="263"/>
      <c r="Y255" s="263"/>
      <c r="Z255" s="565"/>
      <c r="AA255" s="263"/>
      <c r="AB255" s="263"/>
    </row>
    <row r="256" spans="1:28" ht="16" x14ac:dyDescent="0.2">
      <c r="A256" s="263"/>
      <c r="B256" s="263"/>
      <c r="C256" s="309"/>
      <c r="D256" s="263"/>
      <c r="E256" s="263"/>
      <c r="F256" s="263"/>
      <c r="G256" s="263"/>
      <c r="H256" s="263"/>
      <c r="I256" s="263"/>
      <c r="J256" s="263"/>
      <c r="K256" s="263"/>
      <c r="L256" s="263"/>
      <c r="M256" s="263"/>
      <c r="N256" s="263"/>
      <c r="O256" s="263"/>
      <c r="P256" s="263"/>
      <c r="Q256" s="263"/>
      <c r="R256" s="263"/>
      <c r="S256" s="263"/>
      <c r="T256" s="263"/>
      <c r="U256" s="263"/>
      <c r="V256" s="263"/>
      <c r="W256" s="263"/>
      <c r="X256" s="263"/>
      <c r="Y256" s="263"/>
      <c r="Z256" s="565"/>
      <c r="AA256" s="263"/>
      <c r="AB256" s="263"/>
    </row>
    <row r="257" spans="1:28" ht="16" x14ac:dyDescent="0.2">
      <c r="A257" s="263"/>
      <c r="B257" s="263"/>
      <c r="C257" s="309"/>
      <c r="D257" s="263"/>
      <c r="E257" s="263"/>
      <c r="F257" s="263"/>
      <c r="G257" s="263"/>
      <c r="H257" s="263"/>
      <c r="I257" s="263"/>
      <c r="J257" s="263"/>
      <c r="K257" s="263"/>
      <c r="L257" s="263"/>
      <c r="M257" s="263"/>
      <c r="N257" s="263"/>
      <c r="O257" s="263"/>
      <c r="P257" s="263"/>
      <c r="Q257" s="263"/>
      <c r="R257" s="263"/>
      <c r="S257" s="263"/>
      <c r="T257" s="263"/>
      <c r="U257" s="263"/>
      <c r="V257" s="263"/>
      <c r="W257" s="263"/>
      <c r="X257" s="263"/>
      <c r="Y257" s="263"/>
      <c r="Z257" s="565"/>
      <c r="AA257" s="263"/>
      <c r="AB257" s="263"/>
    </row>
    <row r="258" spans="1:28" ht="16" x14ac:dyDescent="0.2">
      <c r="A258" s="263"/>
      <c r="B258" s="263"/>
      <c r="C258" s="309"/>
      <c r="D258" s="263"/>
      <c r="E258" s="263"/>
      <c r="F258" s="263"/>
      <c r="G258" s="263"/>
      <c r="H258" s="263"/>
      <c r="I258" s="263"/>
      <c r="J258" s="263"/>
      <c r="K258" s="263"/>
      <c r="L258" s="263"/>
      <c r="M258" s="263"/>
      <c r="N258" s="263"/>
      <c r="O258" s="263"/>
      <c r="P258" s="263"/>
      <c r="Q258" s="263"/>
      <c r="R258" s="263"/>
      <c r="S258" s="263"/>
      <c r="T258" s="263"/>
      <c r="U258" s="263"/>
      <c r="V258" s="263"/>
      <c r="W258" s="263"/>
      <c r="X258" s="263"/>
      <c r="Y258" s="263"/>
      <c r="Z258" s="565"/>
      <c r="AA258" s="263"/>
      <c r="AB258" s="263"/>
    </row>
    <row r="259" spans="1:28" ht="16" x14ac:dyDescent="0.2">
      <c r="A259" s="263"/>
      <c r="B259" s="263"/>
      <c r="C259" s="309"/>
      <c r="D259" s="263"/>
      <c r="E259" s="263"/>
      <c r="F259" s="263"/>
      <c r="G259" s="263"/>
      <c r="H259" s="263"/>
      <c r="I259" s="263"/>
      <c r="J259" s="263"/>
      <c r="K259" s="263"/>
      <c r="L259" s="263"/>
      <c r="M259" s="263"/>
      <c r="N259" s="263"/>
      <c r="O259" s="263"/>
      <c r="P259" s="263"/>
      <c r="Q259" s="263"/>
      <c r="R259" s="263"/>
      <c r="S259" s="263"/>
      <c r="T259" s="263"/>
      <c r="U259" s="263"/>
      <c r="V259" s="263"/>
      <c r="W259" s="263"/>
      <c r="X259" s="263"/>
      <c r="Y259" s="263"/>
      <c r="Z259" s="565"/>
      <c r="AA259" s="263"/>
      <c r="AB259" s="263"/>
    </row>
    <row r="260" spans="1:28" ht="16" x14ac:dyDescent="0.2">
      <c r="A260" s="263"/>
      <c r="B260" s="263"/>
      <c r="C260" s="309"/>
      <c r="D260" s="263"/>
      <c r="E260" s="263"/>
      <c r="F260" s="263"/>
      <c r="G260" s="263"/>
      <c r="H260" s="263"/>
      <c r="I260" s="263"/>
      <c r="J260" s="263"/>
      <c r="K260" s="263"/>
      <c r="L260" s="263"/>
      <c r="M260" s="263"/>
      <c r="N260" s="263"/>
      <c r="O260" s="263"/>
      <c r="P260" s="263"/>
      <c r="Q260" s="263"/>
      <c r="R260" s="263"/>
      <c r="S260" s="263"/>
      <c r="T260" s="263"/>
      <c r="U260" s="263"/>
      <c r="V260" s="263"/>
      <c r="W260" s="263"/>
      <c r="X260" s="263"/>
      <c r="Y260" s="263"/>
      <c r="Z260" s="565"/>
      <c r="AA260" s="263"/>
      <c r="AB260" s="263"/>
    </row>
    <row r="261" spans="1:28" ht="16" x14ac:dyDescent="0.2">
      <c r="A261" s="263"/>
      <c r="B261" s="263"/>
      <c r="C261" s="309"/>
      <c r="D261" s="263"/>
      <c r="E261" s="263"/>
      <c r="F261" s="263"/>
      <c r="G261" s="263"/>
      <c r="H261" s="263"/>
      <c r="I261" s="263"/>
      <c r="J261" s="263"/>
      <c r="K261" s="263"/>
      <c r="L261" s="263"/>
      <c r="M261" s="263"/>
      <c r="N261" s="263"/>
      <c r="O261" s="263"/>
      <c r="P261" s="263"/>
      <c r="Q261" s="263"/>
      <c r="R261" s="263"/>
      <c r="S261" s="263"/>
      <c r="T261" s="263"/>
      <c r="U261" s="263"/>
      <c r="V261" s="263"/>
      <c r="W261" s="263"/>
      <c r="X261" s="263"/>
      <c r="Y261" s="263"/>
      <c r="Z261" s="565"/>
      <c r="AA261" s="263"/>
      <c r="AB261" s="263"/>
    </row>
    <row r="262" spans="1:28" ht="16" x14ac:dyDescent="0.2">
      <c r="A262" s="263"/>
      <c r="B262" s="263"/>
      <c r="C262" s="309"/>
      <c r="D262" s="263"/>
      <c r="E262" s="263"/>
      <c r="F262" s="263"/>
      <c r="G262" s="263"/>
      <c r="H262" s="263"/>
      <c r="I262" s="263"/>
      <c r="J262" s="263"/>
      <c r="K262" s="263"/>
      <c r="L262" s="263"/>
      <c r="M262" s="263"/>
      <c r="N262" s="263"/>
      <c r="O262" s="263"/>
      <c r="P262" s="263"/>
      <c r="Q262" s="263"/>
      <c r="R262" s="263"/>
      <c r="S262" s="263"/>
      <c r="T262" s="263"/>
      <c r="U262" s="263"/>
      <c r="V262" s="263"/>
      <c r="W262" s="263"/>
      <c r="X262" s="263"/>
      <c r="Y262" s="263"/>
      <c r="Z262" s="263"/>
      <c r="AA262" s="263"/>
      <c r="AB262" s="263"/>
    </row>
    <row r="263" spans="1:28" ht="16" x14ac:dyDescent="0.2">
      <c r="A263" s="263"/>
      <c r="B263" s="263"/>
      <c r="C263" s="309"/>
      <c r="D263" s="263"/>
      <c r="E263" s="263"/>
      <c r="F263" s="263"/>
      <c r="G263" s="263"/>
      <c r="H263" s="263"/>
      <c r="I263" s="263"/>
      <c r="J263" s="263"/>
      <c r="K263" s="263"/>
      <c r="L263" s="263"/>
      <c r="M263" s="263"/>
      <c r="N263" s="263"/>
      <c r="O263" s="263"/>
      <c r="P263" s="263"/>
      <c r="Q263" s="263"/>
      <c r="R263" s="263"/>
      <c r="S263" s="263"/>
      <c r="T263" s="263"/>
      <c r="U263" s="263"/>
      <c r="V263" s="263"/>
      <c r="W263" s="263"/>
      <c r="X263" s="263"/>
      <c r="Y263" s="263"/>
      <c r="Z263" s="263"/>
      <c r="AA263" s="263"/>
      <c r="AB263" s="263"/>
    </row>
    <row r="264" spans="1:28" ht="16" x14ac:dyDescent="0.2">
      <c r="A264" s="263"/>
      <c r="B264" s="263"/>
      <c r="C264" s="309"/>
      <c r="D264" s="263"/>
      <c r="E264" s="263"/>
      <c r="F264" s="263"/>
      <c r="G264" s="263"/>
      <c r="H264" s="263"/>
      <c r="I264" s="263"/>
      <c r="J264" s="263"/>
      <c r="K264" s="263"/>
      <c r="L264" s="263"/>
      <c r="M264" s="263"/>
      <c r="N264" s="263"/>
      <c r="O264" s="263"/>
      <c r="P264" s="263"/>
      <c r="Q264" s="263"/>
      <c r="R264" s="263"/>
      <c r="S264" s="263"/>
      <c r="T264" s="263"/>
      <c r="U264" s="263"/>
      <c r="V264" s="263"/>
      <c r="W264" s="263"/>
      <c r="X264" s="263"/>
      <c r="Y264" s="263"/>
      <c r="Z264" s="263"/>
      <c r="AA264" s="263"/>
      <c r="AB264" s="263"/>
    </row>
    <row r="265" spans="1:28" ht="16" x14ac:dyDescent="0.2">
      <c r="A265" s="263"/>
      <c r="B265" s="263"/>
      <c r="C265" s="309"/>
      <c r="D265" s="263"/>
      <c r="E265" s="263"/>
      <c r="F265" s="263"/>
      <c r="G265" s="263"/>
      <c r="H265" s="263"/>
      <c r="I265" s="263"/>
      <c r="J265" s="263"/>
      <c r="K265" s="263"/>
      <c r="L265" s="263"/>
      <c r="M265" s="263"/>
      <c r="N265" s="263"/>
      <c r="O265" s="263"/>
      <c r="P265" s="263"/>
      <c r="Q265" s="263"/>
      <c r="R265" s="263"/>
      <c r="S265" s="263"/>
      <c r="T265" s="263"/>
      <c r="U265" s="263"/>
      <c r="V265" s="263"/>
      <c r="W265" s="263"/>
      <c r="X265" s="263"/>
      <c r="Y265" s="263"/>
      <c r="Z265" s="263"/>
      <c r="AA265" s="263"/>
      <c r="AB265" s="263"/>
    </row>
    <row r="266" spans="1:28" ht="16" x14ac:dyDescent="0.2">
      <c r="A266" s="263"/>
      <c r="B266" s="263"/>
      <c r="C266" s="309"/>
      <c r="D266" s="263"/>
      <c r="E266" s="263"/>
      <c r="F266" s="263"/>
      <c r="G266" s="263"/>
      <c r="H266" s="263"/>
      <c r="I266" s="263"/>
      <c r="J266" s="263"/>
      <c r="K266" s="263"/>
      <c r="L266" s="263"/>
      <c r="M266" s="263"/>
      <c r="N266" s="263"/>
      <c r="O266" s="263"/>
      <c r="P266" s="263"/>
      <c r="Q266" s="263"/>
      <c r="R266" s="263"/>
      <c r="S266" s="263"/>
      <c r="T266" s="263"/>
      <c r="U266" s="263"/>
      <c r="V266" s="263"/>
      <c r="W266" s="263"/>
      <c r="X266" s="263"/>
      <c r="Y266" s="263"/>
      <c r="Z266" s="263"/>
      <c r="AA266" s="263"/>
      <c r="AB266" s="263"/>
    </row>
    <row r="267" spans="1:28" ht="16" x14ac:dyDescent="0.2">
      <c r="A267" s="263"/>
      <c r="B267" s="263"/>
      <c r="C267" s="309"/>
      <c r="D267" s="263"/>
      <c r="E267" s="263"/>
      <c r="F267" s="263"/>
      <c r="G267" s="263"/>
      <c r="H267" s="263"/>
      <c r="I267" s="263"/>
      <c r="J267" s="263"/>
      <c r="K267" s="263"/>
      <c r="L267" s="263"/>
      <c r="M267" s="263"/>
      <c r="N267" s="263"/>
      <c r="O267" s="263"/>
      <c r="P267" s="263"/>
      <c r="Q267" s="263"/>
      <c r="R267" s="263"/>
      <c r="S267" s="263"/>
      <c r="T267" s="263"/>
      <c r="U267" s="263"/>
      <c r="V267" s="263"/>
      <c r="W267" s="263"/>
      <c r="X267" s="263"/>
      <c r="Y267" s="263"/>
      <c r="Z267" s="263"/>
      <c r="AA267" s="263"/>
      <c r="AB267" s="263"/>
    </row>
    <row r="268" spans="1:28" ht="16" x14ac:dyDescent="0.2">
      <c r="A268" s="263"/>
      <c r="B268" s="263"/>
      <c r="C268" s="309"/>
      <c r="D268" s="263"/>
      <c r="E268" s="263"/>
      <c r="F268" s="263"/>
      <c r="G268" s="263"/>
      <c r="H268" s="263"/>
      <c r="I268" s="263"/>
      <c r="J268" s="263"/>
      <c r="K268" s="263"/>
      <c r="L268" s="263"/>
      <c r="M268" s="263"/>
      <c r="N268" s="263"/>
      <c r="O268" s="263"/>
      <c r="P268" s="263"/>
      <c r="Q268" s="263"/>
      <c r="R268" s="263"/>
      <c r="S268" s="263"/>
      <c r="T268" s="263"/>
      <c r="U268" s="263"/>
      <c r="V268" s="263"/>
      <c r="W268" s="263"/>
      <c r="X268" s="263"/>
      <c r="Y268" s="263"/>
      <c r="Z268" s="263"/>
      <c r="AA268" s="263"/>
      <c r="AB268" s="263"/>
    </row>
    <row r="269" spans="1:28" ht="16" x14ac:dyDescent="0.2">
      <c r="A269" s="263"/>
      <c r="B269" s="263"/>
      <c r="C269" s="309"/>
      <c r="D269" s="263"/>
      <c r="E269" s="263"/>
      <c r="F269" s="263"/>
      <c r="G269" s="263"/>
      <c r="H269" s="263"/>
      <c r="I269" s="263"/>
      <c r="J269" s="263"/>
      <c r="K269" s="263"/>
      <c r="L269" s="263"/>
      <c r="M269" s="263"/>
      <c r="N269" s="263"/>
      <c r="O269" s="263"/>
      <c r="P269" s="263"/>
      <c r="Q269" s="263"/>
      <c r="R269" s="263"/>
      <c r="S269" s="263"/>
      <c r="T269" s="263"/>
      <c r="U269" s="263"/>
      <c r="V269" s="263"/>
      <c r="W269" s="263"/>
      <c r="X269" s="263"/>
      <c r="Y269" s="263"/>
      <c r="Z269" s="263"/>
      <c r="AA269" s="263"/>
      <c r="AB269" s="263"/>
    </row>
    <row r="270" spans="1:28" ht="16" x14ac:dyDescent="0.2">
      <c r="A270" s="263"/>
      <c r="B270" s="263"/>
      <c r="C270" s="309"/>
      <c r="D270" s="263"/>
      <c r="E270" s="263"/>
      <c r="F270" s="263"/>
      <c r="G270" s="263"/>
      <c r="H270" s="263"/>
      <c r="I270" s="263"/>
      <c r="J270" s="263"/>
      <c r="K270" s="263"/>
      <c r="L270" s="263"/>
      <c r="M270" s="263"/>
      <c r="N270" s="263"/>
      <c r="O270" s="263"/>
      <c r="P270" s="263"/>
      <c r="Q270" s="263"/>
      <c r="R270" s="263"/>
      <c r="S270" s="263"/>
      <c r="T270" s="263"/>
      <c r="U270" s="263"/>
      <c r="V270" s="263"/>
      <c r="W270" s="263"/>
      <c r="X270" s="263"/>
      <c r="Y270" s="263"/>
      <c r="Z270" s="263"/>
      <c r="AA270" s="263"/>
      <c r="AB270" s="263"/>
    </row>
    <row r="271" spans="1:28" ht="16" x14ac:dyDescent="0.2">
      <c r="A271" s="263"/>
      <c r="B271" s="263"/>
      <c r="C271" s="309"/>
      <c r="D271" s="263"/>
      <c r="E271" s="263"/>
      <c r="F271" s="263"/>
      <c r="G271" s="263"/>
      <c r="H271" s="263"/>
      <c r="I271" s="263"/>
      <c r="J271" s="263"/>
      <c r="K271" s="263"/>
      <c r="L271" s="263"/>
      <c r="M271" s="263"/>
      <c r="N271" s="263"/>
      <c r="O271" s="263"/>
      <c r="P271" s="263"/>
      <c r="Q271" s="263"/>
      <c r="R271" s="263"/>
      <c r="S271" s="263"/>
      <c r="T271" s="263"/>
      <c r="U271" s="263"/>
      <c r="V271" s="263"/>
      <c r="W271" s="263"/>
      <c r="X271" s="263"/>
      <c r="Y271" s="263"/>
      <c r="Z271" s="263"/>
      <c r="AA271" s="263"/>
      <c r="AB271" s="263"/>
    </row>
    <row r="272" spans="1:28" ht="16" x14ac:dyDescent="0.2">
      <c r="A272" s="263"/>
      <c r="B272" s="263"/>
      <c r="C272" s="309"/>
      <c r="D272" s="263"/>
      <c r="E272" s="263"/>
      <c r="F272" s="263"/>
      <c r="G272" s="263"/>
      <c r="H272" s="263"/>
      <c r="I272" s="263"/>
      <c r="J272" s="263"/>
      <c r="K272" s="263"/>
      <c r="L272" s="263"/>
      <c r="M272" s="263"/>
      <c r="N272" s="263"/>
      <c r="O272" s="263"/>
      <c r="P272" s="263"/>
      <c r="Q272" s="263"/>
      <c r="R272" s="263"/>
      <c r="S272" s="263"/>
      <c r="T272" s="263"/>
      <c r="U272" s="263"/>
      <c r="V272" s="263"/>
      <c r="W272" s="263"/>
      <c r="X272" s="263"/>
      <c r="Y272" s="263"/>
      <c r="Z272" s="263"/>
      <c r="AA272" s="263"/>
      <c r="AB272" s="263"/>
    </row>
    <row r="273" spans="1:28" ht="16" x14ac:dyDescent="0.2">
      <c r="A273" s="263"/>
      <c r="B273" s="263"/>
      <c r="C273" s="309"/>
      <c r="D273" s="263"/>
      <c r="E273" s="263"/>
      <c r="F273" s="263"/>
      <c r="G273" s="263"/>
      <c r="H273" s="263"/>
      <c r="I273" s="263"/>
      <c r="J273" s="263"/>
      <c r="K273" s="263"/>
      <c r="L273" s="263"/>
      <c r="M273" s="263"/>
      <c r="N273" s="263"/>
      <c r="O273" s="263"/>
      <c r="P273" s="263"/>
      <c r="Q273" s="263"/>
      <c r="R273" s="263"/>
      <c r="S273" s="263"/>
      <c r="T273" s="263"/>
      <c r="U273" s="263"/>
      <c r="V273" s="263"/>
      <c r="W273" s="263"/>
      <c r="X273" s="263"/>
      <c r="Y273" s="263"/>
      <c r="Z273" s="263"/>
      <c r="AA273" s="263"/>
      <c r="AB273" s="263"/>
    </row>
    <row r="274" spans="1:28" ht="16" x14ac:dyDescent="0.2">
      <c r="A274" s="263"/>
      <c r="B274" s="263"/>
      <c r="C274" s="309"/>
      <c r="D274" s="263"/>
      <c r="E274" s="263"/>
      <c r="F274" s="263"/>
      <c r="G274" s="263"/>
      <c r="H274" s="263"/>
      <c r="I274" s="263"/>
      <c r="J274" s="263"/>
      <c r="K274" s="263"/>
      <c r="L274" s="263"/>
      <c r="M274" s="263"/>
      <c r="N274" s="263"/>
      <c r="O274" s="263"/>
      <c r="P274" s="263"/>
      <c r="Q274" s="263"/>
      <c r="R274" s="263"/>
      <c r="S274" s="263"/>
      <c r="T274" s="263"/>
      <c r="U274" s="263"/>
      <c r="V274" s="263"/>
      <c r="W274" s="263"/>
      <c r="X274" s="263"/>
      <c r="Y274" s="263"/>
      <c r="Z274" s="263"/>
      <c r="AA274" s="263"/>
      <c r="AB274" s="263"/>
    </row>
    <row r="275" spans="1:28" ht="16" x14ac:dyDescent="0.2">
      <c r="A275" s="263"/>
      <c r="B275" s="263"/>
      <c r="C275" s="309"/>
      <c r="D275" s="263"/>
      <c r="E275" s="263"/>
      <c r="F275" s="263"/>
      <c r="G275" s="263"/>
      <c r="H275" s="263"/>
      <c r="I275" s="263"/>
      <c r="J275" s="263"/>
      <c r="K275" s="263"/>
      <c r="L275" s="263"/>
      <c r="M275" s="263"/>
      <c r="N275" s="263"/>
      <c r="O275" s="263"/>
      <c r="P275" s="263"/>
      <c r="Q275" s="263"/>
      <c r="R275" s="263"/>
      <c r="S275" s="263"/>
      <c r="T275" s="263"/>
      <c r="U275" s="263"/>
      <c r="V275" s="263"/>
      <c r="W275" s="263"/>
      <c r="X275" s="263"/>
      <c r="Y275" s="263"/>
      <c r="Z275" s="263"/>
      <c r="AA275" s="263"/>
      <c r="AB275" s="263"/>
    </row>
    <row r="276" spans="1:28" ht="16" x14ac:dyDescent="0.2">
      <c r="A276" s="263"/>
      <c r="B276" s="263"/>
      <c r="C276" s="309"/>
      <c r="D276" s="263"/>
      <c r="E276" s="263"/>
      <c r="F276" s="263"/>
      <c r="G276" s="263"/>
      <c r="H276" s="263"/>
      <c r="I276" s="263"/>
      <c r="J276" s="263"/>
      <c r="K276" s="263"/>
      <c r="L276" s="263"/>
      <c r="M276" s="263"/>
      <c r="N276" s="263"/>
      <c r="O276" s="263"/>
      <c r="P276" s="263"/>
      <c r="Q276" s="263"/>
      <c r="R276" s="263"/>
      <c r="S276" s="263"/>
      <c r="T276" s="263"/>
      <c r="U276" s="263"/>
      <c r="V276" s="263"/>
      <c r="W276" s="263"/>
      <c r="X276" s="263"/>
      <c r="Y276" s="263"/>
      <c r="Z276" s="263"/>
      <c r="AA276" s="263"/>
      <c r="AB276" s="263"/>
    </row>
    <row r="277" spans="1:28" ht="16" x14ac:dyDescent="0.2">
      <c r="A277" s="263"/>
      <c r="B277" s="263"/>
      <c r="C277" s="309"/>
      <c r="D277" s="263"/>
      <c r="E277" s="263"/>
      <c r="F277" s="263"/>
      <c r="G277" s="263"/>
      <c r="H277" s="263"/>
      <c r="I277" s="263"/>
      <c r="J277" s="263"/>
      <c r="K277" s="263"/>
      <c r="L277" s="263"/>
      <c r="M277" s="263"/>
      <c r="N277" s="263"/>
      <c r="O277" s="263"/>
      <c r="P277" s="263"/>
      <c r="Q277" s="263"/>
      <c r="R277" s="263"/>
      <c r="S277" s="263"/>
      <c r="T277" s="263"/>
      <c r="U277" s="263"/>
      <c r="V277" s="263"/>
      <c r="W277" s="263"/>
      <c r="X277" s="263"/>
      <c r="Y277" s="263"/>
      <c r="Z277" s="263"/>
      <c r="AA277" s="263"/>
      <c r="AB277" s="263"/>
    </row>
    <row r="278" spans="1:28" ht="16" x14ac:dyDescent="0.2">
      <c r="A278" s="263"/>
      <c r="B278" s="263"/>
      <c r="C278" s="309"/>
      <c r="D278" s="263"/>
      <c r="E278" s="263"/>
      <c r="F278" s="263"/>
      <c r="G278" s="263"/>
      <c r="H278" s="263"/>
      <c r="I278" s="263"/>
      <c r="J278" s="263"/>
      <c r="K278" s="263"/>
      <c r="L278" s="263"/>
      <c r="M278" s="263"/>
      <c r="N278" s="263"/>
      <c r="O278" s="263"/>
      <c r="P278" s="263"/>
      <c r="Q278" s="263"/>
      <c r="R278" s="263"/>
      <c r="S278" s="263"/>
      <c r="T278" s="263"/>
      <c r="U278" s="263"/>
      <c r="V278" s="263"/>
      <c r="W278" s="263"/>
      <c r="X278" s="263"/>
      <c r="Y278" s="263"/>
      <c r="Z278" s="263"/>
      <c r="AA278" s="263"/>
      <c r="AB278" s="263"/>
    </row>
    <row r="279" spans="1:28" ht="16" x14ac:dyDescent="0.2">
      <c r="A279" s="263"/>
      <c r="B279" s="263"/>
      <c r="C279" s="309"/>
      <c r="D279" s="263"/>
      <c r="E279" s="263"/>
      <c r="F279" s="263"/>
      <c r="G279" s="263"/>
      <c r="H279" s="263"/>
      <c r="I279" s="263"/>
      <c r="J279" s="263"/>
      <c r="K279" s="263"/>
      <c r="L279" s="263"/>
      <c r="M279" s="263"/>
      <c r="N279" s="263"/>
      <c r="O279" s="263"/>
      <c r="P279" s="263"/>
      <c r="Q279" s="263"/>
      <c r="R279" s="263"/>
      <c r="S279" s="263"/>
      <c r="T279" s="263"/>
      <c r="U279" s="263"/>
      <c r="V279" s="263"/>
      <c r="W279" s="263"/>
      <c r="X279" s="263"/>
      <c r="Y279" s="263"/>
      <c r="Z279" s="263"/>
      <c r="AA279" s="263"/>
      <c r="AB279" s="263"/>
    </row>
    <row r="280" spans="1:28" ht="16" x14ac:dyDescent="0.2">
      <c r="A280" s="263"/>
      <c r="B280" s="263"/>
      <c r="C280" s="309"/>
      <c r="D280" s="263"/>
      <c r="E280" s="263"/>
      <c r="F280" s="263"/>
      <c r="G280" s="263"/>
      <c r="H280" s="263"/>
      <c r="I280" s="263"/>
      <c r="J280" s="263"/>
      <c r="K280" s="263"/>
      <c r="L280" s="263"/>
      <c r="M280" s="263"/>
      <c r="N280" s="263"/>
      <c r="O280" s="263"/>
      <c r="P280" s="263"/>
      <c r="Q280" s="263"/>
      <c r="R280" s="263"/>
      <c r="S280" s="263"/>
      <c r="T280" s="263"/>
      <c r="U280" s="263"/>
      <c r="V280" s="263"/>
      <c r="W280" s="263"/>
      <c r="X280" s="263"/>
      <c r="Y280" s="263"/>
      <c r="Z280" s="263"/>
      <c r="AA280" s="263"/>
      <c r="AB280" s="263"/>
    </row>
    <row r="281" spans="1:28" ht="16" x14ac:dyDescent="0.2">
      <c r="A281" s="263"/>
      <c r="B281" s="263"/>
      <c r="C281" s="309"/>
      <c r="D281" s="263"/>
      <c r="E281" s="263"/>
      <c r="F281" s="263"/>
      <c r="G281" s="263"/>
      <c r="H281" s="263"/>
      <c r="I281" s="263"/>
      <c r="J281" s="263"/>
      <c r="K281" s="263"/>
      <c r="L281" s="263"/>
      <c r="M281" s="263"/>
      <c r="N281" s="263"/>
      <c r="O281" s="263"/>
      <c r="P281" s="263"/>
      <c r="Q281" s="263"/>
      <c r="R281" s="263"/>
      <c r="S281" s="263"/>
      <c r="T281" s="263"/>
      <c r="U281" s="263"/>
      <c r="V281" s="263"/>
      <c r="W281" s="263"/>
      <c r="X281" s="263"/>
      <c r="Y281" s="263"/>
      <c r="Z281" s="263"/>
      <c r="AA281" s="263"/>
      <c r="AB281" s="263"/>
    </row>
    <row r="282" spans="1:28" ht="16" x14ac:dyDescent="0.2">
      <c r="A282" s="263"/>
      <c r="B282" s="263"/>
      <c r="C282" s="309"/>
      <c r="D282" s="263"/>
      <c r="E282" s="263"/>
      <c r="F282" s="263"/>
      <c r="G282" s="263"/>
      <c r="H282" s="263"/>
      <c r="I282" s="263"/>
      <c r="J282" s="263"/>
      <c r="K282" s="263"/>
      <c r="L282" s="263"/>
      <c r="M282" s="263"/>
      <c r="N282" s="263"/>
      <c r="O282" s="263"/>
      <c r="P282" s="263"/>
      <c r="Q282" s="263"/>
      <c r="R282" s="263"/>
      <c r="S282" s="263"/>
      <c r="T282" s="263"/>
      <c r="U282" s="263"/>
      <c r="V282" s="263"/>
      <c r="W282" s="263"/>
      <c r="X282" s="263"/>
      <c r="Y282" s="263"/>
      <c r="Z282" s="263"/>
      <c r="AA282" s="263"/>
      <c r="AB282" s="263"/>
    </row>
    <row r="283" spans="1:28" ht="16" x14ac:dyDescent="0.2">
      <c r="A283" s="263"/>
      <c r="B283" s="263"/>
      <c r="C283" s="309"/>
      <c r="D283" s="263"/>
      <c r="E283" s="263"/>
      <c r="F283" s="263"/>
      <c r="G283" s="263"/>
      <c r="H283" s="263"/>
      <c r="I283" s="263"/>
      <c r="J283" s="263"/>
      <c r="K283" s="263"/>
      <c r="L283" s="263"/>
      <c r="M283" s="263"/>
      <c r="N283" s="263"/>
      <c r="O283" s="263"/>
      <c r="P283" s="263"/>
      <c r="Q283" s="263"/>
      <c r="R283" s="263"/>
      <c r="S283" s="263"/>
      <c r="T283" s="263"/>
      <c r="U283" s="263"/>
      <c r="V283" s="263"/>
      <c r="W283" s="263"/>
      <c r="X283" s="263"/>
      <c r="Y283" s="263"/>
      <c r="Z283" s="263"/>
      <c r="AA283" s="263"/>
      <c r="AB283" s="263"/>
    </row>
    <row r="284" spans="1:28" ht="16" x14ac:dyDescent="0.2">
      <c r="A284" s="263"/>
      <c r="B284" s="263"/>
      <c r="C284" s="309"/>
      <c r="D284" s="263"/>
      <c r="E284" s="263"/>
      <c r="F284" s="263"/>
      <c r="G284" s="263"/>
      <c r="H284" s="263"/>
      <c r="I284" s="263"/>
      <c r="J284" s="263"/>
      <c r="K284" s="263"/>
      <c r="L284" s="263"/>
      <c r="M284" s="263"/>
      <c r="N284" s="263"/>
      <c r="O284" s="263"/>
      <c r="P284" s="263"/>
      <c r="Q284" s="263"/>
      <c r="R284" s="263"/>
      <c r="S284" s="263"/>
      <c r="T284" s="263"/>
      <c r="U284" s="263"/>
      <c r="V284" s="263"/>
      <c r="W284" s="263"/>
      <c r="X284" s="263"/>
      <c r="Y284" s="263"/>
      <c r="Z284" s="263"/>
      <c r="AA284" s="263"/>
      <c r="AB284" s="263"/>
    </row>
    <row r="285" spans="1:28" ht="16" x14ac:dyDescent="0.2">
      <c r="A285" s="263"/>
      <c r="B285" s="263"/>
      <c r="C285" s="309"/>
      <c r="D285" s="263"/>
      <c r="E285" s="263"/>
      <c r="F285" s="263"/>
      <c r="G285" s="263"/>
      <c r="H285" s="263"/>
      <c r="I285" s="263"/>
      <c r="J285" s="263"/>
      <c r="K285" s="263"/>
      <c r="L285" s="263"/>
      <c r="M285" s="263"/>
      <c r="N285" s="263"/>
      <c r="O285" s="263"/>
      <c r="P285" s="263"/>
      <c r="Q285" s="263"/>
      <c r="R285" s="263"/>
      <c r="S285" s="263"/>
      <c r="T285" s="263"/>
      <c r="U285" s="263"/>
      <c r="V285" s="263"/>
      <c r="W285" s="263"/>
      <c r="X285" s="263"/>
      <c r="Y285" s="263"/>
      <c r="Z285" s="263"/>
      <c r="AA285" s="263"/>
      <c r="AB285" s="263"/>
    </row>
    <row r="286" spans="1:28" ht="16" x14ac:dyDescent="0.2">
      <c r="A286" s="263"/>
      <c r="B286" s="263"/>
      <c r="C286" s="309"/>
      <c r="D286" s="263"/>
      <c r="E286" s="263"/>
      <c r="F286" s="263"/>
      <c r="G286" s="263"/>
      <c r="H286" s="263"/>
      <c r="I286" s="263"/>
      <c r="J286" s="263"/>
      <c r="K286" s="263"/>
      <c r="L286" s="263"/>
      <c r="M286" s="263"/>
      <c r="N286" s="263"/>
      <c r="O286" s="263"/>
      <c r="P286" s="263"/>
      <c r="Q286" s="263"/>
      <c r="R286" s="263"/>
      <c r="S286" s="263"/>
      <c r="T286" s="263"/>
      <c r="U286" s="263"/>
      <c r="V286" s="263"/>
      <c r="W286" s="263"/>
      <c r="X286" s="263"/>
      <c r="Y286" s="263"/>
      <c r="Z286" s="263"/>
      <c r="AA286" s="263"/>
      <c r="AB286" s="263"/>
    </row>
    <row r="287" spans="1:28" ht="16" x14ac:dyDescent="0.2">
      <c r="A287" s="263"/>
      <c r="B287" s="263"/>
      <c r="C287" s="309"/>
      <c r="D287" s="263"/>
      <c r="E287" s="263"/>
      <c r="F287" s="263"/>
      <c r="G287" s="263"/>
      <c r="H287" s="263"/>
      <c r="I287" s="263"/>
      <c r="J287" s="263"/>
      <c r="K287" s="263"/>
      <c r="L287" s="263"/>
      <c r="M287" s="263"/>
      <c r="N287" s="263"/>
      <c r="O287" s="263"/>
      <c r="P287" s="263"/>
      <c r="Q287" s="263"/>
      <c r="R287" s="263"/>
      <c r="S287" s="263"/>
      <c r="T287" s="263"/>
      <c r="U287" s="263"/>
      <c r="V287" s="263"/>
      <c r="W287" s="263"/>
      <c r="X287" s="263"/>
      <c r="Y287" s="263"/>
      <c r="Z287" s="263"/>
      <c r="AA287" s="263"/>
      <c r="AB287" s="263"/>
    </row>
    <row r="288" spans="1:28" ht="16" x14ac:dyDescent="0.2">
      <c r="A288" s="263"/>
      <c r="B288" s="263"/>
      <c r="C288" s="309"/>
      <c r="D288" s="263"/>
      <c r="E288" s="263"/>
      <c r="F288" s="263"/>
      <c r="G288" s="263"/>
      <c r="H288" s="263"/>
      <c r="I288" s="263"/>
      <c r="J288" s="263"/>
      <c r="K288" s="263"/>
      <c r="L288" s="263"/>
      <c r="M288" s="263"/>
      <c r="N288" s="263"/>
      <c r="O288" s="263"/>
      <c r="P288" s="263"/>
      <c r="Q288" s="263"/>
      <c r="R288" s="263"/>
      <c r="S288" s="263"/>
      <c r="T288" s="263"/>
      <c r="U288" s="263"/>
      <c r="V288" s="263"/>
      <c r="W288" s="263"/>
      <c r="X288" s="263"/>
      <c r="Y288" s="263"/>
      <c r="Z288" s="263"/>
      <c r="AA288" s="263"/>
      <c r="AB288" s="263"/>
    </row>
    <row r="289" spans="1:28" ht="16" x14ac:dyDescent="0.2">
      <c r="A289" s="263"/>
      <c r="B289" s="263"/>
      <c r="C289" s="309"/>
      <c r="D289" s="263"/>
      <c r="E289" s="263"/>
      <c r="F289" s="263"/>
      <c r="G289" s="263"/>
      <c r="H289" s="263"/>
      <c r="I289" s="263"/>
      <c r="J289" s="263"/>
      <c r="K289" s="263"/>
      <c r="L289" s="263"/>
      <c r="M289" s="263"/>
      <c r="N289" s="263"/>
      <c r="O289" s="263"/>
      <c r="P289" s="263"/>
      <c r="Q289" s="263"/>
      <c r="R289" s="263"/>
      <c r="S289" s="263"/>
      <c r="T289" s="263"/>
      <c r="U289" s="263"/>
      <c r="V289" s="263"/>
      <c r="W289" s="263"/>
      <c r="X289" s="263"/>
      <c r="Y289" s="263"/>
      <c r="Z289" s="263"/>
      <c r="AA289" s="263"/>
      <c r="AB289" s="263"/>
    </row>
    <row r="290" spans="1:28" ht="16" x14ac:dyDescent="0.2">
      <c r="A290" s="263"/>
      <c r="B290" s="263"/>
      <c r="C290" s="309"/>
      <c r="D290" s="263"/>
      <c r="E290" s="263"/>
      <c r="F290" s="263"/>
      <c r="G290" s="263"/>
      <c r="H290" s="263"/>
      <c r="I290" s="263"/>
      <c r="J290" s="263"/>
      <c r="K290" s="263"/>
      <c r="L290" s="263"/>
      <c r="M290" s="263"/>
      <c r="N290" s="263"/>
      <c r="O290" s="263"/>
      <c r="P290" s="263"/>
      <c r="Q290" s="263"/>
      <c r="R290" s="263"/>
      <c r="S290" s="263"/>
      <c r="T290" s="263"/>
      <c r="U290" s="263"/>
      <c r="V290" s="263"/>
      <c r="W290" s="263"/>
      <c r="X290" s="263"/>
      <c r="Y290" s="263"/>
      <c r="Z290" s="263"/>
      <c r="AA290" s="263"/>
      <c r="AB290" s="263"/>
    </row>
    <row r="291" spans="1:28" ht="16" x14ac:dyDescent="0.2">
      <c r="A291" s="263"/>
      <c r="B291" s="263"/>
      <c r="C291" s="309"/>
      <c r="D291" s="263"/>
      <c r="E291" s="263"/>
      <c r="F291" s="263"/>
      <c r="G291" s="263"/>
      <c r="H291" s="263"/>
      <c r="I291" s="263"/>
      <c r="J291" s="263"/>
      <c r="K291" s="263"/>
      <c r="L291" s="263"/>
      <c r="M291" s="263"/>
      <c r="N291" s="263"/>
      <c r="O291" s="263"/>
      <c r="P291" s="263"/>
      <c r="Q291" s="263"/>
      <c r="R291" s="263"/>
      <c r="S291" s="263"/>
      <c r="T291" s="263"/>
      <c r="U291" s="263"/>
      <c r="V291" s="263"/>
      <c r="W291" s="263"/>
      <c r="X291" s="263"/>
      <c r="Y291" s="263"/>
      <c r="Z291" s="263"/>
      <c r="AA291" s="263"/>
      <c r="AB291" s="263"/>
    </row>
    <row r="292" spans="1:28" ht="16" x14ac:dyDescent="0.2">
      <c r="A292" s="263"/>
      <c r="B292" s="263"/>
      <c r="C292" s="309"/>
      <c r="D292" s="263"/>
      <c r="E292" s="263"/>
      <c r="F292" s="263"/>
      <c r="G292" s="263"/>
      <c r="H292" s="263"/>
      <c r="I292" s="263"/>
      <c r="J292" s="263"/>
      <c r="K292" s="263"/>
      <c r="L292" s="263"/>
      <c r="M292" s="263"/>
      <c r="N292" s="263"/>
      <c r="O292" s="263"/>
      <c r="P292" s="263"/>
      <c r="Q292" s="263"/>
      <c r="R292" s="263"/>
      <c r="S292" s="263"/>
      <c r="T292" s="263"/>
      <c r="U292" s="263"/>
      <c r="V292" s="263"/>
      <c r="W292" s="263"/>
      <c r="X292" s="263"/>
      <c r="Y292" s="263"/>
      <c r="Z292" s="263"/>
      <c r="AA292" s="263"/>
      <c r="AB292" s="263"/>
    </row>
    <row r="293" spans="1:28" ht="16" x14ac:dyDescent="0.2">
      <c r="A293" s="263"/>
      <c r="B293" s="263"/>
      <c r="C293" s="309"/>
      <c r="D293" s="263"/>
      <c r="E293" s="263"/>
      <c r="F293" s="263"/>
      <c r="G293" s="263"/>
      <c r="H293" s="263"/>
      <c r="I293" s="263"/>
      <c r="J293" s="263"/>
      <c r="K293" s="263"/>
      <c r="L293" s="263"/>
      <c r="M293" s="263"/>
      <c r="N293" s="263"/>
      <c r="O293" s="263"/>
      <c r="P293" s="263"/>
      <c r="Q293" s="263"/>
      <c r="R293" s="263"/>
      <c r="S293" s="263"/>
      <c r="T293" s="263"/>
      <c r="U293" s="263"/>
      <c r="V293" s="263"/>
      <c r="W293" s="263"/>
      <c r="X293" s="263"/>
      <c r="Y293" s="263"/>
      <c r="Z293" s="263"/>
      <c r="AA293" s="263"/>
      <c r="AB293" s="263"/>
    </row>
    <row r="294" spans="1:28" ht="16" x14ac:dyDescent="0.2">
      <c r="A294" s="263"/>
      <c r="B294" s="263"/>
      <c r="C294" s="309"/>
      <c r="D294" s="263"/>
      <c r="E294" s="263"/>
      <c r="F294" s="263"/>
      <c r="G294" s="263"/>
      <c r="H294" s="263"/>
      <c r="I294" s="263"/>
      <c r="J294" s="263"/>
      <c r="K294" s="263"/>
      <c r="L294" s="263"/>
      <c r="M294" s="263"/>
      <c r="N294" s="263"/>
      <c r="O294" s="263"/>
      <c r="P294" s="263"/>
      <c r="Q294" s="263"/>
      <c r="R294" s="263"/>
      <c r="S294" s="263"/>
      <c r="T294" s="263"/>
      <c r="U294" s="263"/>
      <c r="V294" s="263"/>
      <c r="W294" s="263"/>
      <c r="X294" s="263"/>
      <c r="Y294" s="263"/>
      <c r="Z294" s="263"/>
      <c r="AA294" s="263"/>
      <c r="AB294" s="263"/>
    </row>
    <row r="295" spans="1:28" ht="16" x14ac:dyDescent="0.2">
      <c r="A295" s="263"/>
      <c r="B295" s="263"/>
      <c r="C295" s="309"/>
      <c r="D295" s="263"/>
      <c r="E295" s="263"/>
      <c r="F295" s="263"/>
      <c r="G295" s="263"/>
      <c r="H295" s="263"/>
      <c r="I295" s="263"/>
      <c r="J295" s="263"/>
      <c r="K295" s="263"/>
      <c r="L295" s="263"/>
      <c r="M295" s="263"/>
      <c r="N295" s="263"/>
      <c r="O295" s="263"/>
      <c r="P295" s="263"/>
      <c r="Q295" s="263"/>
      <c r="R295" s="263"/>
      <c r="S295" s="263"/>
      <c r="T295" s="263"/>
      <c r="U295" s="263"/>
      <c r="V295" s="263"/>
      <c r="W295" s="263"/>
      <c r="X295" s="263"/>
      <c r="Y295" s="263"/>
      <c r="Z295" s="263"/>
      <c r="AA295" s="263"/>
      <c r="AB295" s="263"/>
    </row>
    <row r="296" spans="1:28" ht="16" x14ac:dyDescent="0.2">
      <c r="A296" s="263"/>
      <c r="B296" s="263"/>
      <c r="C296" s="309"/>
      <c r="D296" s="263"/>
      <c r="E296" s="263"/>
      <c r="F296" s="263"/>
      <c r="G296" s="263"/>
      <c r="H296" s="263"/>
      <c r="I296" s="263"/>
      <c r="J296" s="263"/>
      <c r="K296" s="263"/>
      <c r="L296" s="263"/>
      <c r="M296" s="263"/>
      <c r="N296" s="263"/>
      <c r="O296" s="263"/>
      <c r="P296" s="263"/>
      <c r="Q296" s="263"/>
      <c r="R296" s="263"/>
      <c r="S296" s="263"/>
      <c r="T296" s="263"/>
      <c r="U296" s="263"/>
      <c r="V296" s="263"/>
      <c r="W296" s="263"/>
      <c r="X296" s="263"/>
      <c r="Y296" s="263"/>
      <c r="Z296" s="263"/>
      <c r="AA296" s="263"/>
      <c r="AB296" s="263"/>
    </row>
    <row r="297" spans="1:28" ht="16" x14ac:dyDescent="0.2">
      <c r="A297" s="263"/>
      <c r="B297" s="263"/>
      <c r="C297" s="309"/>
      <c r="D297" s="263"/>
      <c r="E297" s="263"/>
      <c r="F297" s="263"/>
      <c r="G297" s="263"/>
      <c r="H297" s="263"/>
      <c r="I297" s="263"/>
      <c r="J297" s="263"/>
      <c r="K297" s="263"/>
      <c r="L297" s="263"/>
      <c r="M297" s="263"/>
      <c r="N297" s="263"/>
      <c r="O297" s="263"/>
      <c r="P297" s="263"/>
      <c r="Q297" s="263"/>
      <c r="R297" s="263"/>
      <c r="S297" s="263"/>
      <c r="T297" s="263"/>
      <c r="U297" s="263"/>
      <c r="V297" s="263"/>
      <c r="W297" s="263"/>
      <c r="X297" s="263"/>
      <c r="Y297" s="263"/>
      <c r="Z297" s="263"/>
      <c r="AA297" s="263"/>
      <c r="AB297" s="263"/>
    </row>
    <row r="298" spans="1:28" ht="16" x14ac:dyDescent="0.2">
      <c r="A298" s="263"/>
      <c r="B298" s="263"/>
      <c r="C298" s="309"/>
      <c r="D298" s="263"/>
      <c r="E298" s="263"/>
      <c r="F298" s="263"/>
      <c r="G298" s="263"/>
      <c r="H298" s="263"/>
      <c r="I298" s="263"/>
      <c r="J298" s="263"/>
      <c r="K298" s="263"/>
      <c r="L298" s="263"/>
      <c r="M298" s="263"/>
      <c r="N298" s="263"/>
      <c r="O298" s="263"/>
      <c r="P298" s="263"/>
      <c r="Q298" s="263"/>
      <c r="R298" s="263"/>
      <c r="S298" s="263"/>
      <c r="T298" s="263"/>
      <c r="U298" s="263"/>
      <c r="V298" s="263"/>
      <c r="W298" s="263"/>
      <c r="X298" s="263"/>
      <c r="Y298" s="263"/>
      <c r="Z298" s="263"/>
      <c r="AA298" s="263"/>
      <c r="AB298" s="263"/>
    </row>
    <row r="299" spans="1:28" ht="16" x14ac:dyDescent="0.2">
      <c r="A299" s="263"/>
      <c r="B299" s="263"/>
      <c r="C299" s="309"/>
      <c r="D299" s="263"/>
      <c r="E299" s="263"/>
      <c r="F299" s="263"/>
      <c r="G299" s="263"/>
      <c r="H299" s="263"/>
      <c r="I299" s="263"/>
      <c r="J299" s="263"/>
      <c r="K299" s="263"/>
      <c r="L299" s="263"/>
      <c r="M299" s="263"/>
      <c r="N299" s="263"/>
      <c r="O299" s="263"/>
      <c r="P299" s="263"/>
      <c r="Q299" s="263"/>
      <c r="R299" s="263"/>
      <c r="S299" s="263"/>
      <c r="T299" s="263"/>
      <c r="U299" s="263"/>
      <c r="V299" s="263"/>
      <c r="W299" s="263"/>
      <c r="X299" s="263"/>
      <c r="Y299" s="263"/>
      <c r="Z299" s="263"/>
      <c r="AA299" s="263"/>
      <c r="AB299" s="263"/>
    </row>
    <row r="300" spans="1:28" ht="16" x14ac:dyDescent="0.2">
      <c r="A300" s="263"/>
      <c r="B300" s="263"/>
      <c r="C300" s="309"/>
      <c r="D300" s="263"/>
      <c r="E300" s="263"/>
      <c r="F300" s="263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</row>
    <row r="301" spans="1:28" ht="16" x14ac:dyDescent="0.2">
      <c r="A301" s="263"/>
      <c r="B301" s="263"/>
      <c r="C301" s="309"/>
      <c r="D301" s="263"/>
      <c r="E301" s="263"/>
      <c r="F301" s="263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</row>
    <row r="302" spans="1:28" ht="16" x14ac:dyDescent="0.2">
      <c r="A302" s="263"/>
      <c r="B302" s="263"/>
      <c r="C302" s="309"/>
      <c r="D302" s="263"/>
      <c r="E302" s="263"/>
      <c r="F302" s="263"/>
      <c r="G302" s="263"/>
      <c r="H302" s="263"/>
      <c r="I302" s="263"/>
      <c r="J302" s="263"/>
      <c r="K302" s="263"/>
      <c r="L302" s="263"/>
      <c r="M302" s="263"/>
      <c r="N302" s="263"/>
      <c r="O302" s="263"/>
      <c r="P302" s="263"/>
      <c r="Q302" s="263"/>
      <c r="R302" s="263"/>
      <c r="S302" s="263"/>
      <c r="T302" s="263"/>
      <c r="U302" s="263"/>
      <c r="V302" s="263"/>
      <c r="W302" s="263"/>
      <c r="X302" s="263"/>
      <c r="Y302" s="263"/>
      <c r="Z302" s="263"/>
      <c r="AA302" s="263"/>
      <c r="AB302" s="263"/>
    </row>
    <row r="303" spans="1:28" ht="16" x14ac:dyDescent="0.2">
      <c r="A303" s="263"/>
      <c r="B303" s="263"/>
      <c r="C303" s="309"/>
      <c r="D303" s="263"/>
      <c r="E303" s="263"/>
      <c r="F303" s="263"/>
      <c r="G303" s="263"/>
      <c r="H303" s="263"/>
      <c r="I303" s="263"/>
      <c r="J303" s="263"/>
      <c r="K303" s="263"/>
      <c r="L303" s="263"/>
      <c r="M303" s="263"/>
      <c r="N303" s="263"/>
      <c r="O303" s="263"/>
      <c r="P303" s="263"/>
      <c r="Q303" s="263"/>
      <c r="R303" s="263"/>
      <c r="S303" s="263"/>
      <c r="T303" s="263"/>
      <c r="U303" s="263"/>
      <c r="V303" s="263"/>
      <c r="W303" s="263"/>
      <c r="X303" s="263"/>
      <c r="Y303" s="263"/>
      <c r="Z303" s="263"/>
      <c r="AA303" s="263"/>
      <c r="AB303" s="263"/>
    </row>
    <row r="304" spans="1:28" ht="16" x14ac:dyDescent="0.2">
      <c r="A304" s="263"/>
      <c r="B304" s="263"/>
      <c r="C304" s="309"/>
      <c r="D304" s="263"/>
      <c r="E304" s="263"/>
      <c r="F304" s="263"/>
      <c r="G304" s="263"/>
      <c r="H304" s="263"/>
      <c r="I304" s="263"/>
      <c r="J304" s="263"/>
      <c r="K304" s="263"/>
      <c r="L304" s="263"/>
      <c r="M304" s="263"/>
      <c r="N304" s="263"/>
      <c r="O304" s="263"/>
      <c r="P304" s="263"/>
      <c r="Q304" s="263"/>
      <c r="R304" s="263"/>
      <c r="S304" s="263"/>
      <c r="T304" s="263"/>
      <c r="U304" s="263"/>
      <c r="V304" s="263"/>
      <c r="W304" s="263"/>
      <c r="X304" s="263"/>
      <c r="Y304" s="263"/>
      <c r="Z304" s="263"/>
      <c r="AA304" s="263"/>
      <c r="AB304" s="263"/>
    </row>
    <row r="305" spans="1:28" ht="16" x14ac:dyDescent="0.2">
      <c r="A305" s="263"/>
      <c r="B305" s="263"/>
      <c r="C305" s="309"/>
      <c r="D305" s="263"/>
      <c r="E305" s="263"/>
      <c r="F305" s="263"/>
      <c r="G305" s="263"/>
      <c r="H305" s="263"/>
      <c r="I305" s="263"/>
      <c r="J305" s="263"/>
      <c r="K305" s="263"/>
      <c r="L305" s="263"/>
      <c r="M305" s="263"/>
      <c r="N305" s="263"/>
      <c r="O305" s="263"/>
      <c r="P305" s="263"/>
      <c r="Q305" s="263"/>
      <c r="R305" s="263"/>
      <c r="S305" s="263"/>
      <c r="T305" s="263"/>
      <c r="U305" s="263"/>
      <c r="V305" s="263"/>
      <c r="W305" s="263"/>
      <c r="X305" s="263"/>
      <c r="Y305" s="263"/>
      <c r="Z305" s="263"/>
      <c r="AA305" s="263"/>
      <c r="AB305" s="263"/>
    </row>
    <row r="306" spans="1:28" ht="16" x14ac:dyDescent="0.2">
      <c r="A306" s="263"/>
      <c r="B306" s="263"/>
      <c r="C306" s="309"/>
      <c r="D306" s="263"/>
      <c r="E306" s="263"/>
      <c r="F306" s="263"/>
      <c r="G306" s="263"/>
      <c r="H306" s="263"/>
      <c r="I306" s="263"/>
      <c r="J306" s="263"/>
      <c r="K306" s="263"/>
      <c r="L306" s="263"/>
      <c r="M306" s="263"/>
      <c r="N306" s="263"/>
      <c r="O306" s="263"/>
      <c r="P306" s="263"/>
      <c r="Q306" s="263"/>
      <c r="R306" s="263"/>
      <c r="S306" s="263"/>
      <c r="T306" s="263"/>
      <c r="U306" s="263"/>
      <c r="V306" s="263"/>
      <c r="W306" s="263"/>
      <c r="X306" s="263"/>
      <c r="Y306" s="263"/>
      <c r="Z306" s="263"/>
      <c r="AA306" s="263"/>
      <c r="AB306" s="263"/>
    </row>
    <row r="307" spans="1:28" ht="16" x14ac:dyDescent="0.2">
      <c r="A307" s="263"/>
      <c r="B307" s="263"/>
      <c r="C307" s="309"/>
      <c r="D307" s="263"/>
      <c r="E307" s="263"/>
      <c r="F307" s="263"/>
      <c r="G307" s="263"/>
      <c r="H307" s="263"/>
      <c r="I307" s="263"/>
      <c r="J307" s="263"/>
      <c r="K307" s="263"/>
      <c r="L307" s="263"/>
      <c r="M307" s="263"/>
      <c r="N307" s="263"/>
      <c r="O307" s="263"/>
      <c r="P307" s="263"/>
      <c r="Q307" s="263"/>
      <c r="R307" s="263"/>
      <c r="S307" s="263"/>
      <c r="T307" s="263"/>
      <c r="U307" s="263"/>
      <c r="V307" s="263"/>
      <c r="W307" s="263"/>
      <c r="X307" s="263"/>
      <c r="Y307" s="263"/>
      <c r="Z307" s="263"/>
      <c r="AA307" s="263"/>
      <c r="AB307" s="263"/>
    </row>
    <row r="308" spans="1:28" ht="16" x14ac:dyDescent="0.2">
      <c r="A308" s="263"/>
      <c r="B308" s="263"/>
      <c r="C308" s="309"/>
      <c r="D308" s="263"/>
      <c r="E308" s="263"/>
      <c r="F308" s="263"/>
      <c r="G308" s="263"/>
      <c r="H308" s="263"/>
      <c r="I308" s="263"/>
      <c r="J308" s="263"/>
      <c r="K308" s="263"/>
      <c r="L308" s="263"/>
      <c r="M308" s="263"/>
      <c r="N308" s="263"/>
      <c r="O308" s="263"/>
      <c r="P308" s="263"/>
      <c r="Q308" s="263"/>
      <c r="R308" s="263"/>
      <c r="S308" s="263"/>
      <c r="T308" s="263"/>
      <c r="U308" s="263"/>
      <c r="V308" s="263"/>
      <c r="W308" s="263"/>
      <c r="X308" s="263"/>
      <c r="Y308" s="263"/>
      <c r="Z308" s="263"/>
      <c r="AA308" s="263"/>
      <c r="AB308" s="263"/>
    </row>
    <row r="309" spans="1:28" ht="16" x14ac:dyDescent="0.2">
      <c r="A309" s="263"/>
      <c r="B309" s="263"/>
      <c r="C309" s="309"/>
      <c r="D309" s="263"/>
      <c r="E309" s="263"/>
      <c r="F309" s="263"/>
      <c r="G309" s="263"/>
      <c r="H309" s="263"/>
      <c r="I309" s="263"/>
      <c r="J309" s="263"/>
      <c r="K309" s="263"/>
      <c r="L309" s="263"/>
      <c r="M309" s="263"/>
      <c r="N309" s="263"/>
      <c r="O309" s="263"/>
      <c r="P309" s="263"/>
      <c r="Q309" s="263"/>
      <c r="R309" s="263"/>
      <c r="S309" s="263"/>
      <c r="T309" s="263"/>
      <c r="U309" s="263"/>
      <c r="V309" s="263"/>
      <c r="W309" s="263"/>
      <c r="X309" s="263"/>
      <c r="Y309" s="263"/>
      <c r="Z309" s="263"/>
      <c r="AA309" s="263"/>
      <c r="AB309" s="263"/>
    </row>
    <row r="310" spans="1:28" ht="16" x14ac:dyDescent="0.2">
      <c r="A310" s="263"/>
      <c r="B310" s="263"/>
      <c r="C310" s="309"/>
      <c r="D310" s="263"/>
      <c r="E310" s="263"/>
      <c r="F310" s="263"/>
      <c r="G310" s="263"/>
      <c r="H310" s="263"/>
      <c r="I310" s="263"/>
      <c r="J310" s="263"/>
      <c r="K310" s="263"/>
      <c r="L310" s="263"/>
      <c r="M310" s="263"/>
      <c r="N310" s="263"/>
      <c r="O310" s="263"/>
      <c r="P310" s="263"/>
      <c r="Q310" s="263"/>
      <c r="R310" s="263"/>
      <c r="S310" s="263"/>
      <c r="T310" s="263"/>
      <c r="U310" s="263"/>
      <c r="V310" s="263"/>
      <c r="W310" s="263"/>
      <c r="X310" s="263"/>
      <c r="Y310" s="263"/>
      <c r="Z310" s="263"/>
      <c r="AA310" s="263"/>
      <c r="AB310" s="263"/>
    </row>
    <row r="311" spans="1:28" ht="16" x14ac:dyDescent="0.2">
      <c r="A311" s="263"/>
      <c r="B311" s="263"/>
      <c r="C311" s="309"/>
      <c r="D311" s="263"/>
      <c r="E311" s="263"/>
      <c r="F311" s="263"/>
      <c r="G311" s="263"/>
      <c r="H311" s="263"/>
      <c r="I311" s="263"/>
      <c r="J311" s="263"/>
      <c r="K311" s="263"/>
      <c r="L311" s="263"/>
      <c r="M311" s="263"/>
      <c r="N311" s="263"/>
      <c r="O311" s="263"/>
      <c r="P311" s="263"/>
      <c r="Q311" s="263"/>
      <c r="R311" s="263"/>
      <c r="S311" s="263"/>
      <c r="T311" s="263"/>
      <c r="U311" s="263"/>
      <c r="V311" s="263"/>
      <c r="W311" s="263"/>
      <c r="X311" s="263"/>
      <c r="Y311" s="263"/>
      <c r="Z311" s="263"/>
      <c r="AA311" s="263"/>
      <c r="AB311" s="263"/>
    </row>
    <row r="312" spans="1:28" ht="16" x14ac:dyDescent="0.2">
      <c r="A312" s="263"/>
      <c r="B312" s="263"/>
      <c r="C312" s="309"/>
      <c r="D312" s="263"/>
      <c r="E312" s="263"/>
      <c r="F312" s="263"/>
      <c r="G312" s="263"/>
      <c r="H312" s="263"/>
      <c r="I312" s="263"/>
      <c r="J312" s="263"/>
      <c r="K312" s="263"/>
      <c r="L312" s="263"/>
      <c r="M312" s="263"/>
      <c r="N312" s="263"/>
      <c r="O312" s="263"/>
      <c r="P312" s="263"/>
      <c r="Q312" s="263"/>
      <c r="R312" s="263"/>
      <c r="S312" s="263"/>
      <c r="T312" s="263"/>
      <c r="U312" s="263"/>
      <c r="V312" s="263"/>
      <c r="W312" s="263"/>
      <c r="X312" s="263"/>
      <c r="Y312" s="263"/>
      <c r="Z312" s="263"/>
      <c r="AA312" s="263"/>
      <c r="AB312" s="263"/>
    </row>
    <row r="313" spans="1:28" ht="16" x14ac:dyDescent="0.2">
      <c r="A313" s="263"/>
      <c r="B313" s="263"/>
      <c r="C313" s="309"/>
      <c r="D313" s="263"/>
      <c r="E313" s="263"/>
      <c r="F313" s="263"/>
      <c r="G313" s="263"/>
      <c r="H313" s="263"/>
      <c r="I313" s="263"/>
      <c r="J313" s="263"/>
      <c r="K313" s="263"/>
      <c r="L313" s="263"/>
      <c r="M313" s="263"/>
      <c r="N313" s="263"/>
      <c r="O313" s="263"/>
      <c r="P313" s="263"/>
      <c r="Q313" s="263"/>
      <c r="R313" s="263"/>
      <c r="S313" s="263"/>
      <c r="T313" s="263"/>
      <c r="U313" s="263"/>
      <c r="V313" s="263"/>
      <c r="W313" s="263"/>
      <c r="X313" s="263"/>
      <c r="Y313" s="263"/>
      <c r="Z313" s="263"/>
      <c r="AA313" s="263"/>
      <c r="AB313" s="263"/>
    </row>
    <row r="314" spans="1:28" ht="16" x14ac:dyDescent="0.2">
      <c r="A314" s="263"/>
      <c r="B314" s="263"/>
      <c r="C314" s="309"/>
      <c r="D314" s="263"/>
      <c r="E314" s="263"/>
      <c r="F314" s="263"/>
      <c r="G314" s="263"/>
      <c r="H314" s="263"/>
      <c r="I314" s="263"/>
      <c r="J314" s="263"/>
      <c r="K314" s="263"/>
      <c r="L314" s="263"/>
      <c r="M314" s="263"/>
      <c r="N314" s="263"/>
      <c r="O314" s="263"/>
      <c r="P314" s="263"/>
      <c r="Q314" s="263"/>
      <c r="R314" s="263"/>
      <c r="S314" s="263"/>
      <c r="T314" s="263"/>
      <c r="U314" s="263"/>
      <c r="V314" s="263"/>
      <c r="W314" s="263"/>
      <c r="X314" s="263"/>
      <c r="Y314" s="263"/>
      <c r="Z314" s="263"/>
      <c r="AA314" s="263"/>
      <c r="AB314" s="263"/>
    </row>
    <row r="315" spans="1:28" ht="16" x14ac:dyDescent="0.2">
      <c r="A315" s="263"/>
      <c r="B315" s="263"/>
      <c r="C315" s="309"/>
      <c r="D315" s="263"/>
      <c r="E315" s="263"/>
      <c r="F315" s="263"/>
      <c r="G315" s="263"/>
      <c r="H315" s="263"/>
      <c r="I315" s="263"/>
      <c r="J315" s="263"/>
      <c r="K315" s="263"/>
      <c r="L315" s="263"/>
      <c r="M315" s="263"/>
      <c r="N315" s="263"/>
      <c r="O315" s="263"/>
      <c r="P315" s="263"/>
      <c r="Q315" s="263"/>
      <c r="R315" s="263"/>
      <c r="S315" s="263"/>
      <c r="T315" s="263"/>
      <c r="U315" s="263"/>
      <c r="V315" s="263"/>
      <c r="W315" s="263"/>
      <c r="X315" s="263"/>
      <c r="Y315" s="263"/>
      <c r="Z315" s="263"/>
      <c r="AA315" s="263"/>
      <c r="AB315" s="263"/>
    </row>
    <row r="316" spans="1:28" ht="16" x14ac:dyDescent="0.2">
      <c r="A316" s="263"/>
      <c r="B316" s="263"/>
      <c r="C316" s="309"/>
      <c r="D316" s="263"/>
      <c r="E316" s="263"/>
      <c r="F316" s="263"/>
      <c r="G316" s="263"/>
      <c r="H316" s="263"/>
      <c r="I316" s="263"/>
      <c r="J316" s="263"/>
      <c r="K316" s="263"/>
      <c r="L316" s="263"/>
      <c r="M316" s="263"/>
      <c r="N316" s="263"/>
      <c r="O316" s="263"/>
      <c r="P316" s="263"/>
      <c r="Q316" s="263"/>
      <c r="R316" s="263"/>
      <c r="S316" s="263"/>
      <c r="T316" s="263"/>
      <c r="U316" s="263"/>
      <c r="V316" s="263"/>
      <c r="W316" s="263"/>
      <c r="X316" s="263"/>
      <c r="Y316" s="263"/>
      <c r="Z316" s="263"/>
      <c r="AA316" s="263"/>
      <c r="AB316" s="263"/>
    </row>
    <row r="317" spans="1:28" ht="16" x14ac:dyDescent="0.2">
      <c r="A317" s="263"/>
      <c r="B317" s="263"/>
      <c r="C317" s="309"/>
      <c r="D317" s="263"/>
      <c r="E317" s="263"/>
      <c r="F317" s="263"/>
      <c r="G317" s="263"/>
      <c r="H317" s="263"/>
      <c r="I317" s="263"/>
      <c r="J317" s="263"/>
      <c r="K317" s="263"/>
      <c r="L317" s="263"/>
      <c r="M317" s="263"/>
      <c r="N317" s="263"/>
      <c r="O317" s="263"/>
      <c r="P317" s="263"/>
      <c r="Q317" s="263"/>
      <c r="R317" s="263"/>
      <c r="S317" s="263"/>
      <c r="T317" s="263"/>
      <c r="U317" s="263"/>
      <c r="V317" s="263"/>
      <c r="W317" s="263"/>
      <c r="X317" s="263"/>
      <c r="Y317" s="263"/>
      <c r="Z317" s="263"/>
      <c r="AA317" s="263"/>
      <c r="AB317" s="263"/>
    </row>
    <row r="318" spans="1:28" ht="16" x14ac:dyDescent="0.2">
      <c r="A318" s="263"/>
      <c r="B318" s="263"/>
      <c r="C318" s="309"/>
      <c r="D318" s="263"/>
      <c r="E318" s="263"/>
      <c r="F318" s="263"/>
      <c r="G318" s="263"/>
      <c r="H318" s="263"/>
      <c r="I318" s="263"/>
      <c r="J318" s="263"/>
      <c r="K318" s="263"/>
      <c r="L318" s="263"/>
      <c r="M318" s="263"/>
      <c r="N318" s="263"/>
      <c r="O318" s="263"/>
      <c r="P318" s="263"/>
      <c r="Q318" s="263"/>
      <c r="R318" s="263"/>
      <c r="S318" s="263"/>
      <c r="T318" s="263"/>
      <c r="U318" s="263"/>
      <c r="V318" s="263"/>
      <c r="W318" s="263"/>
      <c r="X318" s="263"/>
      <c r="Y318" s="263"/>
      <c r="Z318" s="263"/>
      <c r="AA318" s="263"/>
      <c r="AB318" s="263"/>
    </row>
    <row r="319" spans="1:28" ht="16" x14ac:dyDescent="0.2">
      <c r="A319" s="263"/>
      <c r="B319" s="263"/>
      <c r="C319" s="309"/>
      <c r="D319" s="263"/>
      <c r="E319" s="263"/>
      <c r="F319" s="263"/>
      <c r="G319" s="263"/>
      <c r="H319" s="263"/>
      <c r="I319" s="263"/>
      <c r="J319" s="263"/>
      <c r="K319" s="263"/>
      <c r="L319" s="263"/>
      <c r="M319" s="263"/>
      <c r="N319" s="263"/>
      <c r="O319" s="263"/>
      <c r="P319" s="263"/>
      <c r="Q319" s="263"/>
      <c r="R319" s="263"/>
      <c r="S319" s="263"/>
      <c r="T319" s="263"/>
      <c r="U319" s="263"/>
      <c r="V319" s="263"/>
      <c r="W319" s="263"/>
      <c r="X319" s="263"/>
      <c r="Y319" s="263"/>
      <c r="Z319" s="263"/>
      <c r="AA319" s="263"/>
      <c r="AB319" s="263"/>
    </row>
    <row r="320" spans="1:28" ht="16" x14ac:dyDescent="0.2">
      <c r="A320" s="263"/>
      <c r="B320" s="263"/>
      <c r="C320" s="309"/>
      <c r="D320" s="263"/>
      <c r="E320" s="263"/>
      <c r="F320" s="263"/>
      <c r="G320" s="263"/>
      <c r="H320" s="263"/>
      <c r="I320" s="263"/>
      <c r="J320" s="263"/>
      <c r="K320" s="263"/>
      <c r="L320" s="263"/>
      <c r="M320" s="263"/>
      <c r="N320" s="263"/>
      <c r="O320" s="263"/>
      <c r="P320" s="263"/>
      <c r="Q320" s="263"/>
      <c r="R320" s="263"/>
      <c r="S320" s="263"/>
      <c r="T320" s="263"/>
      <c r="U320" s="263"/>
      <c r="V320" s="263"/>
      <c r="W320" s="263"/>
      <c r="X320" s="263"/>
      <c r="Y320" s="263"/>
      <c r="Z320" s="263"/>
      <c r="AA320" s="263"/>
      <c r="AB320" s="263"/>
    </row>
    <row r="321" spans="1:28" ht="16" x14ac:dyDescent="0.2">
      <c r="A321" s="263"/>
      <c r="B321" s="263"/>
      <c r="C321" s="309"/>
      <c r="D321" s="263"/>
      <c r="E321" s="263"/>
      <c r="F321" s="263"/>
      <c r="G321" s="263"/>
      <c r="H321" s="263"/>
      <c r="I321" s="263"/>
      <c r="J321" s="263"/>
      <c r="K321" s="263"/>
      <c r="L321" s="263"/>
      <c r="M321" s="263"/>
      <c r="N321" s="263"/>
      <c r="O321" s="263"/>
      <c r="P321" s="263"/>
      <c r="Q321" s="263"/>
      <c r="R321" s="263"/>
      <c r="S321" s="263"/>
      <c r="T321" s="263"/>
      <c r="U321" s="263"/>
      <c r="V321" s="263"/>
      <c r="W321" s="263"/>
      <c r="X321" s="263"/>
      <c r="Y321" s="263"/>
      <c r="Z321" s="263"/>
      <c r="AA321" s="263"/>
      <c r="AB321" s="263"/>
    </row>
    <row r="322" spans="1:28" ht="16" x14ac:dyDescent="0.2">
      <c r="A322" s="263"/>
      <c r="B322" s="263"/>
      <c r="C322" s="309"/>
      <c r="D322" s="263"/>
      <c r="E322" s="263"/>
      <c r="F322" s="263"/>
      <c r="G322" s="263"/>
      <c r="H322" s="263"/>
      <c r="I322" s="263"/>
      <c r="J322" s="263"/>
      <c r="K322" s="263"/>
      <c r="L322" s="263"/>
      <c r="M322" s="263"/>
      <c r="N322" s="263"/>
      <c r="O322" s="263"/>
      <c r="P322" s="263"/>
      <c r="Q322" s="263"/>
      <c r="R322" s="263"/>
      <c r="S322" s="263"/>
      <c r="T322" s="263"/>
      <c r="U322" s="263"/>
      <c r="V322" s="263"/>
      <c r="W322" s="263"/>
      <c r="X322" s="263"/>
      <c r="Y322" s="263"/>
      <c r="Z322" s="263"/>
      <c r="AA322" s="263"/>
      <c r="AB322" s="263"/>
    </row>
    <row r="323" spans="1:28" ht="16" x14ac:dyDescent="0.2">
      <c r="A323" s="263"/>
      <c r="B323" s="263"/>
      <c r="C323" s="309"/>
      <c r="D323" s="263"/>
      <c r="E323" s="263"/>
      <c r="F323" s="263"/>
      <c r="G323" s="263"/>
      <c r="H323" s="263"/>
      <c r="I323" s="263"/>
      <c r="J323" s="263"/>
      <c r="K323" s="263"/>
      <c r="L323" s="263"/>
      <c r="M323" s="263"/>
      <c r="N323" s="263"/>
      <c r="O323" s="263"/>
      <c r="P323" s="263"/>
      <c r="Q323" s="263"/>
      <c r="R323" s="263"/>
      <c r="S323" s="263"/>
      <c r="T323" s="263"/>
      <c r="U323" s="263"/>
      <c r="V323" s="263"/>
      <c r="W323" s="263"/>
      <c r="X323" s="263"/>
      <c r="Y323" s="263"/>
      <c r="Z323" s="263"/>
      <c r="AA323" s="263"/>
      <c r="AB323" s="263"/>
    </row>
    <row r="324" spans="1:28" ht="16" x14ac:dyDescent="0.2">
      <c r="A324" s="263"/>
      <c r="B324" s="263"/>
      <c r="C324" s="309"/>
      <c r="D324" s="263"/>
      <c r="E324" s="263"/>
      <c r="F324" s="263"/>
      <c r="G324" s="263"/>
      <c r="H324" s="263"/>
      <c r="I324" s="263"/>
      <c r="J324" s="263"/>
      <c r="K324" s="263"/>
      <c r="L324" s="263"/>
      <c r="M324" s="263"/>
      <c r="N324" s="263"/>
      <c r="O324" s="263"/>
      <c r="P324" s="263"/>
      <c r="Q324" s="263"/>
      <c r="R324" s="263"/>
      <c r="S324" s="263"/>
      <c r="T324" s="263"/>
      <c r="U324" s="263"/>
      <c r="V324" s="263"/>
      <c r="W324" s="263"/>
      <c r="X324" s="263"/>
      <c r="Y324" s="263"/>
      <c r="Z324" s="263"/>
      <c r="AA324" s="263"/>
      <c r="AB324" s="263"/>
    </row>
    <row r="325" spans="1:28" ht="16" x14ac:dyDescent="0.2">
      <c r="A325" s="263"/>
      <c r="B325" s="263"/>
      <c r="C325" s="309"/>
      <c r="D325" s="263"/>
      <c r="E325" s="263"/>
      <c r="F325" s="263"/>
      <c r="G325" s="263"/>
      <c r="H325" s="263"/>
      <c r="I325" s="263"/>
      <c r="J325" s="263"/>
      <c r="K325" s="263"/>
      <c r="L325" s="263"/>
      <c r="M325" s="263"/>
      <c r="N325" s="263"/>
      <c r="O325" s="263"/>
      <c r="P325" s="263"/>
      <c r="Q325" s="263"/>
      <c r="R325" s="263"/>
      <c r="S325" s="263"/>
      <c r="T325" s="263"/>
      <c r="U325" s="263"/>
      <c r="V325" s="263"/>
      <c r="W325" s="263"/>
      <c r="X325" s="263"/>
      <c r="Y325" s="263"/>
      <c r="Z325" s="263"/>
      <c r="AA325" s="263"/>
      <c r="AB325" s="263"/>
    </row>
    <row r="326" spans="1:28" ht="16" x14ac:dyDescent="0.2">
      <c r="A326" s="263"/>
      <c r="B326" s="263"/>
      <c r="C326" s="309"/>
      <c r="D326" s="263"/>
      <c r="E326" s="263"/>
      <c r="F326" s="263"/>
      <c r="G326" s="263"/>
      <c r="H326" s="263"/>
      <c r="I326" s="263"/>
      <c r="J326" s="263"/>
      <c r="K326" s="263"/>
      <c r="L326" s="263"/>
      <c r="M326" s="263"/>
      <c r="N326" s="263"/>
      <c r="O326" s="263"/>
      <c r="P326" s="263"/>
      <c r="Q326" s="263"/>
      <c r="R326" s="263"/>
      <c r="S326" s="263"/>
      <c r="T326" s="263"/>
      <c r="U326" s="263"/>
      <c r="V326" s="263"/>
      <c r="W326" s="263"/>
      <c r="X326" s="263"/>
      <c r="Y326" s="263"/>
      <c r="Z326" s="263"/>
      <c r="AA326" s="263"/>
      <c r="AB326" s="263"/>
    </row>
    <row r="327" spans="1:28" ht="16" x14ac:dyDescent="0.2">
      <c r="A327" s="263"/>
      <c r="B327" s="263"/>
      <c r="C327" s="309"/>
      <c r="D327" s="263"/>
      <c r="E327" s="263"/>
      <c r="F327" s="263"/>
      <c r="G327" s="263"/>
      <c r="H327" s="263"/>
      <c r="I327" s="263"/>
      <c r="J327" s="263"/>
      <c r="K327" s="263"/>
      <c r="L327" s="263"/>
      <c r="M327" s="263"/>
      <c r="N327" s="263"/>
      <c r="O327" s="263"/>
      <c r="P327" s="263"/>
      <c r="Q327" s="263"/>
      <c r="R327" s="263"/>
      <c r="S327" s="263"/>
      <c r="T327" s="263"/>
      <c r="U327" s="263"/>
      <c r="V327" s="263"/>
      <c r="W327" s="263"/>
      <c r="X327" s="263"/>
      <c r="Y327" s="263"/>
      <c r="Z327" s="263"/>
      <c r="AA327" s="263"/>
      <c r="AB327" s="263"/>
    </row>
    <row r="328" spans="1:28" ht="16" x14ac:dyDescent="0.2">
      <c r="A328" s="263"/>
      <c r="B328" s="263"/>
      <c r="C328" s="309"/>
      <c r="D328" s="263"/>
      <c r="E328" s="263"/>
      <c r="F328" s="263"/>
      <c r="G328" s="263"/>
      <c r="H328" s="263"/>
      <c r="I328" s="263"/>
      <c r="J328" s="263"/>
      <c r="K328" s="263"/>
      <c r="L328" s="263"/>
      <c r="M328" s="263"/>
      <c r="N328" s="263"/>
      <c r="O328" s="263"/>
      <c r="P328" s="263"/>
      <c r="Q328" s="263"/>
      <c r="R328" s="263"/>
      <c r="S328" s="263"/>
      <c r="T328" s="263"/>
      <c r="U328" s="263"/>
      <c r="V328" s="263"/>
      <c r="W328" s="263"/>
      <c r="X328" s="263"/>
      <c r="Y328" s="263"/>
      <c r="Z328" s="263"/>
      <c r="AA328" s="263"/>
      <c r="AB328" s="263"/>
    </row>
    <row r="329" spans="1:28" ht="16" x14ac:dyDescent="0.2">
      <c r="A329" s="263"/>
      <c r="B329" s="263"/>
      <c r="C329" s="309"/>
      <c r="D329" s="263"/>
      <c r="E329" s="263"/>
      <c r="F329" s="263"/>
      <c r="G329" s="263"/>
      <c r="H329" s="263"/>
      <c r="I329" s="263"/>
      <c r="J329" s="263"/>
      <c r="K329" s="263"/>
      <c r="L329" s="263"/>
      <c r="M329" s="263"/>
      <c r="N329" s="263"/>
      <c r="O329" s="263"/>
      <c r="P329" s="263"/>
      <c r="Q329" s="263"/>
      <c r="R329" s="263"/>
      <c r="S329" s="263"/>
      <c r="T329" s="263"/>
      <c r="U329" s="263"/>
      <c r="V329" s="263"/>
      <c r="W329" s="263"/>
      <c r="X329" s="263"/>
      <c r="Y329" s="263"/>
      <c r="Z329" s="263"/>
      <c r="AA329" s="263"/>
      <c r="AB329" s="263"/>
    </row>
    <row r="330" spans="1:28" ht="16" x14ac:dyDescent="0.2">
      <c r="A330" s="263"/>
      <c r="B330" s="263"/>
      <c r="C330" s="309"/>
      <c r="D330" s="263"/>
      <c r="E330" s="263"/>
      <c r="F330" s="263"/>
      <c r="G330" s="263"/>
      <c r="H330" s="263"/>
      <c r="I330" s="263"/>
      <c r="J330" s="263"/>
      <c r="K330" s="263"/>
      <c r="L330" s="263"/>
      <c r="M330" s="263"/>
      <c r="N330" s="263"/>
      <c r="O330" s="263"/>
      <c r="P330" s="263"/>
      <c r="Q330" s="263"/>
      <c r="R330" s="263"/>
      <c r="S330" s="263"/>
      <c r="T330" s="263"/>
      <c r="U330" s="263"/>
      <c r="V330" s="263"/>
      <c r="W330" s="263"/>
      <c r="X330" s="263"/>
      <c r="Y330" s="263"/>
      <c r="Z330" s="263"/>
      <c r="AA330" s="263"/>
      <c r="AB330" s="263"/>
    </row>
    <row r="331" spans="1:28" ht="16" x14ac:dyDescent="0.2">
      <c r="A331" s="263"/>
      <c r="B331" s="263"/>
      <c r="C331" s="309"/>
      <c r="D331" s="263"/>
      <c r="E331" s="263"/>
      <c r="F331" s="263"/>
      <c r="G331" s="263"/>
      <c r="H331" s="263"/>
      <c r="I331" s="263"/>
      <c r="J331" s="263"/>
      <c r="K331" s="263"/>
      <c r="L331" s="263"/>
      <c r="M331" s="263"/>
      <c r="N331" s="263"/>
      <c r="O331" s="263"/>
      <c r="P331" s="263"/>
      <c r="Q331" s="263"/>
      <c r="R331" s="263"/>
      <c r="S331" s="263"/>
      <c r="T331" s="263"/>
      <c r="U331" s="263"/>
      <c r="V331" s="263"/>
      <c r="W331" s="263"/>
      <c r="X331" s="263"/>
      <c r="Y331" s="263"/>
      <c r="Z331" s="263"/>
      <c r="AA331" s="263"/>
      <c r="AB331" s="263"/>
    </row>
    <row r="332" spans="1:28" ht="16" x14ac:dyDescent="0.2">
      <c r="A332" s="263"/>
      <c r="B332" s="263"/>
      <c r="C332" s="309"/>
      <c r="D332" s="263"/>
      <c r="E332" s="263"/>
      <c r="F332" s="263"/>
      <c r="G332" s="263"/>
      <c r="H332" s="263"/>
      <c r="I332" s="263"/>
      <c r="J332" s="263"/>
      <c r="K332" s="263"/>
      <c r="L332" s="263"/>
      <c r="M332" s="263"/>
      <c r="N332" s="263"/>
      <c r="O332" s="263"/>
      <c r="P332" s="263"/>
      <c r="Q332" s="263"/>
      <c r="R332" s="263"/>
      <c r="S332" s="263"/>
      <c r="T332" s="263"/>
      <c r="U332" s="263"/>
      <c r="V332" s="263"/>
      <c r="W332" s="263"/>
      <c r="X332" s="263"/>
      <c r="Y332" s="263"/>
      <c r="Z332" s="263"/>
      <c r="AA332" s="263"/>
      <c r="AB332" s="263"/>
    </row>
    <row r="333" spans="1:28" ht="16" x14ac:dyDescent="0.2">
      <c r="A333" s="263"/>
      <c r="B333" s="263"/>
      <c r="C333" s="309"/>
      <c r="D333" s="263"/>
      <c r="E333" s="263"/>
      <c r="F333" s="263"/>
      <c r="G333" s="263"/>
      <c r="H333" s="263"/>
      <c r="I333" s="263"/>
      <c r="J333" s="263"/>
      <c r="K333" s="263"/>
      <c r="L333" s="263"/>
      <c r="M333" s="263"/>
      <c r="N333" s="263"/>
      <c r="O333" s="263"/>
      <c r="P333" s="263"/>
      <c r="Q333" s="263"/>
      <c r="R333" s="263"/>
      <c r="S333" s="263"/>
      <c r="T333" s="263"/>
      <c r="U333" s="263"/>
      <c r="V333" s="263"/>
      <c r="W333" s="263"/>
      <c r="X333" s="263"/>
      <c r="Y333" s="263"/>
      <c r="Z333" s="263"/>
      <c r="AA333" s="263"/>
      <c r="AB333" s="263"/>
    </row>
    <row r="334" spans="1:28" ht="16" x14ac:dyDescent="0.2">
      <c r="A334" s="263"/>
      <c r="B334" s="263"/>
      <c r="C334" s="309"/>
      <c r="D334" s="263"/>
      <c r="E334" s="263"/>
      <c r="F334" s="263"/>
      <c r="G334" s="263"/>
      <c r="H334" s="263"/>
      <c r="I334" s="263"/>
      <c r="J334" s="263"/>
      <c r="K334" s="263"/>
      <c r="L334" s="263"/>
      <c r="M334" s="263"/>
      <c r="N334" s="263"/>
      <c r="O334" s="263"/>
      <c r="P334" s="263"/>
      <c r="Q334" s="263"/>
      <c r="R334" s="263"/>
      <c r="S334" s="263"/>
      <c r="T334" s="263"/>
      <c r="U334" s="263"/>
      <c r="V334" s="263"/>
      <c r="W334" s="263"/>
      <c r="X334" s="263"/>
      <c r="Y334" s="263"/>
      <c r="Z334" s="263"/>
      <c r="AA334" s="263"/>
      <c r="AB334" s="263"/>
    </row>
    <row r="335" spans="1:28" ht="16" x14ac:dyDescent="0.2">
      <c r="A335" s="263"/>
      <c r="B335" s="263"/>
      <c r="C335" s="309"/>
      <c r="D335" s="263"/>
      <c r="E335" s="263"/>
      <c r="F335" s="263"/>
      <c r="G335" s="263"/>
      <c r="H335" s="263"/>
      <c r="I335" s="263"/>
      <c r="J335" s="263"/>
      <c r="K335" s="263"/>
      <c r="L335" s="263"/>
      <c r="M335" s="263"/>
      <c r="N335" s="263"/>
      <c r="O335" s="263"/>
      <c r="P335" s="263"/>
      <c r="Q335" s="263"/>
      <c r="R335" s="263"/>
      <c r="S335" s="263"/>
      <c r="T335" s="263"/>
      <c r="U335" s="263"/>
      <c r="V335" s="263"/>
      <c r="W335" s="263"/>
      <c r="X335" s="263"/>
      <c r="Y335" s="263"/>
      <c r="Z335" s="263"/>
      <c r="AA335" s="263"/>
      <c r="AB335" s="263"/>
    </row>
    <row r="336" spans="1:28" ht="16" x14ac:dyDescent="0.2">
      <c r="A336" s="263"/>
      <c r="B336" s="263"/>
      <c r="C336" s="309"/>
      <c r="D336" s="263"/>
      <c r="E336" s="263"/>
      <c r="F336" s="263"/>
      <c r="G336" s="263"/>
      <c r="H336" s="263"/>
      <c r="I336" s="263"/>
      <c r="J336" s="263"/>
      <c r="K336" s="263"/>
      <c r="L336" s="263"/>
      <c r="M336" s="263"/>
      <c r="N336" s="263"/>
      <c r="O336" s="263"/>
      <c r="P336" s="263"/>
      <c r="Q336" s="263"/>
      <c r="R336" s="263"/>
      <c r="S336" s="263"/>
      <c r="T336" s="263"/>
      <c r="U336" s="263"/>
      <c r="V336" s="263"/>
      <c r="W336" s="263"/>
      <c r="X336" s="263"/>
      <c r="Y336" s="263"/>
      <c r="Z336" s="263"/>
      <c r="AA336" s="263"/>
      <c r="AB336" s="263"/>
    </row>
    <row r="337" spans="1:28" ht="16" x14ac:dyDescent="0.2">
      <c r="A337" s="263"/>
      <c r="B337" s="263"/>
      <c r="C337" s="309"/>
      <c r="D337" s="263"/>
      <c r="E337" s="263"/>
      <c r="F337" s="263"/>
      <c r="G337" s="263"/>
      <c r="H337" s="263"/>
      <c r="I337" s="263"/>
      <c r="J337" s="263"/>
      <c r="K337" s="263"/>
      <c r="L337" s="263"/>
      <c r="M337" s="263"/>
      <c r="N337" s="263"/>
      <c r="O337" s="263"/>
      <c r="P337" s="263"/>
      <c r="Q337" s="263"/>
      <c r="R337" s="263"/>
      <c r="S337" s="263"/>
      <c r="T337" s="263"/>
      <c r="U337" s="263"/>
      <c r="V337" s="263"/>
      <c r="W337" s="263"/>
      <c r="X337" s="263"/>
      <c r="Y337" s="263"/>
      <c r="Z337" s="263"/>
      <c r="AA337" s="263"/>
      <c r="AB337" s="263"/>
    </row>
    <row r="338" spans="1:28" ht="16" x14ac:dyDescent="0.2">
      <c r="A338" s="263"/>
      <c r="B338" s="263"/>
      <c r="C338" s="309"/>
      <c r="D338" s="263"/>
      <c r="E338" s="263"/>
      <c r="F338" s="263"/>
      <c r="G338" s="263"/>
      <c r="H338" s="263"/>
      <c r="I338" s="263"/>
      <c r="J338" s="263"/>
      <c r="K338" s="263"/>
      <c r="L338" s="263"/>
      <c r="M338" s="263"/>
      <c r="N338" s="263"/>
      <c r="O338" s="263"/>
      <c r="P338" s="263"/>
      <c r="Q338" s="263"/>
      <c r="R338" s="263"/>
      <c r="S338" s="263"/>
      <c r="T338" s="263"/>
      <c r="U338" s="263"/>
      <c r="V338" s="263"/>
      <c r="W338" s="263"/>
      <c r="X338" s="263"/>
      <c r="Y338" s="263"/>
      <c r="Z338" s="263"/>
      <c r="AA338" s="263"/>
      <c r="AB338" s="263"/>
    </row>
    <row r="339" spans="1:28" ht="16" x14ac:dyDescent="0.2">
      <c r="A339" s="263"/>
      <c r="B339" s="263"/>
      <c r="C339" s="309"/>
      <c r="D339" s="263"/>
      <c r="E339" s="263"/>
      <c r="F339" s="263"/>
      <c r="G339" s="263"/>
      <c r="H339" s="263"/>
      <c r="I339" s="263"/>
      <c r="J339" s="263"/>
      <c r="K339" s="263"/>
      <c r="L339" s="263"/>
      <c r="M339" s="263"/>
      <c r="N339" s="263"/>
      <c r="O339" s="263"/>
      <c r="P339" s="263"/>
      <c r="Q339" s="263"/>
      <c r="R339" s="263"/>
      <c r="S339" s="263"/>
      <c r="T339" s="263"/>
      <c r="U339" s="263"/>
      <c r="V339" s="263"/>
      <c r="W339" s="263"/>
      <c r="X339" s="263"/>
      <c r="Y339" s="263"/>
      <c r="Z339" s="263"/>
      <c r="AA339" s="263"/>
      <c r="AB339" s="263"/>
    </row>
    <row r="340" spans="1:28" ht="16" x14ac:dyDescent="0.2">
      <c r="A340" s="263"/>
      <c r="B340" s="263"/>
      <c r="C340" s="309"/>
      <c r="D340" s="263"/>
      <c r="E340" s="263"/>
      <c r="F340" s="263"/>
      <c r="G340" s="263"/>
      <c r="H340" s="263"/>
      <c r="I340" s="263"/>
      <c r="J340" s="263"/>
      <c r="K340" s="263"/>
      <c r="L340" s="263"/>
      <c r="M340" s="263"/>
      <c r="N340" s="263"/>
      <c r="O340" s="263"/>
      <c r="P340" s="263"/>
      <c r="Q340" s="263"/>
      <c r="R340" s="263"/>
      <c r="S340" s="263"/>
      <c r="T340" s="263"/>
      <c r="U340" s="263"/>
      <c r="V340" s="263"/>
      <c r="W340" s="263"/>
      <c r="X340" s="263"/>
      <c r="Y340" s="263"/>
      <c r="Z340" s="263"/>
      <c r="AA340" s="263"/>
      <c r="AB340" s="263"/>
    </row>
    <row r="341" spans="1:28" ht="16" x14ac:dyDescent="0.2">
      <c r="A341" s="263"/>
      <c r="B341" s="263"/>
      <c r="C341" s="309"/>
      <c r="D341" s="263"/>
      <c r="E341" s="263"/>
      <c r="F341" s="263"/>
      <c r="G341" s="263"/>
      <c r="H341" s="263"/>
      <c r="I341" s="263"/>
      <c r="J341" s="263"/>
      <c r="K341" s="263"/>
      <c r="L341" s="263"/>
      <c r="M341" s="263"/>
      <c r="N341" s="263"/>
      <c r="O341" s="263"/>
      <c r="P341" s="263"/>
      <c r="Q341" s="263"/>
      <c r="R341" s="263"/>
      <c r="S341" s="263"/>
      <c r="T341" s="263"/>
      <c r="U341" s="263"/>
      <c r="V341" s="263"/>
      <c r="W341" s="263"/>
      <c r="X341" s="263"/>
      <c r="Y341" s="263"/>
      <c r="Z341" s="263"/>
      <c r="AA341" s="263"/>
      <c r="AB341" s="263"/>
    </row>
    <row r="342" spans="1:28" ht="16" x14ac:dyDescent="0.2">
      <c r="A342" s="263"/>
      <c r="B342" s="263"/>
      <c r="C342" s="309"/>
      <c r="D342" s="263"/>
      <c r="E342" s="263"/>
      <c r="F342" s="263"/>
      <c r="G342" s="263"/>
      <c r="H342" s="263"/>
      <c r="I342" s="263"/>
      <c r="J342" s="263"/>
      <c r="K342" s="263"/>
      <c r="L342" s="263"/>
      <c r="M342" s="263"/>
      <c r="N342" s="263"/>
      <c r="O342" s="263"/>
      <c r="P342" s="263"/>
      <c r="Q342" s="263"/>
      <c r="R342" s="263"/>
      <c r="S342" s="263"/>
      <c r="T342" s="263"/>
      <c r="U342" s="263"/>
      <c r="V342" s="263"/>
      <c r="W342" s="263"/>
      <c r="X342" s="263"/>
      <c r="Y342" s="263"/>
      <c r="Z342" s="263"/>
      <c r="AA342" s="263"/>
      <c r="AB342" s="263"/>
    </row>
    <row r="343" spans="1:28" ht="16" x14ac:dyDescent="0.2">
      <c r="A343" s="263"/>
      <c r="B343" s="263"/>
      <c r="C343" s="309"/>
      <c r="D343" s="263"/>
      <c r="E343" s="263"/>
      <c r="F343" s="263"/>
      <c r="G343" s="263"/>
      <c r="H343" s="263"/>
      <c r="I343" s="263"/>
      <c r="J343" s="263"/>
      <c r="K343" s="263"/>
      <c r="L343" s="263"/>
      <c r="M343" s="263"/>
      <c r="N343" s="263"/>
      <c r="O343" s="263"/>
      <c r="P343" s="263"/>
      <c r="Q343" s="263"/>
      <c r="R343" s="263"/>
      <c r="S343" s="263"/>
      <c r="T343" s="263"/>
      <c r="U343" s="263"/>
      <c r="V343" s="263"/>
      <c r="W343" s="263"/>
      <c r="X343" s="263"/>
      <c r="Y343" s="263"/>
      <c r="Z343" s="263"/>
      <c r="AA343" s="263"/>
      <c r="AB343" s="263"/>
    </row>
    <row r="344" spans="1:28" ht="16" x14ac:dyDescent="0.2">
      <c r="A344" s="263"/>
      <c r="B344" s="263"/>
      <c r="C344" s="309"/>
      <c r="D344" s="263"/>
      <c r="E344" s="263"/>
      <c r="F344" s="263"/>
      <c r="G344" s="263"/>
      <c r="H344" s="263"/>
      <c r="I344" s="263"/>
      <c r="J344" s="263"/>
      <c r="K344" s="263"/>
      <c r="L344" s="263"/>
      <c r="M344" s="263"/>
      <c r="N344" s="263"/>
      <c r="O344" s="263"/>
      <c r="P344" s="263"/>
      <c r="Q344" s="263"/>
      <c r="R344" s="263"/>
      <c r="S344" s="263"/>
      <c r="T344" s="263"/>
      <c r="U344" s="263"/>
      <c r="V344" s="263"/>
      <c r="W344" s="263"/>
      <c r="X344" s="263"/>
      <c r="Y344" s="263"/>
      <c r="Z344" s="263"/>
      <c r="AA344" s="263"/>
      <c r="AB344" s="263"/>
    </row>
    <row r="345" spans="1:28" ht="16" x14ac:dyDescent="0.2">
      <c r="A345" s="263"/>
      <c r="B345" s="263"/>
      <c r="C345" s="309"/>
      <c r="D345" s="263"/>
      <c r="E345" s="263"/>
      <c r="F345" s="263"/>
      <c r="G345" s="263"/>
      <c r="H345" s="263"/>
      <c r="I345" s="263"/>
      <c r="J345" s="263"/>
      <c r="K345" s="263"/>
      <c r="L345" s="263"/>
      <c r="M345" s="263"/>
      <c r="N345" s="263"/>
      <c r="O345" s="263"/>
      <c r="P345" s="263"/>
      <c r="Q345" s="263"/>
      <c r="R345" s="263"/>
      <c r="S345" s="263"/>
      <c r="T345" s="263"/>
      <c r="U345" s="263"/>
      <c r="V345" s="263"/>
      <c r="W345" s="263"/>
      <c r="X345" s="263"/>
      <c r="Y345" s="263"/>
      <c r="Z345" s="263"/>
      <c r="AA345" s="263"/>
      <c r="AB345" s="263"/>
    </row>
    <row r="346" spans="1:28" ht="16" x14ac:dyDescent="0.2">
      <c r="A346" s="263"/>
      <c r="B346" s="263"/>
      <c r="C346" s="309"/>
      <c r="D346" s="263"/>
      <c r="E346" s="263"/>
      <c r="F346" s="263"/>
      <c r="G346" s="263"/>
      <c r="H346" s="263"/>
      <c r="I346" s="263"/>
      <c r="J346" s="263"/>
      <c r="K346" s="263"/>
      <c r="L346" s="263"/>
      <c r="M346" s="263"/>
      <c r="N346" s="263"/>
      <c r="O346" s="263"/>
      <c r="P346" s="263"/>
      <c r="Q346" s="263"/>
      <c r="R346" s="263"/>
      <c r="S346" s="263"/>
      <c r="T346" s="263"/>
      <c r="U346" s="263"/>
      <c r="V346" s="263"/>
      <c r="W346" s="263"/>
      <c r="X346" s="263"/>
      <c r="Y346" s="263"/>
      <c r="Z346" s="263"/>
      <c r="AA346" s="263"/>
      <c r="AB346" s="263"/>
    </row>
    <row r="347" spans="1:28" ht="16" x14ac:dyDescent="0.2">
      <c r="A347" s="263"/>
      <c r="B347" s="263"/>
      <c r="C347" s="309"/>
      <c r="D347" s="263"/>
      <c r="E347" s="263"/>
      <c r="F347" s="263"/>
      <c r="G347" s="263"/>
      <c r="H347" s="263"/>
      <c r="I347" s="263"/>
      <c r="J347" s="263"/>
      <c r="K347" s="263"/>
      <c r="L347" s="263"/>
      <c r="M347" s="263"/>
      <c r="N347" s="263"/>
      <c r="O347" s="263"/>
      <c r="P347" s="263"/>
      <c r="Q347" s="263"/>
      <c r="R347" s="263"/>
      <c r="S347" s="263"/>
      <c r="T347" s="263"/>
      <c r="U347" s="263"/>
      <c r="V347" s="263"/>
      <c r="W347" s="263"/>
      <c r="X347" s="263"/>
      <c r="Y347" s="263"/>
      <c r="Z347" s="263"/>
      <c r="AA347" s="263"/>
      <c r="AB347" s="263"/>
    </row>
    <row r="348" spans="1:28" ht="16" x14ac:dyDescent="0.2">
      <c r="A348" s="263"/>
      <c r="B348" s="263"/>
      <c r="C348" s="309"/>
      <c r="D348" s="263"/>
      <c r="E348" s="263"/>
      <c r="F348" s="263"/>
      <c r="G348" s="263"/>
      <c r="H348" s="263"/>
      <c r="I348" s="263"/>
      <c r="J348" s="263"/>
      <c r="K348" s="263"/>
      <c r="L348" s="263"/>
      <c r="M348" s="263"/>
      <c r="N348" s="263"/>
      <c r="O348" s="263"/>
      <c r="P348" s="263"/>
      <c r="Q348" s="263"/>
      <c r="R348" s="263"/>
      <c r="S348" s="263"/>
      <c r="T348" s="263"/>
      <c r="U348" s="263"/>
      <c r="V348" s="263"/>
      <c r="W348" s="263"/>
      <c r="X348" s="263"/>
      <c r="Y348" s="263"/>
      <c r="Z348" s="263"/>
      <c r="AA348" s="263"/>
      <c r="AB348" s="263"/>
    </row>
    <row r="349" spans="1:28" ht="16" x14ac:dyDescent="0.2">
      <c r="A349" s="263"/>
      <c r="B349" s="263"/>
      <c r="C349" s="309"/>
      <c r="D349" s="263"/>
      <c r="E349" s="263"/>
      <c r="F349" s="263"/>
      <c r="G349" s="263"/>
      <c r="H349" s="263"/>
      <c r="I349" s="263"/>
      <c r="J349" s="263"/>
      <c r="K349" s="263"/>
      <c r="L349" s="263"/>
      <c r="M349" s="263"/>
      <c r="N349" s="263"/>
      <c r="O349" s="263"/>
      <c r="P349" s="263"/>
      <c r="Q349" s="263"/>
      <c r="R349" s="263"/>
      <c r="S349" s="263"/>
      <c r="T349" s="263"/>
      <c r="U349" s="263"/>
      <c r="V349" s="263"/>
      <c r="W349" s="263"/>
      <c r="X349" s="263"/>
      <c r="Y349" s="263"/>
      <c r="Z349" s="263"/>
      <c r="AA349" s="263"/>
      <c r="AB349" s="263"/>
    </row>
    <row r="350" spans="1:28" ht="16" x14ac:dyDescent="0.2">
      <c r="A350" s="263"/>
      <c r="B350" s="263"/>
      <c r="C350" s="309"/>
      <c r="D350" s="263"/>
      <c r="E350" s="263"/>
      <c r="F350" s="263"/>
      <c r="G350" s="263"/>
      <c r="H350" s="263"/>
      <c r="I350" s="263"/>
      <c r="J350" s="263"/>
      <c r="K350" s="263"/>
      <c r="L350" s="263"/>
      <c r="M350" s="263"/>
      <c r="N350" s="263"/>
      <c r="O350" s="263"/>
      <c r="P350" s="263"/>
      <c r="Q350" s="263"/>
      <c r="R350" s="263"/>
      <c r="S350" s="263"/>
      <c r="T350" s="263"/>
      <c r="U350" s="263"/>
      <c r="V350" s="263"/>
      <c r="W350" s="263"/>
      <c r="X350" s="263"/>
      <c r="Y350" s="263"/>
      <c r="Z350" s="263"/>
      <c r="AA350" s="263"/>
      <c r="AB350" s="263"/>
    </row>
    <row r="351" spans="1:28" ht="16" x14ac:dyDescent="0.2">
      <c r="A351" s="263"/>
      <c r="B351" s="263"/>
      <c r="C351" s="309"/>
      <c r="D351" s="263"/>
      <c r="E351" s="263"/>
      <c r="F351" s="263"/>
      <c r="G351" s="263"/>
      <c r="H351" s="263"/>
      <c r="I351" s="263"/>
      <c r="J351" s="263"/>
      <c r="K351" s="263"/>
      <c r="L351" s="263"/>
      <c r="M351" s="263"/>
      <c r="N351" s="263"/>
      <c r="O351" s="263"/>
      <c r="P351" s="263"/>
      <c r="Q351" s="263"/>
      <c r="R351" s="263"/>
      <c r="S351" s="263"/>
      <c r="T351" s="263"/>
      <c r="U351" s="263"/>
      <c r="V351" s="263"/>
      <c r="W351" s="263"/>
      <c r="X351" s="263"/>
      <c r="Y351" s="263"/>
      <c r="Z351" s="263"/>
      <c r="AA351" s="263"/>
      <c r="AB351" s="263"/>
    </row>
    <row r="352" spans="1:28" ht="16" x14ac:dyDescent="0.2">
      <c r="A352" s="263"/>
      <c r="B352" s="263"/>
      <c r="C352" s="309"/>
      <c r="D352" s="263"/>
      <c r="E352" s="263"/>
      <c r="F352" s="263"/>
      <c r="G352" s="263"/>
      <c r="H352" s="263"/>
      <c r="I352" s="263"/>
      <c r="J352" s="263"/>
      <c r="K352" s="263"/>
      <c r="L352" s="263"/>
      <c r="M352" s="263"/>
      <c r="N352" s="263"/>
      <c r="O352" s="263"/>
      <c r="P352" s="263"/>
      <c r="Q352" s="263"/>
      <c r="R352" s="263"/>
      <c r="S352" s="263"/>
      <c r="T352" s="263"/>
      <c r="U352" s="263"/>
      <c r="V352" s="263"/>
      <c r="W352" s="263"/>
      <c r="X352" s="263"/>
      <c r="Y352" s="263"/>
      <c r="Z352" s="263"/>
      <c r="AA352" s="263"/>
      <c r="AB352" s="263"/>
    </row>
    <row r="353" spans="1:28" ht="16" x14ac:dyDescent="0.2">
      <c r="A353" s="263"/>
      <c r="B353" s="263"/>
      <c r="C353" s="309"/>
      <c r="D353" s="263"/>
      <c r="E353" s="263"/>
      <c r="F353" s="263"/>
      <c r="G353" s="263"/>
      <c r="H353" s="263"/>
      <c r="I353" s="263"/>
      <c r="J353" s="263"/>
      <c r="K353" s="263"/>
      <c r="L353" s="263"/>
      <c r="M353" s="263"/>
      <c r="N353" s="263"/>
      <c r="O353" s="263"/>
      <c r="P353" s="263"/>
      <c r="Q353" s="263"/>
      <c r="R353" s="263"/>
      <c r="S353" s="263"/>
      <c r="T353" s="263"/>
      <c r="U353" s="263"/>
      <c r="V353" s="263"/>
      <c r="W353" s="263"/>
      <c r="X353" s="263"/>
      <c r="Y353" s="263"/>
      <c r="Z353" s="263"/>
      <c r="AA353" s="263"/>
      <c r="AB353" s="263"/>
    </row>
    <row r="354" spans="1:28" ht="16" x14ac:dyDescent="0.2">
      <c r="A354" s="263"/>
      <c r="B354" s="263"/>
      <c r="C354" s="309"/>
      <c r="D354" s="263"/>
      <c r="E354" s="263"/>
      <c r="F354" s="263"/>
      <c r="G354" s="263"/>
      <c r="H354" s="263"/>
      <c r="I354" s="263"/>
      <c r="J354" s="263"/>
      <c r="K354" s="263"/>
      <c r="L354" s="263"/>
      <c r="M354" s="263"/>
      <c r="N354" s="263"/>
      <c r="O354" s="263"/>
      <c r="P354" s="263"/>
      <c r="Q354" s="263"/>
      <c r="R354" s="263"/>
      <c r="S354" s="263"/>
      <c r="T354" s="263"/>
      <c r="U354" s="263"/>
      <c r="V354" s="263"/>
      <c r="W354" s="263"/>
      <c r="X354" s="263"/>
      <c r="Y354" s="263"/>
      <c r="Z354" s="263"/>
      <c r="AA354" s="263"/>
      <c r="AB354" s="263"/>
    </row>
    <row r="355" spans="1:28" ht="16" x14ac:dyDescent="0.2">
      <c r="A355" s="263"/>
      <c r="B355" s="263"/>
      <c r="C355" s="309"/>
      <c r="D355" s="263"/>
      <c r="E355" s="263"/>
      <c r="F355" s="263"/>
      <c r="G355" s="263"/>
      <c r="H355" s="263"/>
      <c r="I355" s="263"/>
      <c r="J355" s="263"/>
      <c r="K355" s="263"/>
      <c r="L355" s="263"/>
      <c r="M355" s="263"/>
      <c r="N355" s="263"/>
      <c r="O355" s="263"/>
      <c r="P355" s="263"/>
      <c r="Q355" s="263"/>
      <c r="R355" s="263"/>
      <c r="S355" s="263"/>
      <c r="T355" s="263"/>
      <c r="U355" s="263"/>
      <c r="V355" s="263"/>
      <c r="W355" s="263"/>
      <c r="X355" s="263"/>
      <c r="Y355" s="263"/>
      <c r="Z355" s="263"/>
      <c r="AA355" s="263"/>
      <c r="AB355" s="263"/>
    </row>
    <row r="356" spans="1:28" ht="16" x14ac:dyDescent="0.2">
      <c r="A356" s="263"/>
      <c r="B356" s="263"/>
      <c r="C356" s="309"/>
      <c r="D356" s="263"/>
      <c r="E356" s="263"/>
      <c r="F356" s="263"/>
      <c r="G356" s="263"/>
      <c r="H356" s="263"/>
      <c r="I356" s="263"/>
      <c r="J356" s="263"/>
      <c r="K356" s="263"/>
      <c r="L356" s="263"/>
      <c r="M356" s="263"/>
      <c r="N356" s="263"/>
      <c r="O356" s="263"/>
      <c r="P356" s="263"/>
      <c r="Q356" s="263"/>
      <c r="R356" s="263"/>
      <c r="S356" s="263"/>
      <c r="T356" s="263"/>
      <c r="U356" s="263"/>
      <c r="V356" s="263"/>
      <c r="W356" s="263"/>
      <c r="X356" s="263"/>
      <c r="Y356" s="263"/>
      <c r="Z356" s="263"/>
      <c r="AA356" s="263"/>
      <c r="AB356" s="263"/>
    </row>
    <row r="357" spans="1:28" ht="16" x14ac:dyDescent="0.2">
      <c r="A357" s="263"/>
      <c r="B357" s="263"/>
      <c r="C357" s="309"/>
      <c r="D357" s="263"/>
      <c r="E357" s="263"/>
      <c r="F357" s="263"/>
      <c r="G357" s="263"/>
      <c r="H357" s="263"/>
      <c r="I357" s="263"/>
      <c r="J357" s="263"/>
      <c r="K357" s="263"/>
      <c r="L357" s="263"/>
      <c r="M357" s="263"/>
      <c r="N357" s="263"/>
      <c r="O357" s="263"/>
      <c r="P357" s="263"/>
      <c r="Q357" s="263"/>
      <c r="R357" s="263"/>
      <c r="S357" s="263"/>
      <c r="T357" s="263"/>
      <c r="U357" s="263"/>
      <c r="V357" s="263"/>
      <c r="W357" s="263"/>
      <c r="X357" s="263"/>
      <c r="Y357" s="263"/>
      <c r="Z357" s="263"/>
      <c r="AA357" s="263"/>
      <c r="AB357" s="263"/>
    </row>
    <row r="358" spans="1:28" ht="16" x14ac:dyDescent="0.2">
      <c r="A358" s="263"/>
      <c r="B358" s="263"/>
      <c r="C358" s="309"/>
      <c r="D358" s="263"/>
      <c r="E358" s="263"/>
      <c r="F358" s="263"/>
      <c r="G358" s="263"/>
      <c r="H358" s="263"/>
      <c r="I358" s="263"/>
      <c r="J358" s="263"/>
      <c r="K358" s="263"/>
      <c r="L358" s="263"/>
      <c r="M358" s="263"/>
      <c r="N358" s="263"/>
      <c r="O358" s="263"/>
      <c r="P358" s="263"/>
      <c r="Q358" s="263"/>
      <c r="R358" s="263"/>
      <c r="S358" s="263"/>
      <c r="T358" s="263"/>
      <c r="U358" s="263"/>
      <c r="V358" s="263"/>
      <c r="W358" s="263"/>
      <c r="X358" s="263"/>
      <c r="Y358" s="263"/>
      <c r="Z358" s="263"/>
      <c r="AA358" s="263"/>
      <c r="AB358" s="263"/>
    </row>
    <row r="359" spans="1:28" ht="16" x14ac:dyDescent="0.2">
      <c r="A359" s="263"/>
      <c r="B359" s="263"/>
      <c r="C359" s="309"/>
      <c r="D359" s="263"/>
      <c r="E359" s="263"/>
      <c r="F359" s="263"/>
      <c r="G359" s="263"/>
      <c r="H359" s="263"/>
      <c r="I359" s="263"/>
      <c r="J359" s="263"/>
      <c r="K359" s="263"/>
      <c r="L359" s="263"/>
      <c r="M359" s="263"/>
      <c r="N359" s="263"/>
      <c r="O359" s="263"/>
      <c r="P359" s="263"/>
      <c r="Q359" s="263"/>
      <c r="R359" s="263"/>
      <c r="S359" s="263"/>
      <c r="T359" s="263"/>
      <c r="U359" s="263"/>
      <c r="V359" s="263"/>
      <c r="W359" s="263"/>
      <c r="X359" s="263"/>
      <c r="Y359" s="263"/>
      <c r="Z359" s="263"/>
      <c r="AA359" s="263"/>
      <c r="AB359" s="263"/>
    </row>
    <row r="360" spans="1:28" ht="16" x14ac:dyDescent="0.2">
      <c r="A360" s="263"/>
      <c r="B360" s="263"/>
      <c r="C360" s="309"/>
      <c r="D360" s="263"/>
      <c r="E360" s="263"/>
      <c r="F360" s="263"/>
      <c r="G360" s="263"/>
      <c r="H360" s="263"/>
      <c r="I360" s="263"/>
      <c r="J360" s="263"/>
      <c r="K360" s="263"/>
      <c r="L360" s="263"/>
      <c r="M360" s="263"/>
      <c r="N360" s="263"/>
      <c r="O360" s="263"/>
      <c r="P360" s="263"/>
      <c r="Q360" s="263"/>
      <c r="R360" s="263"/>
      <c r="S360" s="263"/>
      <c r="T360" s="263"/>
      <c r="U360" s="263"/>
      <c r="V360" s="263"/>
      <c r="W360" s="263"/>
      <c r="X360" s="263"/>
      <c r="Y360" s="263"/>
      <c r="Z360" s="263"/>
      <c r="AA360" s="263"/>
      <c r="AB360" s="263"/>
    </row>
    <row r="361" spans="1:28" ht="16" x14ac:dyDescent="0.2">
      <c r="A361" s="263"/>
      <c r="B361" s="263"/>
      <c r="C361" s="309"/>
      <c r="D361" s="263"/>
      <c r="E361" s="263"/>
      <c r="F361" s="263"/>
      <c r="G361" s="263"/>
      <c r="H361" s="263"/>
      <c r="I361" s="263"/>
      <c r="J361" s="263"/>
      <c r="K361" s="263"/>
      <c r="L361" s="263"/>
      <c r="M361" s="263"/>
      <c r="N361" s="263"/>
      <c r="O361" s="263"/>
      <c r="P361" s="263"/>
      <c r="Q361" s="263"/>
      <c r="R361" s="263"/>
      <c r="S361" s="263"/>
      <c r="T361" s="263"/>
      <c r="U361" s="263"/>
      <c r="V361" s="263"/>
      <c r="W361" s="263"/>
      <c r="X361" s="263"/>
      <c r="Y361" s="263"/>
      <c r="Z361" s="263"/>
      <c r="AA361" s="263"/>
      <c r="AB361" s="263"/>
    </row>
    <row r="362" spans="1:28" ht="16" x14ac:dyDescent="0.2">
      <c r="A362" s="263"/>
      <c r="B362" s="263"/>
      <c r="C362" s="309"/>
      <c r="D362" s="263"/>
      <c r="E362" s="263"/>
      <c r="F362" s="263"/>
      <c r="G362" s="263"/>
      <c r="H362" s="263"/>
      <c r="I362" s="263"/>
      <c r="J362" s="263"/>
      <c r="K362" s="263"/>
      <c r="L362" s="263"/>
      <c r="M362" s="263"/>
      <c r="N362" s="263"/>
      <c r="O362" s="263"/>
      <c r="P362" s="263"/>
      <c r="Q362" s="263"/>
      <c r="R362" s="263"/>
      <c r="S362" s="263"/>
      <c r="T362" s="263"/>
      <c r="U362" s="263"/>
      <c r="V362" s="263"/>
      <c r="W362" s="263"/>
      <c r="X362" s="263"/>
      <c r="Y362" s="263"/>
      <c r="Z362" s="263"/>
      <c r="AA362" s="263"/>
      <c r="AB362" s="263"/>
    </row>
    <row r="363" spans="1:28" ht="16" x14ac:dyDescent="0.2">
      <c r="A363" s="263"/>
      <c r="B363" s="263"/>
      <c r="C363" s="309"/>
      <c r="D363" s="263"/>
      <c r="E363" s="263"/>
      <c r="F363" s="263"/>
      <c r="G363" s="263"/>
      <c r="H363" s="263"/>
      <c r="I363" s="263"/>
      <c r="J363" s="263"/>
      <c r="K363" s="263"/>
      <c r="L363" s="263"/>
      <c r="M363" s="263"/>
      <c r="N363" s="263"/>
      <c r="O363" s="263"/>
      <c r="P363" s="263"/>
      <c r="Q363" s="263"/>
      <c r="R363" s="263"/>
      <c r="S363" s="263"/>
      <c r="T363" s="263"/>
      <c r="U363" s="263"/>
      <c r="V363" s="263"/>
      <c r="W363" s="263"/>
      <c r="X363" s="263"/>
      <c r="Y363" s="263"/>
      <c r="Z363" s="263"/>
      <c r="AA363" s="263"/>
      <c r="AB363" s="263"/>
    </row>
    <row r="364" spans="1:28" ht="16" x14ac:dyDescent="0.2">
      <c r="A364" s="263"/>
      <c r="B364" s="263"/>
      <c r="C364" s="309"/>
      <c r="D364" s="263"/>
      <c r="E364" s="263"/>
      <c r="F364" s="263"/>
      <c r="G364" s="263"/>
      <c r="H364" s="263"/>
      <c r="I364" s="263"/>
      <c r="J364" s="263"/>
      <c r="K364" s="263"/>
      <c r="L364" s="263"/>
      <c r="M364" s="263"/>
      <c r="N364" s="263"/>
      <c r="O364" s="263"/>
      <c r="P364" s="263"/>
      <c r="Q364" s="263"/>
      <c r="R364" s="263"/>
      <c r="S364" s="263"/>
      <c r="T364" s="263"/>
      <c r="U364" s="263"/>
      <c r="V364" s="263"/>
      <c r="W364" s="263"/>
      <c r="X364" s="263"/>
      <c r="Y364" s="263"/>
      <c r="Z364" s="263"/>
      <c r="AA364" s="263"/>
      <c r="AB364" s="263"/>
    </row>
    <row r="365" spans="1:28" ht="16" x14ac:dyDescent="0.2">
      <c r="A365" s="263"/>
      <c r="B365" s="263"/>
      <c r="C365" s="309"/>
      <c r="D365" s="263"/>
      <c r="E365" s="263"/>
      <c r="F365" s="263"/>
      <c r="G365" s="263"/>
      <c r="H365" s="263"/>
      <c r="I365" s="263"/>
      <c r="J365" s="263"/>
      <c r="K365" s="263"/>
      <c r="L365" s="263"/>
      <c r="M365" s="263"/>
      <c r="N365" s="263"/>
      <c r="O365" s="263"/>
      <c r="P365" s="263"/>
      <c r="Q365" s="263"/>
      <c r="R365" s="263"/>
      <c r="S365" s="263"/>
      <c r="T365" s="263"/>
      <c r="U365" s="263"/>
      <c r="V365" s="263"/>
      <c r="W365" s="263"/>
      <c r="X365" s="263"/>
      <c r="Y365" s="263"/>
      <c r="Z365" s="263"/>
      <c r="AA365" s="263"/>
      <c r="AB365" s="263"/>
    </row>
    <row r="366" spans="1:28" ht="16" x14ac:dyDescent="0.2">
      <c r="A366" s="263"/>
      <c r="B366" s="263"/>
      <c r="C366" s="309"/>
      <c r="D366" s="263"/>
      <c r="E366" s="263"/>
      <c r="F366" s="263"/>
      <c r="G366" s="263"/>
      <c r="H366" s="263"/>
      <c r="I366" s="263"/>
      <c r="J366" s="263"/>
      <c r="K366" s="263"/>
      <c r="L366" s="263"/>
      <c r="M366" s="263"/>
      <c r="N366" s="263"/>
      <c r="O366" s="263"/>
      <c r="P366" s="263"/>
      <c r="Q366" s="263"/>
      <c r="R366" s="263"/>
      <c r="S366" s="263"/>
      <c r="T366" s="263"/>
      <c r="U366" s="263"/>
      <c r="V366" s="263"/>
      <c r="W366" s="263"/>
      <c r="X366" s="263"/>
      <c r="Y366" s="263"/>
      <c r="Z366" s="263"/>
      <c r="AA366" s="263"/>
      <c r="AB366" s="263"/>
    </row>
    <row r="367" spans="1:28" ht="16" x14ac:dyDescent="0.2">
      <c r="A367" s="263"/>
      <c r="B367" s="263"/>
      <c r="C367" s="309"/>
      <c r="D367" s="263"/>
      <c r="E367" s="263"/>
      <c r="F367" s="263"/>
      <c r="G367" s="263"/>
      <c r="H367" s="263"/>
      <c r="I367" s="263"/>
      <c r="J367" s="263"/>
      <c r="K367" s="263"/>
      <c r="L367" s="263"/>
      <c r="M367" s="263"/>
      <c r="N367" s="263"/>
      <c r="O367" s="263"/>
      <c r="P367" s="263"/>
      <c r="Q367" s="263"/>
      <c r="R367" s="263"/>
      <c r="S367" s="263"/>
      <c r="T367" s="263"/>
      <c r="U367" s="263"/>
      <c r="V367" s="263"/>
      <c r="W367" s="263"/>
      <c r="X367" s="263"/>
      <c r="Y367" s="263"/>
      <c r="Z367" s="263"/>
      <c r="AA367" s="263"/>
      <c r="AB367" s="263"/>
    </row>
    <row r="368" spans="1:28" ht="16" x14ac:dyDescent="0.2">
      <c r="A368" s="263"/>
      <c r="B368" s="263"/>
      <c r="C368" s="309"/>
      <c r="D368" s="263"/>
      <c r="E368" s="263"/>
      <c r="F368" s="263"/>
      <c r="G368" s="263"/>
      <c r="H368" s="263"/>
      <c r="I368" s="263"/>
      <c r="J368" s="263"/>
      <c r="K368" s="263"/>
      <c r="L368" s="263"/>
      <c r="M368" s="263"/>
      <c r="N368" s="263"/>
      <c r="O368" s="263"/>
      <c r="P368" s="263"/>
      <c r="Q368" s="263"/>
      <c r="R368" s="263"/>
      <c r="S368" s="263"/>
      <c r="T368" s="263"/>
      <c r="U368" s="263"/>
      <c r="V368" s="263"/>
      <c r="W368" s="263"/>
      <c r="X368" s="263"/>
      <c r="Y368" s="263"/>
      <c r="Z368" s="263"/>
      <c r="AA368" s="263"/>
      <c r="AB368" s="263"/>
    </row>
    <row r="369" spans="1:28" ht="16" x14ac:dyDescent="0.2">
      <c r="A369" s="263"/>
      <c r="B369" s="263"/>
      <c r="C369" s="309"/>
      <c r="D369" s="263"/>
      <c r="E369" s="263"/>
      <c r="F369" s="263"/>
      <c r="G369" s="263"/>
      <c r="H369" s="263"/>
      <c r="I369" s="263"/>
      <c r="J369" s="263"/>
      <c r="K369" s="263"/>
      <c r="L369" s="263"/>
      <c r="M369" s="263"/>
      <c r="N369" s="263"/>
      <c r="O369" s="263"/>
      <c r="P369" s="263"/>
      <c r="Q369" s="263"/>
      <c r="R369" s="263"/>
      <c r="S369" s="263"/>
      <c r="T369" s="263"/>
      <c r="U369" s="263"/>
      <c r="V369" s="263"/>
      <c r="W369" s="263"/>
      <c r="X369" s="263"/>
      <c r="Y369" s="263"/>
      <c r="Z369" s="263"/>
      <c r="AA369" s="263"/>
      <c r="AB369" s="263"/>
    </row>
    <row r="370" spans="1:28" ht="16" x14ac:dyDescent="0.2">
      <c r="A370" s="263"/>
      <c r="B370" s="263"/>
      <c r="C370" s="309"/>
      <c r="D370" s="263"/>
      <c r="E370" s="263"/>
      <c r="F370" s="263"/>
      <c r="G370" s="263"/>
      <c r="H370" s="263"/>
      <c r="I370" s="263"/>
      <c r="J370" s="263"/>
      <c r="K370" s="263"/>
      <c r="L370" s="263"/>
      <c r="M370" s="263"/>
      <c r="N370" s="263"/>
      <c r="O370" s="263"/>
      <c r="P370" s="263"/>
      <c r="Q370" s="263"/>
      <c r="R370" s="263"/>
      <c r="S370" s="263"/>
      <c r="T370" s="263"/>
      <c r="U370" s="263"/>
      <c r="V370" s="263"/>
      <c r="W370" s="263"/>
      <c r="X370" s="263"/>
      <c r="Y370" s="263"/>
      <c r="Z370" s="263"/>
      <c r="AA370" s="263"/>
      <c r="AB370" s="263"/>
    </row>
    <row r="371" spans="1:28" ht="16" x14ac:dyDescent="0.2">
      <c r="A371" s="263"/>
      <c r="B371" s="263"/>
      <c r="C371" s="309"/>
      <c r="D371" s="263"/>
      <c r="E371" s="263"/>
      <c r="F371" s="263"/>
      <c r="G371" s="263"/>
      <c r="H371" s="263"/>
      <c r="I371" s="263"/>
      <c r="J371" s="263"/>
      <c r="K371" s="263"/>
      <c r="L371" s="263"/>
      <c r="M371" s="263"/>
      <c r="N371" s="263"/>
      <c r="O371" s="263"/>
      <c r="P371" s="263"/>
      <c r="Q371" s="263"/>
      <c r="R371" s="263"/>
      <c r="S371" s="263"/>
      <c r="T371" s="263"/>
      <c r="U371" s="263"/>
      <c r="V371" s="263"/>
      <c r="W371" s="263"/>
      <c r="X371" s="263"/>
      <c r="Y371" s="263"/>
      <c r="Z371" s="263"/>
      <c r="AA371" s="263"/>
      <c r="AB371" s="263"/>
    </row>
    <row r="372" spans="1:28" ht="16" x14ac:dyDescent="0.2">
      <c r="A372" s="263"/>
      <c r="B372" s="263"/>
      <c r="C372" s="309"/>
      <c r="D372" s="263"/>
      <c r="E372" s="263"/>
      <c r="F372" s="263"/>
      <c r="G372" s="263"/>
      <c r="H372" s="263"/>
      <c r="I372" s="263"/>
      <c r="J372" s="263"/>
      <c r="K372" s="263"/>
      <c r="L372" s="263"/>
      <c r="M372" s="263"/>
      <c r="N372" s="263"/>
      <c r="O372" s="263"/>
      <c r="P372" s="263"/>
      <c r="Q372" s="263"/>
      <c r="R372" s="263"/>
      <c r="S372" s="263"/>
      <c r="T372" s="263"/>
      <c r="U372" s="263"/>
      <c r="V372" s="263"/>
      <c r="W372" s="263"/>
      <c r="X372" s="263"/>
      <c r="Y372" s="263"/>
      <c r="Z372" s="263"/>
      <c r="AA372" s="263"/>
      <c r="AB372" s="263"/>
    </row>
    <row r="373" spans="1:28" ht="16" x14ac:dyDescent="0.2">
      <c r="A373" s="263"/>
      <c r="B373" s="263"/>
      <c r="C373" s="309"/>
      <c r="D373" s="263"/>
      <c r="E373" s="263"/>
      <c r="F373" s="263"/>
      <c r="G373" s="263"/>
      <c r="H373" s="263"/>
      <c r="I373" s="263"/>
      <c r="J373" s="263"/>
      <c r="K373" s="263"/>
      <c r="L373" s="263"/>
      <c r="M373" s="263"/>
      <c r="N373" s="263"/>
      <c r="O373" s="263"/>
      <c r="P373" s="263"/>
      <c r="Q373" s="263"/>
      <c r="R373" s="263"/>
      <c r="S373" s="263"/>
      <c r="T373" s="263"/>
      <c r="U373" s="263"/>
      <c r="V373" s="263"/>
      <c r="W373" s="263"/>
      <c r="X373" s="263"/>
      <c r="Y373" s="263"/>
      <c r="Z373" s="263"/>
      <c r="AA373" s="263"/>
      <c r="AB373" s="263"/>
    </row>
    <row r="374" spans="1:28" ht="16" x14ac:dyDescent="0.2">
      <c r="A374" s="263"/>
      <c r="B374" s="263"/>
      <c r="C374" s="309"/>
      <c r="D374" s="263"/>
      <c r="E374" s="263"/>
      <c r="F374" s="263"/>
      <c r="G374" s="263"/>
      <c r="H374" s="263"/>
      <c r="I374" s="263"/>
      <c r="J374" s="263"/>
      <c r="K374" s="263"/>
      <c r="L374" s="263"/>
      <c r="M374" s="263"/>
      <c r="N374" s="263"/>
      <c r="O374" s="263"/>
      <c r="P374" s="263"/>
      <c r="Q374" s="263"/>
      <c r="R374" s="263"/>
      <c r="S374" s="263"/>
      <c r="T374" s="263"/>
      <c r="U374" s="263"/>
      <c r="V374" s="263"/>
      <c r="W374" s="263"/>
      <c r="X374" s="263"/>
      <c r="Y374" s="263"/>
      <c r="Z374" s="263"/>
      <c r="AA374" s="263"/>
      <c r="AB374" s="263"/>
    </row>
    <row r="375" spans="1:28" ht="16" x14ac:dyDescent="0.2">
      <c r="A375" s="263"/>
      <c r="B375" s="263"/>
      <c r="C375" s="309"/>
      <c r="D375" s="263"/>
      <c r="E375" s="263"/>
      <c r="F375" s="263"/>
      <c r="G375" s="263"/>
      <c r="H375" s="263"/>
      <c r="I375" s="263"/>
      <c r="J375" s="263"/>
      <c r="K375" s="263"/>
      <c r="L375" s="263"/>
      <c r="M375" s="263"/>
      <c r="N375" s="263"/>
      <c r="O375" s="263"/>
      <c r="P375" s="263"/>
      <c r="Q375" s="263"/>
      <c r="R375" s="263"/>
      <c r="S375" s="263"/>
      <c r="T375" s="263"/>
      <c r="U375" s="263"/>
      <c r="V375" s="263"/>
      <c r="W375" s="263"/>
      <c r="X375" s="263"/>
      <c r="Y375" s="263"/>
      <c r="Z375" s="263"/>
      <c r="AA375" s="263"/>
      <c r="AB375" s="263"/>
    </row>
    <row r="376" spans="1:28" ht="16" x14ac:dyDescent="0.2">
      <c r="A376" s="263"/>
      <c r="B376" s="263"/>
      <c r="C376" s="309"/>
      <c r="D376" s="263"/>
      <c r="E376" s="263"/>
      <c r="F376" s="263"/>
      <c r="G376" s="263"/>
      <c r="H376" s="263"/>
      <c r="I376" s="263"/>
      <c r="J376" s="263"/>
      <c r="K376" s="263"/>
      <c r="L376" s="263"/>
      <c r="M376" s="263"/>
      <c r="N376" s="263"/>
      <c r="O376" s="263"/>
      <c r="P376" s="263"/>
      <c r="Q376" s="263"/>
      <c r="R376" s="263"/>
      <c r="S376" s="263"/>
      <c r="T376" s="263"/>
      <c r="U376" s="263"/>
      <c r="V376" s="263"/>
      <c r="W376" s="263"/>
      <c r="X376" s="263"/>
      <c r="Y376" s="263"/>
      <c r="Z376" s="263"/>
      <c r="AA376" s="263"/>
      <c r="AB376" s="263"/>
    </row>
    <row r="377" spans="1:28" ht="16" x14ac:dyDescent="0.2">
      <c r="A377" s="263"/>
      <c r="B377" s="263"/>
      <c r="C377" s="309"/>
      <c r="D377" s="263"/>
      <c r="E377" s="263"/>
      <c r="F377" s="263"/>
      <c r="G377" s="263"/>
      <c r="H377" s="263"/>
      <c r="I377" s="263"/>
      <c r="J377" s="263"/>
      <c r="K377" s="263"/>
      <c r="L377" s="263"/>
      <c r="M377" s="263"/>
      <c r="N377" s="263"/>
      <c r="O377" s="263"/>
      <c r="P377" s="263"/>
      <c r="Q377" s="263"/>
      <c r="R377" s="263"/>
      <c r="S377" s="263"/>
      <c r="T377" s="263"/>
      <c r="U377" s="263"/>
      <c r="V377" s="263"/>
      <c r="W377" s="263"/>
      <c r="X377" s="263"/>
      <c r="Y377" s="263"/>
      <c r="Z377" s="263"/>
      <c r="AA377" s="263"/>
      <c r="AB377" s="263"/>
    </row>
    <row r="378" spans="1:28" ht="16" x14ac:dyDescent="0.2">
      <c r="A378" s="263"/>
      <c r="B378" s="263"/>
      <c r="C378" s="309"/>
      <c r="D378" s="263"/>
      <c r="E378" s="263"/>
      <c r="F378" s="263"/>
      <c r="G378" s="263"/>
      <c r="H378" s="263"/>
      <c r="I378" s="263"/>
      <c r="J378" s="263"/>
      <c r="K378" s="263"/>
      <c r="L378" s="263"/>
      <c r="M378" s="263"/>
      <c r="N378" s="263"/>
      <c r="O378" s="263"/>
      <c r="P378" s="263"/>
      <c r="Q378" s="263"/>
      <c r="R378" s="263"/>
      <c r="S378" s="263"/>
      <c r="T378" s="263"/>
      <c r="U378" s="263"/>
      <c r="V378" s="263"/>
      <c r="W378" s="263"/>
      <c r="X378" s="263"/>
      <c r="Y378" s="263"/>
      <c r="Z378" s="263"/>
      <c r="AA378" s="263"/>
      <c r="AB378" s="263"/>
    </row>
    <row r="379" spans="1:28" ht="16" x14ac:dyDescent="0.2">
      <c r="A379" s="263"/>
      <c r="B379" s="263"/>
      <c r="C379" s="309"/>
      <c r="D379" s="263"/>
      <c r="E379" s="263"/>
      <c r="F379" s="263"/>
      <c r="G379" s="263"/>
      <c r="H379" s="263"/>
      <c r="I379" s="263"/>
      <c r="J379" s="263"/>
      <c r="K379" s="263"/>
      <c r="L379" s="263"/>
      <c r="M379" s="263"/>
      <c r="N379" s="263"/>
      <c r="O379" s="263"/>
      <c r="P379" s="263"/>
      <c r="Q379" s="263"/>
      <c r="R379" s="263"/>
      <c r="S379" s="263"/>
      <c r="T379" s="263"/>
      <c r="U379" s="263"/>
      <c r="V379" s="263"/>
      <c r="W379" s="263"/>
      <c r="X379" s="263"/>
      <c r="Y379" s="263"/>
      <c r="Z379" s="263"/>
      <c r="AA379" s="263"/>
      <c r="AB379" s="263"/>
    </row>
    <row r="380" spans="1:28" ht="16" x14ac:dyDescent="0.2">
      <c r="A380" s="263"/>
      <c r="B380" s="263"/>
      <c r="C380" s="309"/>
      <c r="D380" s="263"/>
      <c r="E380" s="263"/>
      <c r="F380" s="263"/>
      <c r="G380" s="263"/>
      <c r="H380" s="263"/>
      <c r="I380" s="263"/>
      <c r="J380" s="263"/>
      <c r="K380" s="263"/>
      <c r="L380" s="263"/>
      <c r="M380" s="263"/>
      <c r="N380" s="263"/>
      <c r="O380" s="263"/>
      <c r="P380" s="263"/>
      <c r="Q380" s="263"/>
      <c r="R380" s="263"/>
      <c r="S380" s="263"/>
      <c r="T380" s="263"/>
      <c r="U380" s="263"/>
      <c r="V380" s="263"/>
      <c r="W380" s="263"/>
      <c r="X380" s="263"/>
      <c r="Y380" s="263"/>
      <c r="Z380" s="263"/>
      <c r="AA380" s="263"/>
      <c r="AB380" s="263"/>
    </row>
    <row r="381" spans="1:28" ht="16" x14ac:dyDescent="0.2">
      <c r="A381" s="263"/>
      <c r="B381" s="263"/>
      <c r="C381" s="309"/>
      <c r="D381" s="263"/>
      <c r="E381" s="263"/>
      <c r="F381" s="263"/>
      <c r="G381" s="263"/>
      <c r="H381" s="263"/>
      <c r="I381" s="263"/>
      <c r="J381" s="263"/>
      <c r="K381" s="263"/>
      <c r="L381" s="263"/>
      <c r="M381" s="263"/>
      <c r="N381" s="263"/>
      <c r="O381" s="263"/>
      <c r="P381" s="263"/>
      <c r="Q381" s="263"/>
      <c r="R381" s="263"/>
      <c r="S381" s="263"/>
      <c r="T381" s="263"/>
      <c r="U381" s="263"/>
      <c r="V381" s="263"/>
      <c r="W381" s="263"/>
      <c r="X381" s="263"/>
      <c r="Y381" s="263"/>
      <c r="Z381" s="263"/>
      <c r="AA381" s="263"/>
      <c r="AB381" s="263"/>
    </row>
    <row r="382" spans="1:28" ht="16" x14ac:dyDescent="0.2">
      <c r="A382" s="263"/>
      <c r="B382" s="263"/>
      <c r="C382" s="309"/>
      <c r="D382" s="263"/>
      <c r="E382" s="263"/>
      <c r="F382" s="263"/>
      <c r="G382" s="263"/>
      <c r="H382" s="263"/>
      <c r="I382" s="263"/>
      <c r="J382" s="263"/>
      <c r="K382" s="263"/>
      <c r="L382" s="263"/>
      <c r="M382" s="263"/>
      <c r="N382" s="263"/>
      <c r="O382" s="263"/>
      <c r="P382" s="263"/>
      <c r="Q382" s="263"/>
      <c r="R382" s="263"/>
      <c r="S382" s="263"/>
      <c r="T382" s="263"/>
      <c r="U382" s="263"/>
      <c r="V382" s="263"/>
      <c r="W382" s="263"/>
      <c r="X382" s="263"/>
      <c r="Y382" s="263"/>
      <c r="Z382" s="263"/>
      <c r="AA382" s="263"/>
      <c r="AB382" s="263"/>
    </row>
    <row r="383" spans="1:28" ht="16" x14ac:dyDescent="0.2">
      <c r="A383" s="263"/>
      <c r="B383" s="263"/>
      <c r="C383" s="309"/>
      <c r="D383" s="263"/>
      <c r="E383" s="263"/>
      <c r="F383" s="263"/>
      <c r="G383" s="263"/>
      <c r="H383" s="263"/>
      <c r="I383" s="263"/>
      <c r="J383" s="263"/>
      <c r="K383" s="263"/>
      <c r="L383" s="263"/>
      <c r="M383" s="263"/>
      <c r="N383" s="263"/>
      <c r="O383" s="263"/>
      <c r="P383" s="263"/>
      <c r="Q383" s="263"/>
      <c r="R383" s="263"/>
      <c r="S383" s="263"/>
      <c r="T383" s="263"/>
      <c r="U383" s="263"/>
      <c r="V383" s="263"/>
      <c r="W383" s="263"/>
      <c r="X383" s="263"/>
      <c r="Y383" s="263"/>
      <c r="Z383" s="263"/>
      <c r="AA383" s="263"/>
      <c r="AB383" s="263"/>
    </row>
    <row r="384" spans="1:28" ht="16" x14ac:dyDescent="0.2">
      <c r="A384" s="263"/>
      <c r="B384" s="263"/>
      <c r="C384" s="309"/>
      <c r="D384" s="263"/>
      <c r="E384" s="263"/>
      <c r="F384" s="263"/>
      <c r="G384" s="263"/>
      <c r="H384" s="263"/>
      <c r="I384" s="263"/>
      <c r="J384" s="263"/>
      <c r="K384" s="263"/>
      <c r="L384" s="263"/>
      <c r="M384" s="263"/>
      <c r="N384" s="263"/>
      <c r="O384" s="263"/>
      <c r="P384" s="263"/>
      <c r="Q384" s="263"/>
      <c r="R384" s="263"/>
      <c r="S384" s="263"/>
      <c r="T384" s="263"/>
      <c r="U384" s="263"/>
      <c r="V384" s="263"/>
      <c r="W384" s="263"/>
      <c r="X384" s="263"/>
      <c r="Y384" s="263"/>
      <c r="Z384" s="263"/>
      <c r="AA384" s="263"/>
      <c r="AB384" s="263"/>
    </row>
    <row r="385" spans="1:28" ht="16" x14ac:dyDescent="0.2">
      <c r="A385" s="263"/>
      <c r="B385" s="263"/>
      <c r="C385" s="309"/>
      <c r="D385" s="263"/>
      <c r="E385" s="263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T385" s="263"/>
      <c r="U385" s="263"/>
      <c r="V385" s="263"/>
      <c r="W385" s="263"/>
      <c r="X385" s="263"/>
      <c r="Y385" s="263"/>
      <c r="Z385" s="263"/>
      <c r="AA385" s="263"/>
      <c r="AB385" s="263"/>
    </row>
    <row r="386" spans="1:28" ht="16" x14ac:dyDescent="0.2">
      <c r="A386" s="263"/>
      <c r="B386" s="263"/>
      <c r="C386" s="309"/>
      <c r="D386" s="263"/>
      <c r="E386" s="263"/>
      <c r="F386" s="263"/>
      <c r="G386" s="263"/>
      <c r="H386" s="263"/>
      <c r="I386" s="263"/>
      <c r="J386" s="263"/>
      <c r="K386" s="263"/>
      <c r="L386" s="263"/>
      <c r="M386" s="263"/>
      <c r="N386" s="263"/>
      <c r="O386" s="263"/>
      <c r="P386" s="263"/>
      <c r="Q386" s="263"/>
      <c r="R386" s="263"/>
      <c r="S386" s="263"/>
      <c r="T386" s="263"/>
      <c r="U386" s="263"/>
      <c r="V386" s="263"/>
      <c r="W386" s="263"/>
      <c r="X386" s="263"/>
      <c r="Y386" s="263"/>
      <c r="Z386" s="263"/>
      <c r="AA386" s="263"/>
      <c r="AB386" s="263"/>
    </row>
    <row r="387" spans="1:28" ht="16" x14ac:dyDescent="0.2">
      <c r="A387" s="263"/>
      <c r="B387" s="263"/>
      <c r="C387" s="309"/>
      <c r="D387" s="263"/>
      <c r="E387" s="263"/>
      <c r="F387" s="263"/>
      <c r="G387" s="263"/>
      <c r="H387" s="263"/>
      <c r="I387" s="263"/>
      <c r="J387" s="263"/>
      <c r="K387" s="263"/>
      <c r="L387" s="263"/>
      <c r="M387" s="263"/>
      <c r="N387" s="263"/>
      <c r="O387" s="263"/>
      <c r="P387" s="263"/>
      <c r="Q387" s="263"/>
      <c r="R387" s="263"/>
      <c r="S387" s="263"/>
      <c r="T387" s="263"/>
      <c r="U387" s="263"/>
      <c r="V387" s="263"/>
      <c r="W387" s="263"/>
      <c r="X387" s="263"/>
      <c r="Y387" s="263"/>
      <c r="Z387" s="263"/>
      <c r="AA387" s="263"/>
      <c r="AB387" s="263"/>
    </row>
    <row r="388" spans="1:28" ht="16" x14ac:dyDescent="0.2">
      <c r="A388" s="263"/>
      <c r="B388" s="263"/>
      <c r="C388" s="309"/>
      <c r="D388" s="263"/>
      <c r="E388" s="263"/>
      <c r="F388" s="263"/>
      <c r="G388" s="263"/>
      <c r="H388" s="263"/>
      <c r="I388" s="263"/>
      <c r="J388" s="263"/>
      <c r="K388" s="263"/>
      <c r="L388" s="263"/>
      <c r="M388" s="263"/>
      <c r="N388" s="263"/>
      <c r="O388" s="263"/>
      <c r="P388" s="263"/>
      <c r="Q388" s="263"/>
      <c r="R388" s="263"/>
      <c r="S388" s="263"/>
      <c r="T388" s="263"/>
      <c r="U388" s="263"/>
      <c r="V388" s="263"/>
      <c r="W388" s="263"/>
      <c r="X388" s="263"/>
      <c r="Y388" s="263"/>
      <c r="Z388" s="263"/>
      <c r="AA388" s="263"/>
      <c r="AB388" s="263"/>
    </row>
    <row r="389" spans="1:28" ht="16" x14ac:dyDescent="0.2">
      <c r="A389" s="263"/>
      <c r="B389" s="263"/>
      <c r="C389" s="309"/>
      <c r="D389" s="263"/>
      <c r="E389" s="263"/>
      <c r="F389" s="263"/>
      <c r="G389" s="263"/>
      <c r="H389" s="263"/>
      <c r="I389" s="263"/>
      <c r="J389" s="263"/>
      <c r="K389" s="263"/>
      <c r="L389" s="263"/>
      <c r="M389" s="263"/>
      <c r="N389" s="263"/>
      <c r="O389" s="263"/>
      <c r="P389" s="263"/>
      <c r="Q389" s="263"/>
      <c r="R389" s="263"/>
      <c r="S389" s="263"/>
      <c r="T389" s="263"/>
      <c r="U389" s="263"/>
      <c r="V389" s="263"/>
      <c r="W389" s="263"/>
      <c r="X389" s="263"/>
      <c r="Y389" s="263"/>
      <c r="Z389" s="263"/>
      <c r="AA389" s="263"/>
      <c r="AB389" s="263"/>
    </row>
    <row r="390" spans="1:28" ht="16" x14ac:dyDescent="0.2">
      <c r="A390" s="263"/>
      <c r="B390" s="263"/>
      <c r="C390" s="309"/>
      <c r="D390" s="263"/>
      <c r="E390" s="263"/>
      <c r="F390" s="263"/>
      <c r="G390" s="263"/>
      <c r="H390" s="263"/>
      <c r="I390" s="263"/>
      <c r="J390" s="263"/>
      <c r="K390" s="263"/>
      <c r="L390" s="263"/>
      <c r="M390" s="263"/>
      <c r="N390" s="263"/>
      <c r="O390" s="263"/>
      <c r="P390" s="263"/>
      <c r="Q390" s="263"/>
      <c r="R390" s="263"/>
      <c r="S390" s="263"/>
      <c r="T390" s="263"/>
      <c r="U390" s="263"/>
      <c r="V390" s="263"/>
      <c r="W390" s="263"/>
      <c r="X390" s="263"/>
      <c r="Y390" s="263"/>
      <c r="Z390" s="263"/>
      <c r="AA390" s="263"/>
      <c r="AB390" s="263"/>
    </row>
    <row r="391" spans="1:28" ht="16" x14ac:dyDescent="0.2">
      <c r="A391" s="263"/>
      <c r="B391" s="263"/>
      <c r="C391" s="309"/>
      <c r="D391" s="263"/>
      <c r="E391" s="263"/>
      <c r="F391" s="263"/>
      <c r="G391" s="263"/>
      <c r="H391" s="263"/>
      <c r="I391" s="263"/>
      <c r="J391" s="263"/>
      <c r="K391" s="263"/>
      <c r="L391" s="263"/>
      <c r="M391" s="263"/>
      <c r="N391" s="263"/>
      <c r="O391" s="263"/>
      <c r="P391" s="263"/>
      <c r="Q391" s="263"/>
      <c r="R391" s="263"/>
      <c r="S391" s="263"/>
      <c r="T391" s="263"/>
      <c r="U391" s="263"/>
      <c r="V391" s="263"/>
      <c r="W391" s="263"/>
      <c r="X391" s="263"/>
      <c r="Y391" s="263"/>
      <c r="Z391" s="263"/>
      <c r="AA391" s="263"/>
      <c r="AB391" s="263"/>
    </row>
    <row r="392" spans="1:28" ht="16" x14ac:dyDescent="0.2">
      <c r="A392" s="263"/>
      <c r="B392" s="263"/>
      <c r="C392" s="309"/>
      <c r="D392" s="263"/>
      <c r="E392" s="263"/>
      <c r="F392" s="263"/>
      <c r="G392" s="263"/>
      <c r="H392" s="263"/>
      <c r="I392" s="263"/>
      <c r="J392" s="263"/>
      <c r="K392" s="263"/>
      <c r="L392" s="263"/>
      <c r="M392" s="263"/>
      <c r="N392" s="263"/>
      <c r="O392" s="263"/>
      <c r="P392" s="263"/>
      <c r="Q392" s="263"/>
      <c r="R392" s="263"/>
      <c r="S392" s="263"/>
      <c r="T392" s="263"/>
      <c r="U392" s="263"/>
      <c r="V392" s="263"/>
      <c r="W392" s="263"/>
      <c r="X392" s="263"/>
      <c r="Y392" s="263"/>
      <c r="Z392" s="263"/>
      <c r="AA392" s="263"/>
      <c r="AB392" s="263"/>
    </row>
    <row r="393" spans="1:28" ht="16" x14ac:dyDescent="0.2">
      <c r="A393" s="263"/>
      <c r="B393" s="263"/>
      <c r="C393" s="309"/>
      <c r="D393" s="263"/>
      <c r="E393" s="263"/>
      <c r="F393" s="263"/>
      <c r="G393" s="263"/>
      <c r="H393" s="263"/>
      <c r="I393" s="263"/>
      <c r="J393" s="263"/>
      <c r="K393" s="263"/>
      <c r="L393" s="263"/>
      <c r="M393" s="263"/>
      <c r="N393" s="263"/>
      <c r="O393" s="263"/>
      <c r="P393" s="263"/>
      <c r="Q393" s="263"/>
      <c r="R393" s="263"/>
      <c r="S393" s="263"/>
      <c r="T393" s="263"/>
      <c r="U393" s="263"/>
      <c r="V393" s="263"/>
      <c r="W393" s="263"/>
      <c r="X393" s="263"/>
      <c r="Y393" s="263"/>
      <c r="Z393" s="263"/>
      <c r="AA393" s="263"/>
      <c r="AB393" s="263"/>
    </row>
    <row r="394" spans="1:28" ht="16" x14ac:dyDescent="0.2">
      <c r="A394" s="263"/>
      <c r="B394" s="263"/>
      <c r="C394" s="309"/>
      <c r="D394" s="263"/>
      <c r="E394" s="263"/>
      <c r="F394" s="263"/>
      <c r="G394" s="263"/>
      <c r="H394" s="263"/>
      <c r="I394" s="263"/>
      <c r="J394" s="263"/>
      <c r="K394" s="263"/>
      <c r="L394" s="263"/>
      <c r="M394" s="263"/>
      <c r="N394" s="263"/>
      <c r="O394" s="263"/>
      <c r="P394" s="263"/>
      <c r="Q394" s="263"/>
      <c r="R394" s="263"/>
      <c r="S394" s="263"/>
      <c r="T394" s="263"/>
      <c r="U394" s="263"/>
      <c r="V394" s="263"/>
      <c r="W394" s="263"/>
      <c r="X394" s="263"/>
      <c r="Y394" s="263"/>
      <c r="Z394" s="263"/>
      <c r="AA394" s="263"/>
      <c r="AB394" s="263"/>
    </row>
    <row r="395" spans="1:28" ht="16" x14ac:dyDescent="0.2">
      <c r="A395" s="263"/>
      <c r="B395" s="263"/>
      <c r="C395" s="309"/>
      <c r="D395" s="263"/>
      <c r="E395" s="263"/>
      <c r="F395" s="263"/>
      <c r="G395" s="263"/>
      <c r="H395" s="263"/>
      <c r="I395" s="263"/>
      <c r="J395" s="263"/>
      <c r="K395" s="263"/>
      <c r="L395" s="263"/>
      <c r="M395" s="263"/>
      <c r="N395" s="263"/>
      <c r="O395" s="263"/>
      <c r="P395" s="263"/>
      <c r="Q395" s="263"/>
      <c r="R395" s="263"/>
      <c r="S395" s="263"/>
      <c r="T395" s="263"/>
      <c r="U395" s="263"/>
      <c r="V395" s="263"/>
      <c r="W395" s="263"/>
      <c r="X395" s="263"/>
      <c r="Y395" s="263"/>
      <c r="Z395" s="263"/>
      <c r="AA395" s="263"/>
      <c r="AB395" s="263"/>
    </row>
    <row r="396" spans="1:28" ht="16" x14ac:dyDescent="0.2">
      <c r="A396" s="263"/>
      <c r="B396" s="263"/>
      <c r="C396" s="309"/>
      <c r="D396" s="263"/>
      <c r="E396" s="263"/>
      <c r="F396" s="263"/>
      <c r="G396" s="263"/>
      <c r="H396" s="263"/>
      <c r="I396" s="263"/>
      <c r="J396" s="263"/>
      <c r="K396" s="263"/>
      <c r="L396" s="263"/>
      <c r="M396" s="263"/>
      <c r="N396" s="263"/>
      <c r="O396" s="263"/>
      <c r="P396" s="263"/>
      <c r="Q396" s="263"/>
      <c r="R396" s="263"/>
      <c r="S396" s="263"/>
      <c r="T396" s="263"/>
      <c r="U396" s="263"/>
      <c r="V396" s="263"/>
      <c r="W396" s="263"/>
      <c r="X396" s="263"/>
      <c r="Y396" s="263"/>
      <c r="Z396" s="263"/>
      <c r="AA396" s="263"/>
      <c r="AB396" s="263"/>
    </row>
    <row r="397" spans="1:28" ht="16" x14ac:dyDescent="0.2">
      <c r="A397" s="263"/>
      <c r="B397" s="263"/>
      <c r="C397" s="309"/>
      <c r="D397" s="263"/>
      <c r="E397" s="263"/>
      <c r="F397" s="263"/>
      <c r="G397" s="263"/>
      <c r="H397" s="263"/>
      <c r="I397" s="263"/>
      <c r="J397" s="263"/>
      <c r="K397" s="263"/>
      <c r="L397" s="263"/>
      <c r="M397" s="263"/>
      <c r="N397" s="263"/>
      <c r="O397" s="263"/>
      <c r="P397" s="263"/>
      <c r="Q397" s="263"/>
      <c r="R397" s="263"/>
      <c r="S397" s="263"/>
      <c r="T397" s="263"/>
      <c r="U397" s="263"/>
      <c r="V397" s="263"/>
      <c r="W397" s="263"/>
      <c r="X397" s="263"/>
      <c r="Y397" s="263"/>
      <c r="Z397" s="263"/>
      <c r="AA397" s="263"/>
      <c r="AB397" s="263"/>
    </row>
    <row r="398" spans="1:28" ht="16" x14ac:dyDescent="0.2">
      <c r="A398" s="263"/>
      <c r="B398" s="263"/>
      <c r="C398" s="309"/>
      <c r="D398" s="263"/>
      <c r="E398" s="263"/>
      <c r="F398" s="263"/>
      <c r="G398" s="263"/>
      <c r="H398" s="263"/>
      <c r="I398" s="263"/>
      <c r="J398" s="263"/>
      <c r="K398" s="263"/>
      <c r="L398" s="263"/>
      <c r="M398" s="263"/>
      <c r="N398" s="263"/>
      <c r="O398" s="263"/>
      <c r="P398" s="263"/>
      <c r="Q398" s="263"/>
      <c r="R398" s="263"/>
      <c r="S398" s="263"/>
      <c r="T398" s="263"/>
      <c r="U398" s="263"/>
      <c r="V398" s="263"/>
      <c r="W398" s="263"/>
      <c r="X398" s="263"/>
      <c r="Y398" s="263"/>
      <c r="Z398" s="263"/>
      <c r="AA398" s="263"/>
      <c r="AB398" s="263"/>
    </row>
    <row r="399" spans="1:28" ht="16" x14ac:dyDescent="0.2">
      <c r="A399" s="263"/>
      <c r="B399" s="263"/>
      <c r="C399" s="309"/>
      <c r="D399" s="263"/>
      <c r="E399" s="263"/>
      <c r="F399" s="263"/>
      <c r="G399" s="263"/>
      <c r="H399" s="263"/>
      <c r="I399" s="263"/>
      <c r="J399" s="263"/>
      <c r="K399" s="263"/>
      <c r="L399" s="263"/>
      <c r="M399" s="263"/>
      <c r="N399" s="263"/>
      <c r="O399" s="263"/>
      <c r="P399" s="263"/>
      <c r="Q399" s="263"/>
      <c r="R399" s="263"/>
      <c r="S399" s="263"/>
      <c r="T399" s="263"/>
      <c r="U399" s="263"/>
      <c r="V399" s="263"/>
      <c r="W399" s="263"/>
      <c r="X399" s="263"/>
      <c r="Y399" s="263"/>
      <c r="Z399" s="263"/>
      <c r="AA399" s="263"/>
      <c r="AB399" s="263"/>
    </row>
    <row r="400" spans="1:28" ht="16" x14ac:dyDescent="0.2">
      <c r="A400" s="263"/>
      <c r="B400" s="263"/>
      <c r="C400" s="309"/>
      <c r="D400" s="263"/>
      <c r="E400" s="263"/>
      <c r="F400" s="263"/>
      <c r="G400" s="263"/>
      <c r="H400" s="263"/>
      <c r="I400" s="263"/>
      <c r="J400" s="263"/>
      <c r="K400" s="263"/>
      <c r="L400" s="263"/>
      <c r="M400" s="263"/>
      <c r="N400" s="263"/>
      <c r="O400" s="263"/>
      <c r="P400" s="263"/>
      <c r="Q400" s="263"/>
      <c r="R400" s="263"/>
      <c r="S400" s="263"/>
      <c r="T400" s="263"/>
      <c r="U400" s="263"/>
      <c r="V400" s="263"/>
      <c r="W400" s="263"/>
      <c r="X400" s="263"/>
      <c r="Y400" s="263"/>
      <c r="Z400" s="263"/>
      <c r="AA400" s="263"/>
      <c r="AB400" s="263"/>
    </row>
    <row r="401" spans="1:28" ht="16" x14ac:dyDescent="0.2">
      <c r="A401" s="263"/>
      <c r="B401" s="263"/>
      <c r="C401" s="309"/>
      <c r="D401" s="263"/>
      <c r="E401" s="263"/>
      <c r="F401" s="263"/>
      <c r="G401" s="263"/>
      <c r="H401" s="263"/>
      <c r="I401" s="263"/>
      <c r="J401" s="263"/>
      <c r="K401" s="263"/>
      <c r="L401" s="263"/>
      <c r="M401" s="263"/>
      <c r="N401" s="263"/>
      <c r="O401" s="263"/>
      <c r="P401" s="263"/>
      <c r="Q401" s="263"/>
      <c r="R401" s="263"/>
      <c r="S401" s="263"/>
      <c r="T401" s="263"/>
      <c r="U401" s="263"/>
      <c r="V401" s="263"/>
      <c r="W401" s="263"/>
      <c r="X401" s="263"/>
      <c r="Y401" s="263"/>
      <c r="Z401" s="263"/>
      <c r="AA401" s="263"/>
      <c r="AB401" s="263"/>
    </row>
    <row r="402" spans="1:28" ht="16" x14ac:dyDescent="0.2">
      <c r="A402" s="263"/>
      <c r="B402" s="263"/>
      <c r="C402" s="309"/>
      <c r="D402" s="263"/>
      <c r="E402" s="263"/>
      <c r="F402" s="263"/>
      <c r="G402" s="263"/>
      <c r="H402" s="263"/>
      <c r="I402" s="263"/>
      <c r="J402" s="263"/>
      <c r="K402" s="263"/>
      <c r="L402" s="263"/>
      <c r="M402" s="263"/>
      <c r="N402" s="263"/>
      <c r="O402" s="263"/>
      <c r="P402" s="263"/>
      <c r="Q402" s="263"/>
      <c r="R402" s="263"/>
      <c r="S402" s="263"/>
      <c r="T402" s="263"/>
      <c r="U402" s="263"/>
      <c r="V402" s="263"/>
      <c r="W402" s="263"/>
      <c r="X402" s="263"/>
      <c r="Y402" s="263"/>
      <c r="Z402" s="263"/>
      <c r="AA402" s="263"/>
      <c r="AB402" s="263"/>
    </row>
    <row r="403" spans="1:28" ht="16" x14ac:dyDescent="0.2">
      <c r="A403" s="263"/>
      <c r="B403" s="263"/>
      <c r="C403" s="309"/>
      <c r="D403" s="263"/>
      <c r="E403" s="263"/>
      <c r="F403" s="263"/>
      <c r="G403" s="263"/>
      <c r="H403" s="263"/>
      <c r="I403" s="263"/>
      <c r="J403" s="263"/>
      <c r="K403" s="263"/>
      <c r="L403" s="263"/>
      <c r="M403" s="263"/>
      <c r="N403" s="263"/>
      <c r="O403" s="263"/>
      <c r="P403" s="263"/>
      <c r="Q403" s="263"/>
      <c r="R403" s="263"/>
      <c r="S403" s="263"/>
      <c r="T403" s="263"/>
      <c r="U403" s="263"/>
      <c r="V403" s="263"/>
      <c r="W403" s="263"/>
      <c r="X403" s="263"/>
      <c r="Y403" s="263"/>
      <c r="Z403" s="263"/>
      <c r="AA403" s="263"/>
      <c r="AB403" s="263"/>
    </row>
    <row r="404" spans="1:28" ht="16" x14ac:dyDescent="0.2">
      <c r="A404" s="263"/>
      <c r="B404" s="263"/>
      <c r="C404" s="309"/>
      <c r="D404" s="263"/>
      <c r="E404" s="263"/>
      <c r="F404" s="263"/>
      <c r="G404" s="263"/>
      <c r="H404" s="263"/>
      <c r="I404" s="263"/>
      <c r="J404" s="263"/>
      <c r="K404" s="263"/>
      <c r="L404" s="263"/>
      <c r="M404" s="263"/>
      <c r="N404" s="263"/>
      <c r="O404" s="263"/>
      <c r="P404" s="263"/>
      <c r="Q404" s="263"/>
      <c r="R404" s="263"/>
      <c r="S404" s="263"/>
      <c r="T404" s="263"/>
      <c r="U404" s="263"/>
      <c r="V404" s="263"/>
      <c r="W404" s="263"/>
      <c r="X404" s="263"/>
      <c r="Y404" s="263"/>
      <c r="Z404" s="263"/>
      <c r="AA404" s="263"/>
      <c r="AB404" s="263"/>
    </row>
    <row r="405" spans="1:28" ht="16" x14ac:dyDescent="0.2">
      <c r="A405" s="263"/>
      <c r="B405" s="263"/>
      <c r="C405" s="309"/>
      <c r="D405" s="263"/>
      <c r="E405" s="263"/>
      <c r="F405" s="263"/>
      <c r="G405" s="263"/>
      <c r="H405" s="263"/>
      <c r="I405" s="263"/>
      <c r="J405" s="263"/>
      <c r="K405" s="263"/>
      <c r="L405" s="263"/>
      <c r="M405" s="263"/>
      <c r="N405" s="263"/>
      <c r="O405" s="263"/>
      <c r="P405" s="263"/>
      <c r="Q405" s="263"/>
      <c r="R405" s="263"/>
      <c r="S405" s="263"/>
      <c r="T405" s="263"/>
      <c r="U405" s="263"/>
      <c r="V405" s="263"/>
      <c r="W405" s="263"/>
      <c r="X405" s="263"/>
      <c r="Y405" s="263"/>
      <c r="Z405" s="263"/>
      <c r="AA405" s="263"/>
      <c r="AB405" s="263"/>
    </row>
    <row r="406" spans="1:28" ht="16" x14ac:dyDescent="0.2">
      <c r="A406" s="263"/>
      <c r="B406" s="263"/>
      <c r="C406" s="309"/>
      <c r="D406" s="263"/>
      <c r="E406" s="263"/>
      <c r="F406" s="263"/>
      <c r="G406" s="263"/>
      <c r="H406" s="263"/>
      <c r="I406" s="263"/>
      <c r="J406" s="263"/>
      <c r="K406" s="263"/>
      <c r="L406" s="263"/>
      <c r="M406" s="263"/>
      <c r="N406" s="263"/>
      <c r="O406" s="263"/>
      <c r="P406" s="263"/>
      <c r="Q406" s="263"/>
      <c r="R406" s="263"/>
      <c r="S406" s="263"/>
      <c r="T406" s="263"/>
      <c r="U406" s="263"/>
      <c r="V406" s="263"/>
      <c r="W406" s="263"/>
      <c r="X406" s="263"/>
      <c r="Y406" s="263"/>
      <c r="Z406" s="263"/>
      <c r="AA406" s="263"/>
      <c r="AB406" s="263"/>
    </row>
    <row r="407" spans="1:28" ht="16" x14ac:dyDescent="0.2">
      <c r="A407" s="263"/>
      <c r="B407" s="263"/>
      <c r="C407" s="309"/>
      <c r="D407" s="263"/>
      <c r="E407" s="263"/>
      <c r="F407" s="263"/>
      <c r="G407" s="263"/>
      <c r="H407" s="263"/>
      <c r="I407" s="263"/>
      <c r="J407" s="263"/>
      <c r="K407" s="263"/>
      <c r="L407" s="263"/>
      <c r="M407" s="263"/>
      <c r="N407" s="263"/>
      <c r="O407" s="263"/>
      <c r="P407" s="263"/>
      <c r="Q407" s="263"/>
      <c r="R407" s="263"/>
      <c r="S407" s="263"/>
      <c r="T407" s="263"/>
      <c r="U407" s="263"/>
      <c r="V407" s="263"/>
      <c r="W407" s="263"/>
      <c r="X407" s="263"/>
      <c r="Y407" s="263"/>
      <c r="Z407" s="263"/>
      <c r="AA407" s="263"/>
      <c r="AB407" s="263"/>
    </row>
    <row r="408" spans="1:28" ht="16" x14ac:dyDescent="0.2">
      <c r="A408" s="263"/>
      <c r="B408" s="263"/>
      <c r="C408" s="309"/>
      <c r="D408" s="263"/>
      <c r="E408" s="263"/>
      <c r="F408" s="263"/>
      <c r="G408" s="263"/>
      <c r="H408" s="263"/>
      <c r="I408" s="263"/>
      <c r="J408" s="263"/>
      <c r="K408" s="263"/>
      <c r="L408" s="263"/>
      <c r="M408" s="263"/>
      <c r="N408" s="263"/>
      <c r="O408" s="263"/>
      <c r="P408" s="263"/>
      <c r="Q408" s="263"/>
      <c r="R408" s="263"/>
      <c r="S408" s="263"/>
      <c r="T408" s="263"/>
      <c r="U408" s="263"/>
      <c r="V408" s="263"/>
      <c r="W408" s="263"/>
      <c r="X408" s="263"/>
      <c r="Y408" s="263"/>
      <c r="Z408" s="263"/>
      <c r="AA408" s="263"/>
      <c r="AB408" s="263"/>
    </row>
    <row r="409" spans="1:28" ht="16" x14ac:dyDescent="0.2">
      <c r="A409" s="263"/>
      <c r="B409" s="263"/>
      <c r="C409" s="309"/>
      <c r="D409" s="263"/>
      <c r="E409" s="263"/>
      <c r="F409" s="263"/>
      <c r="G409" s="263"/>
      <c r="H409" s="263"/>
      <c r="I409" s="263"/>
      <c r="J409" s="263"/>
      <c r="K409" s="263"/>
      <c r="L409" s="263"/>
      <c r="M409" s="263"/>
      <c r="N409" s="263"/>
      <c r="O409" s="263"/>
      <c r="P409" s="263"/>
      <c r="Q409" s="263"/>
      <c r="R409" s="263"/>
      <c r="S409" s="263"/>
      <c r="T409" s="263"/>
      <c r="U409" s="263"/>
      <c r="V409" s="263"/>
      <c r="W409" s="263"/>
      <c r="X409" s="263"/>
      <c r="Y409" s="263"/>
      <c r="Z409" s="263"/>
      <c r="AA409" s="263"/>
      <c r="AB409" s="263"/>
    </row>
    <row r="410" spans="1:28" ht="16" x14ac:dyDescent="0.2">
      <c r="A410" s="263"/>
      <c r="B410" s="263"/>
      <c r="C410" s="309"/>
      <c r="D410" s="263"/>
      <c r="E410" s="263"/>
      <c r="F410" s="263"/>
      <c r="G410" s="263"/>
      <c r="H410" s="263"/>
      <c r="I410" s="263"/>
      <c r="J410" s="263"/>
      <c r="K410" s="263"/>
      <c r="L410" s="263"/>
      <c r="M410" s="263"/>
      <c r="N410" s="263"/>
      <c r="O410" s="263"/>
      <c r="P410" s="263"/>
      <c r="Q410" s="263"/>
      <c r="R410" s="263"/>
      <c r="S410" s="263"/>
      <c r="T410" s="263"/>
      <c r="U410" s="263"/>
      <c r="V410" s="263"/>
      <c r="W410" s="263"/>
      <c r="X410" s="263"/>
      <c r="Y410" s="263"/>
      <c r="Z410" s="263"/>
      <c r="AA410" s="263"/>
      <c r="AB410" s="263"/>
    </row>
    <row r="411" spans="1:28" ht="16" x14ac:dyDescent="0.2">
      <c r="A411" s="263"/>
      <c r="B411" s="263"/>
      <c r="C411" s="309"/>
      <c r="D411" s="263"/>
      <c r="E411" s="263"/>
      <c r="F411" s="263"/>
      <c r="G411" s="263"/>
      <c r="H411" s="263"/>
      <c r="I411" s="263"/>
      <c r="J411" s="263"/>
      <c r="K411" s="263"/>
      <c r="L411" s="263"/>
      <c r="M411" s="263"/>
      <c r="N411" s="263"/>
      <c r="O411" s="263"/>
      <c r="P411" s="263"/>
      <c r="Q411" s="263"/>
      <c r="R411" s="263"/>
      <c r="S411" s="263"/>
      <c r="T411" s="263"/>
      <c r="U411" s="263"/>
      <c r="V411" s="263"/>
      <c r="W411" s="263"/>
      <c r="X411" s="263"/>
      <c r="Y411" s="263"/>
      <c r="Z411" s="263"/>
      <c r="AA411" s="263"/>
      <c r="AB411" s="263"/>
    </row>
    <row r="412" spans="1:28" ht="16" x14ac:dyDescent="0.2">
      <c r="A412" s="263"/>
      <c r="B412" s="263"/>
      <c r="C412" s="309"/>
      <c r="D412" s="263"/>
      <c r="E412" s="263"/>
      <c r="F412" s="263"/>
      <c r="G412" s="263"/>
      <c r="H412" s="263"/>
      <c r="I412" s="263"/>
      <c r="J412" s="263"/>
      <c r="K412" s="263"/>
      <c r="L412" s="263"/>
      <c r="M412" s="263"/>
      <c r="N412" s="263"/>
      <c r="O412" s="263"/>
      <c r="P412" s="263"/>
      <c r="Q412" s="263"/>
      <c r="R412" s="263"/>
      <c r="S412" s="263"/>
      <c r="T412" s="263"/>
      <c r="U412" s="263"/>
      <c r="V412" s="263"/>
      <c r="W412" s="263"/>
      <c r="X412" s="263"/>
      <c r="Y412" s="263"/>
      <c r="Z412" s="263"/>
      <c r="AA412" s="263"/>
      <c r="AB412" s="263"/>
    </row>
    <row r="413" spans="1:28" ht="16" x14ac:dyDescent="0.2">
      <c r="A413" s="263"/>
      <c r="B413" s="263"/>
      <c r="C413" s="309"/>
      <c r="D413" s="263"/>
      <c r="E413" s="263"/>
      <c r="F413" s="263"/>
      <c r="G413" s="263"/>
      <c r="H413" s="263"/>
      <c r="I413" s="263"/>
      <c r="J413" s="263"/>
      <c r="K413" s="263"/>
      <c r="L413" s="263"/>
      <c r="M413" s="263"/>
      <c r="N413" s="263"/>
      <c r="O413" s="263"/>
      <c r="P413" s="263"/>
      <c r="Q413" s="263"/>
      <c r="R413" s="263"/>
      <c r="S413" s="263"/>
      <c r="T413" s="263"/>
      <c r="U413" s="263"/>
      <c r="V413" s="263"/>
      <c r="W413" s="263"/>
      <c r="X413" s="263"/>
      <c r="Y413" s="263"/>
      <c r="Z413" s="263"/>
      <c r="AA413" s="263"/>
      <c r="AB413" s="263"/>
    </row>
    <row r="414" spans="1:28" ht="16" x14ac:dyDescent="0.2">
      <c r="A414" s="263"/>
      <c r="B414" s="263"/>
      <c r="C414" s="309"/>
      <c r="D414" s="263"/>
      <c r="E414" s="263"/>
      <c r="F414" s="263"/>
      <c r="G414" s="263"/>
      <c r="H414" s="263"/>
      <c r="I414" s="263"/>
      <c r="J414" s="263"/>
      <c r="K414" s="263"/>
      <c r="L414" s="263"/>
      <c r="M414" s="263"/>
      <c r="N414" s="263"/>
      <c r="O414" s="263"/>
      <c r="P414" s="263"/>
      <c r="Q414" s="263"/>
      <c r="R414" s="263"/>
      <c r="S414" s="263"/>
      <c r="T414" s="263"/>
      <c r="U414" s="263"/>
      <c r="V414" s="263"/>
      <c r="W414" s="263"/>
      <c r="X414" s="263"/>
      <c r="Y414" s="263"/>
      <c r="Z414" s="263"/>
      <c r="AA414" s="263"/>
      <c r="AB414" s="263"/>
    </row>
    <row r="415" spans="1:28" ht="16" x14ac:dyDescent="0.2">
      <c r="A415" s="263"/>
      <c r="B415" s="263"/>
      <c r="C415" s="309"/>
      <c r="D415" s="263"/>
      <c r="E415" s="263"/>
      <c r="F415" s="263"/>
      <c r="G415" s="263"/>
      <c r="H415" s="263"/>
      <c r="I415" s="263"/>
      <c r="J415" s="263"/>
      <c r="K415" s="263"/>
      <c r="L415" s="263"/>
      <c r="M415" s="263"/>
      <c r="N415" s="263"/>
      <c r="O415" s="263"/>
      <c r="P415" s="263"/>
      <c r="Q415" s="263"/>
      <c r="R415" s="263"/>
      <c r="S415" s="263"/>
      <c r="T415" s="263"/>
      <c r="U415" s="263"/>
      <c r="V415" s="263"/>
      <c r="W415" s="263"/>
      <c r="X415" s="263"/>
      <c r="Y415" s="263"/>
      <c r="Z415" s="263"/>
      <c r="AA415" s="263"/>
      <c r="AB415" s="263"/>
    </row>
    <row r="416" spans="1:28" ht="16" x14ac:dyDescent="0.2">
      <c r="A416" s="263"/>
      <c r="B416" s="263"/>
      <c r="C416" s="309"/>
      <c r="D416" s="263"/>
      <c r="E416" s="263"/>
      <c r="F416" s="263"/>
      <c r="G416" s="263"/>
      <c r="H416" s="263"/>
      <c r="I416" s="263"/>
      <c r="J416" s="263"/>
      <c r="K416" s="263"/>
      <c r="L416" s="263"/>
      <c r="M416" s="263"/>
      <c r="N416" s="263"/>
      <c r="O416" s="263"/>
      <c r="P416" s="263"/>
      <c r="Q416" s="263"/>
      <c r="R416" s="263"/>
      <c r="S416" s="263"/>
      <c r="T416" s="263"/>
      <c r="U416" s="263"/>
      <c r="V416" s="263"/>
      <c r="W416" s="263"/>
      <c r="X416" s="263"/>
      <c r="Y416" s="263"/>
      <c r="Z416" s="263"/>
      <c r="AA416" s="263"/>
      <c r="AB416" s="263"/>
    </row>
    <row r="417" spans="1:28" ht="16" x14ac:dyDescent="0.2">
      <c r="A417" s="263"/>
      <c r="B417" s="263"/>
      <c r="C417" s="309"/>
      <c r="D417" s="263"/>
      <c r="E417" s="263"/>
      <c r="F417" s="263"/>
      <c r="G417" s="263"/>
      <c r="H417" s="263"/>
      <c r="I417" s="263"/>
      <c r="J417" s="263"/>
      <c r="K417" s="263"/>
      <c r="L417" s="263"/>
      <c r="M417" s="263"/>
      <c r="N417" s="263"/>
      <c r="O417" s="263"/>
      <c r="P417" s="263"/>
      <c r="Q417" s="263"/>
      <c r="R417" s="263"/>
      <c r="S417" s="263"/>
      <c r="T417" s="263"/>
      <c r="U417" s="263"/>
      <c r="V417" s="263"/>
      <c r="W417" s="263"/>
      <c r="X417" s="263"/>
      <c r="Y417" s="263"/>
      <c r="Z417" s="263"/>
      <c r="AA417" s="263"/>
      <c r="AB417" s="263"/>
    </row>
    <row r="418" spans="1:28" ht="16" x14ac:dyDescent="0.2">
      <c r="A418" s="263"/>
      <c r="B418" s="263"/>
      <c r="C418" s="309"/>
      <c r="D418" s="263"/>
      <c r="E418" s="263"/>
      <c r="F418" s="263"/>
      <c r="G418" s="263"/>
      <c r="H418" s="263"/>
      <c r="I418" s="263"/>
      <c r="J418" s="263"/>
      <c r="K418" s="263"/>
      <c r="L418" s="263"/>
      <c r="M418" s="263"/>
      <c r="N418" s="263"/>
      <c r="O418" s="263"/>
      <c r="P418" s="263"/>
      <c r="Q418" s="263"/>
      <c r="R418" s="263"/>
      <c r="S418" s="263"/>
      <c r="T418" s="263"/>
      <c r="U418" s="263"/>
      <c r="V418" s="263"/>
      <c r="W418" s="263"/>
      <c r="X418" s="263"/>
      <c r="Y418" s="263"/>
      <c r="Z418" s="263"/>
      <c r="AA418" s="263"/>
      <c r="AB418" s="263"/>
    </row>
    <row r="419" spans="1:28" ht="16" x14ac:dyDescent="0.2">
      <c r="A419" s="263"/>
      <c r="B419" s="263"/>
      <c r="C419" s="309"/>
      <c r="D419" s="263"/>
      <c r="E419" s="263"/>
      <c r="F419" s="263"/>
      <c r="G419" s="263"/>
      <c r="H419" s="263"/>
      <c r="I419" s="263"/>
      <c r="J419" s="263"/>
      <c r="K419" s="263"/>
      <c r="L419" s="263"/>
      <c r="M419" s="263"/>
      <c r="N419" s="263"/>
      <c r="O419" s="263"/>
      <c r="P419" s="263"/>
      <c r="Q419" s="263"/>
      <c r="R419" s="263"/>
      <c r="S419" s="263"/>
      <c r="T419" s="263"/>
      <c r="U419" s="263"/>
      <c r="V419" s="263"/>
      <c r="W419" s="263"/>
      <c r="X419" s="263"/>
      <c r="Y419" s="263"/>
      <c r="Z419" s="263"/>
      <c r="AA419" s="263"/>
      <c r="AB419" s="263"/>
    </row>
    <row r="420" spans="1:28" ht="16" x14ac:dyDescent="0.2">
      <c r="A420" s="263"/>
      <c r="B420" s="263"/>
      <c r="C420" s="309"/>
      <c r="D420" s="263"/>
      <c r="E420" s="263"/>
      <c r="F420" s="263"/>
      <c r="G420" s="263"/>
      <c r="H420" s="263"/>
      <c r="I420" s="263"/>
      <c r="J420" s="263"/>
      <c r="K420" s="263"/>
      <c r="L420" s="263"/>
      <c r="M420" s="263"/>
      <c r="N420" s="263"/>
      <c r="O420" s="263"/>
      <c r="P420" s="263"/>
      <c r="Q420" s="263"/>
      <c r="R420" s="263"/>
      <c r="S420" s="263"/>
      <c r="T420" s="263"/>
      <c r="U420" s="263"/>
      <c r="V420" s="263"/>
      <c r="W420" s="263"/>
      <c r="X420" s="263"/>
      <c r="Y420" s="263"/>
      <c r="Z420" s="263"/>
      <c r="AA420" s="263"/>
      <c r="AB420" s="263"/>
    </row>
    <row r="421" spans="1:28" ht="16" x14ac:dyDescent="0.2">
      <c r="A421" s="263"/>
      <c r="B421" s="263"/>
      <c r="C421" s="309"/>
      <c r="D421" s="263"/>
      <c r="E421" s="263"/>
      <c r="F421" s="263"/>
      <c r="G421" s="263"/>
      <c r="H421" s="263"/>
      <c r="I421" s="263"/>
      <c r="J421" s="263"/>
      <c r="K421" s="263"/>
      <c r="L421" s="263"/>
      <c r="M421" s="263"/>
      <c r="N421" s="263"/>
      <c r="O421" s="263"/>
      <c r="P421" s="263"/>
      <c r="Q421" s="263"/>
      <c r="R421" s="263"/>
      <c r="S421" s="263"/>
      <c r="T421" s="263"/>
      <c r="U421" s="263"/>
      <c r="V421" s="263"/>
      <c r="W421" s="263"/>
      <c r="X421" s="263"/>
      <c r="Y421" s="263"/>
      <c r="Z421" s="263"/>
      <c r="AA421" s="263"/>
      <c r="AB421" s="263"/>
    </row>
    <row r="422" spans="1:28" ht="16" x14ac:dyDescent="0.2">
      <c r="A422" s="263"/>
      <c r="B422" s="263"/>
      <c r="C422" s="309"/>
      <c r="D422" s="263"/>
      <c r="E422" s="263"/>
      <c r="F422" s="263"/>
      <c r="G422" s="263"/>
      <c r="H422" s="263"/>
      <c r="I422" s="263"/>
      <c r="J422" s="263"/>
      <c r="K422" s="263"/>
      <c r="L422" s="263"/>
      <c r="M422" s="263"/>
      <c r="N422" s="263"/>
      <c r="O422" s="263"/>
      <c r="P422" s="263"/>
      <c r="Q422" s="263"/>
      <c r="R422" s="263"/>
      <c r="S422" s="263"/>
      <c r="T422" s="263"/>
      <c r="U422" s="263"/>
      <c r="V422" s="263"/>
      <c r="W422" s="263"/>
      <c r="X422" s="263"/>
      <c r="Y422" s="263"/>
      <c r="Z422" s="263"/>
      <c r="AA422" s="263"/>
      <c r="AB422" s="263"/>
    </row>
    <row r="423" spans="1:28" ht="16" x14ac:dyDescent="0.2">
      <c r="A423" s="263"/>
      <c r="B423" s="263"/>
      <c r="C423" s="309"/>
      <c r="D423" s="263"/>
      <c r="E423" s="263"/>
      <c r="F423" s="263"/>
      <c r="G423" s="263"/>
      <c r="H423" s="263"/>
      <c r="I423" s="263"/>
      <c r="J423" s="263"/>
      <c r="K423" s="263"/>
      <c r="L423" s="263"/>
      <c r="M423" s="263"/>
      <c r="N423" s="263"/>
      <c r="O423" s="263"/>
      <c r="P423" s="263"/>
      <c r="Q423" s="263"/>
      <c r="R423" s="263"/>
      <c r="S423" s="263"/>
      <c r="T423" s="263"/>
      <c r="U423" s="263"/>
      <c r="V423" s="263"/>
      <c r="W423" s="263"/>
      <c r="X423" s="263"/>
      <c r="Y423" s="263"/>
      <c r="Z423" s="263"/>
      <c r="AA423" s="263"/>
      <c r="AB423" s="263"/>
    </row>
    <row r="424" spans="1:28" ht="16" x14ac:dyDescent="0.2">
      <c r="A424" s="263"/>
      <c r="B424" s="263"/>
      <c r="C424" s="309"/>
      <c r="D424" s="263"/>
      <c r="E424" s="263"/>
      <c r="F424" s="263"/>
      <c r="G424" s="263"/>
      <c r="H424" s="263"/>
      <c r="I424" s="263"/>
      <c r="J424" s="263"/>
      <c r="K424" s="263"/>
      <c r="L424" s="263"/>
      <c r="M424" s="263"/>
      <c r="N424" s="263"/>
      <c r="O424" s="263"/>
      <c r="P424" s="263"/>
      <c r="Q424" s="263"/>
      <c r="R424" s="263"/>
      <c r="S424" s="263"/>
      <c r="T424" s="263"/>
      <c r="U424" s="263"/>
      <c r="V424" s="263"/>
      <c r="W424" s="263"/>
      <c r="X424" s="263"/>
      <c r="Y424" s="263"/>
      <c r="Z424" s="263"/>
      <c r="AA424" s="263"/>
      <c r="AB424" s="263"/>
    </row>
    <row r="425" spans="1:28" ht="16" x14ac:dyDescent="0.2">
      <c r="A425" s="263"/>
      <c r="B425" s="263"/>
      <c r="C425" s="309"/>
      <c r="D425" s="263"/>
      <c r="E425" s="263"/>
      <c r="F425" s="263"/>
      <c r="G425" s="263"/>
      <c r="H425" s="263"/>
      <c r="I425" s="263"/>
      <c r="J425" s="263"/>
      <c r="K425" s="263"/>
      <c r="L425" s="263"/>
      <c r="M425" s="263"/>
      <c r="N425" s="263"/>
      <c r="O425" s="263"/>
      <c r="P425" s="263"/>
      <c r="Q425" s="263"/>
      <c r="R425" s="263"/>
      <c r="S425" s="263"/>
      <c r="T425" s="263"/>
      <c r="U425" s="263"/>
      <c r="V425" s="263"/>
      <c r="W425" s="263"/>
      <c r="X425" s="263"/>
      <c r="Y425" s="263"/>
      <c r="Z425" s="263"/>
      <c r="AA425" s="263"/>
      <c r="AB425" s="263"/>
    </row>
    <row r="426" spans="1:28" ht="16" x14ac:dyDescent="0.2">
      <c r="A426" s="263"/>
      <c r="B426" s="263"/>
      <c r="C426" s="309"/>
      <c r="D426" s="263"/>
      <c r="E426" s="263"/>
      <c r="F426" s="263"/>
      <c r="G426" s="263"/>
      <c r="H426" s="263"/>
      <c r="I426" s="263"/>
      <c r="J426" s="263"/>
      <c r="K426" s="263"/>
      <c r="L426" s="263"/>
      <c r="M426" s="263"/>
      <c r="N426" s="263"/>
      <c r="O426" s="263"/>
      <c r="P426" s="263"/>
      <c r="Q426" s="263"/>
      <c r="R426" s="263"/>
      <c r="S426" s="263"/>
      <c r="T426" s="263"/>
      <c r="U426" s="263"/>
      <c r="V426" s="263"/>
      <c r="W426" s="263"/>
      <c r="X426" s="263"/>
      <c r="Y426" s="263"/>
      <c r="Z426" s="263"/>
      <c r="AA426" s="263"/>
      <c r="AB426" s="263"/>
    </row>
    <row r="427" spans="1:28" ht="16" x14ac:dyDescent="0.2">
      <c r="A427" s="263"/>
      <c r="B427" s="263"/>
      <c r="C427" s="309"/>
      <c r="D427" s="263"/>
      <c r="E427" s="263"/>
      <c r="F427" s="263"/>
      <c r="G427" s="263"/>
      <c r="H427" s="263"/>
      <c r="I427" s="263"/>
      <c r="J427" s="263"/>
      <c r="K427" s="263"/>
      <c r="L427" s="263"/>
      <c r="M427" s="263"/>
      <c r="N427" s="263"/>
      <c r="O427" s="263"/>
      <c r="P427" s="263"/>
      <c r="Q427" s="263"/>
      <c r="R427" s="263"/>
      <c r="S427" s="263"/>
      <c r="T427" s="263"/>
      <c r="U427" s="263"/>
      <c r="V427" s="263"/>
      <c r="W427" s="263"/>
      <c r="X427" s="263"/>
      <c r="Y427" s="263"/>
      <c r="Z427" s="263"/>
      <c r="AA427" s="263"/>
      <c r="AB427" s="263"/>
    </row>
    <row r="428" spans="1:28" ht="16" x14ac:dyDescent="0.2">
      <c r="A428" s="263"/>
      <c r="B428" s="263"/>
      <c r="C428" s="309"/>
      <c r="D428" s="263"/>
      <c r="E428" s="263"/>
      <c r="F428" s="263"/>
      <c r="G428" s="263"/>
      <c r="H428" s="263"/>
      <c r="I428" s="263"/>
      <c r="J428" s="263"/>
      <c r="K428" s="263"/>
      <c r="L428" s="263"/>
      <c r="M428" s="263"/>
      <c r="N428" s="263"/>
      <c r="O428" s="263"/>
      <c r="P428" s="263"/>
      <c r="Q428" s="263"/>
      <c r="R428" s="263"/>
      <c r="S428" s="263"/>
      <c r="T428" s="263"/>
      <c r="U428" s="263"/>
      <c r="V428" s="263"/>
      <c r="W428" s="263"/>
      <c r="X428" s="263"/>
      <c r="Y428" s="263"/>
      <c r="Z428" s="263"/>
      <c r="AA428" s="263"/>
      <c r="AB428" s="263"/>
    </row>
    <row r="429" spans="1:28" ht="16" x14ac:dyDescent="0.2">
      <c r="A429" s="263"/>
      <c r="B429" s="263"/>
      <c r="C429" s="309"/>
      <c r="D429" s="263"/>
      <c r="E429" s="263"/>
      <c r="F429" s="263"/>
      <c r="G429" s="263"/>
      <c r="H429" s="263"/>
      <c r="I429" s="263"/>
      <c r="J429" s="263"/>
      <c r="K429" s="263"/>
      <c r="L429" s="263"/>
      <c r="M429" s="263"/>
      <c r="N429" s="263"/>
      <c r="O429" s="263"/>
      <c r="P429" s="263"/>
      <c r="Q429" s="263"/>
      <c r="R429" s="263"/>
      <c r="S429" s="263"/>
      <c r="T429" s="263"/>
      <c r="U429" s="263"/>
      <c r="V429" s="263"/>
      <c r="W429" s="263"/>
      <c r="X429" s="263"/>
      <c r="Y429" s="263"/>
      <c r="Z429" s="263"/>
      <c r="AA429" s="263"/>
      <c r="AB429" s="263"/>
    </row>
    <row r="430" spans="1:28" ht="16" x14ac:dyDescent="0.2">
      <c r="A430" s="263"/>
      <c r="B430" s="263"/>
      <c r="C430" s="309"/>
      <c r="D430" s="263"/>
      <c r="E430" s="263"/>
      <c r="F430" s="263"/>
      <c r="G430" s="263"/>
      <c r="H430" s="263"/>
      <c r="I430" s="263"/>
      <c r="J430" s="263"/>
      <c r="K430" s="263"/>
      <c r="L430" s="263"/>
      <c r="M430" s="263"/>
      <c r="N430" s="263"/>
      <c r="O430" s="263"/>
      <c r="P430" s="263"/>
      <c r="Q430" s="263"/>
      <c r="R430" s="263"/>
      <c r="S430" s="263"/>
      <c r="T430" s="263"/>
      <c r="U430" s="263"/>
      <c r="V430" s="263"/>
      <c r="W430" s="263"/>
      <c r="X430" s="263"/>
      <c r="Y430" s="263"/>
      <c r="Z430" s="263"/>
      <c r="AA430" s="263"/>
      <c r="AB430" s="263"/>
    </row>
    <row r="431" spans="1:28" ht="16" x14ac:dyDescent="0.2">
      <c r="A431" s="263"/>
      <c r="B431" s="263"/>
      <c r="C431" s="309"/>
      <c r="D431" s="263"/>
      <c r="E431" s="263"/>
      <c r="F431" s="263"/>
      <c r="G431" s="263"/>
      <c r="H431" s="263"/>
      <c r="I431" s="263"/>
      <c r="J431" s="263"/>
      <c r="K431" s="263"/>
      <c r="L431" s="263"/>
      <c r="M431" s="263"/>
      <c r="N431" s="263"/>
      <c r="O431" s="263"/>
      <c r="P431" s="263"/>
      <c r="Q431" s="263"/>
      <c r="R431" s="263"/>
      <c r="S431" s="263"/>
      <c r="T431" s="263"/>
      <c r="U431" s="263"/>
      <c r="V431" s="263"/>
      <c r="W431" s="263"/>
      <c r="X431" s="263"/>
      <c r="Y431" s="263"/>
      <c r="Z431" s="263"/>
      <c r="AA431" s="263"/>
      <c r="AB431" s="263"/>
    </row>
    <row r="432" spans="1:28" ht="16" x14ac:dyDescent="0.2">
      <c r="A432" s="263"/>
      <c r="B432" s="263"/>
      <c r="C432" s="309"/>
      <c r="D432" s="263"/>
      <c r="E432" s="263"/>
      <c r="F432" s="263"/>
      <c r="G432" s="263"/>
      <c r="H432" s="263"/>
      <c r="I432" s="263"/>
      <c r="J432" s="263"/>
      <c r="K432" s="263"/>
      <c r="L432" s="263"/>
      <c r="M432" s="263"/>
      <c r="N432" s="263"/>
      <c r="O432" s="263"/>
      <c r="P432" s="263"/>
      <c r="Q432" s="263"/>
      <c r="R432" s="263"/>
      <c r="S432" s="263"/>
      <c r="T432" s="263"/>
      <c r="U432" s="263"/>
      <c r="V432" s="263"/>
      <c r="W432" s="263"/>
      <c r="X432" s="263"/>
      <c r="Y432" s="263"/>
      <c r="Z432" s="263"/>
      <c r="AA432" s="263"/>
      <c r="AB432" s="263"/>
    </row>
    <row r="433" spans="1:28" ht="16" x14ac:dyDescent="0.2">
      <c r="A433" s="263"/>
      <c r="B433" s="263"/>
      <c r="C433" s="309"/>
      <c r="D433" s="263"/>
      <c r="E433" s="263"/>
      <c r="F433" s="263"/>
      <c r="G433" s="263"/>
      <c r="H433" s="263"/>
      <c r="I433" s="263"/>
      <c r="J433" s="263"/>
      <c r="K433" s="263"/>
      <c r="L433" s="263"/>
      <c r="M433" s="263"/>
      <c r="N433" s="263"/>
      <c r="O433" s="263"/>
      <c r="P433" s="263"/>
      <c r="Q433" s="263"/>
      <c r="R433" s="263"/>
      <c r="S433" s="263"/>
      <c r="T433" s="263"/>
      <c r="U433" s="263"/>
      <c r="V433" s="263"/>
      <c r="W433" s="263"/>
      <c r="X433" s="263"/>
      <c r="Y433" s="263"/>
      <c r="Z433" s="263"/>
      <c r="AA433" s="263"/>
      <c r="AB433" s="263"/>
    </row>
    <row r="434" spans="1:28" ht="16" x14ac:dyDescent="0.2">
      <c r="A434" s="263"/>
      <c r="B434" s="263"/>
      <c r="C434" s="309"/>
      <c r="D434" s="263"/>
      <c r="E434" s="263"/>
      <c r="F434" s="263"/>
      <c r="G434" s="263"/>
      <c r="H434" s="263"/>
      <c r="I434" s="263"/>
      <c r="J434" s="263"/>
      <c r="K434" s="263"/>
      <c r="L434" s="263"/>
      <c r="M434" s="263"/>
      <c r="N434" s="263"/>
      <c r="O434" s="263"/>
      <c r="P434" s="263"/>
      <c r="Q434" s="263"/>
      <c r="R434" s="263"/>
      <c r="S434" s="263"/>
      <c r="T434" s="263"/>
      <c r="U434" s="263"/>
      <c r="V434" s="263"/>
      <c r="W434" s="263"/>
      <c r="X434" s="263"/>
      <c r="Y434" s="263"/>
      <c r="Z434" s="263"/>
      <c r="AA434" s="263"/>
      <c r="AB434" s="263"/>
    </row>
    <row r="435" spans="1:28" ht="16" x14ac:dyDescent="0.2">
      <c r="A435" s="263"/>
      <c r="B435" s="263"/>
      <c r="C435" s="309"/>
      <c r="D435" s="263"/>
      <c r="E435" s="263"/>
      <c r="F435" s="263"/>
      <c r="G435" s="263"/>
      <c r="H435" s="263"/>
      <c r="I435" s="263"/>
      <c r="J435" s="263"/>
      <c r="K435" s="263"/>
      <c r="L435" s="263"/>
      <c r="M435" s="263"/>
      <c r="N435" s="263"/>
      <c r="O435" s="263"/>
      <c r="P435" s="263"/>
      <c r="Q435" s="263"/>
      <c r="R435" s="263"/>
      <c r="S435" s="263"/>
      <c r="T435" s="263"/>
      <c r="U435" s="263"/>
      <c r="V435" s="263"/>
      <c r="W435" s="263"/>
      <c r="X435" s="263"/>
      <c r="Y435" s="263"/>
      <c r="Z435" s="263"/>
      <c r="AA435" s="263"/>
      <c r="AB435" s="263"/>
    </row>
    <row r="436" spans="1:28" ht="16" x14ac:dyDescent="0.2">
      <c r="A436" s="263"/>
      <c r="B436" s="263"/>
      <c r="C436" s="309"/>
      <c r="D436" s="263"/>
      <c r="E436" s="263"/>
      <c r="F436" s="263"/>
      <c r="G436" s="263"/>
      <c r="H436" s="263"/>
      <c r="I436" s="263"/>
      <c r="J436" s="263"/>
      <c r="K436" s="263"/>
      <c r="L436" s="263"/>
      <c r="M436" s="263"/>
      <c r="N436" s="263"/>
      <c r="O436" s="263"/>
      <c r="P436" s="263"/>
      <c r="Q436" s="263"/>
      <c r="R436" s="263"/>
      <c r="S436" s="263"/>
      <c r="T436" s="263"/>
      <c r="U436" s="263"/>
      <c r="V436" s="263"/>
      <c r="W436" s="263"/>
      <c r="X436" s="263"/>
      <c r="Y436" s="263"/>
      <c r="Z436" s="263"/>
      <c r="AA436" s="263"/>
      <c r="AB436" s="263"/>
    </row>
    <row r="437" spans="1:28" ht="16" x14ac:dyDescent="0.2">
      <c r="A437" s="263"/>
      <c r="B437" s="263"/>
      <c r="C437" s="309"/>
      <c r="D437" s="263"/>
      <c r="E437" s="263"/>
      <c r="F437" s="263"/>
      <c r="G437" s="263"/>
      <c r="H437" s="263"/>
      <c r="I437" s="263"/>
      <c r="J437" s="263"/>
      <c r="K437" s="263"/>
      <c r="L437" s="263"/>
      <c r="M437" s="263"/>
      <c r="N437" s="263"/>
      <c r="O437" s="263"/>
      <c r="P437" s="263"/>
      <c r="Q437" s="263"/>
      <c r="R437" s="263"/>
      <c r="S437" s="263"/>
      <c r="T437" s="263"/>
      <c r="U437" s="263"/>
      <c r="V437" s="263"/>
      <c r="W437" s="263"/>
      <c r="X437" s="263"/>
      <c r="Y437" s="263"/>
      <c r="Z437" s="263"/>
      <c r="AA437" s="263"/>
      <c r="AB437" s="263"/>
    </row>
    <row r="438" spans="1:28" ht="16" x14ac:dyDescent="0.2">
      <c r="A438" s="263"/>
      <c r="B438" s="263"/>
      <c r="C438" s="309"/>
      <c r="D438" s="263"/>
      <c r="E438" s="263"/>
      <c r="F438" s="263"/>
      <c r="G438" s="263"/>
      <c r="H438" s="263"/>
      <c r="I438" s="263"/>
      <c r="J438" s="263"/>
      <c r="K438" s="263"/>
      <c r="L438" s="263"/>
      <c r="M438" s="263"/>
      <c r="N438" s="263"/>
      <c r="O438" s="263"/>
      <c r="P438" s="263"/>
      <c r="Q438" s="263"/>
      <c r="R438" s="263"/>
      <c r="S438" s="263"/>
      <c r="T438" s="263"/>
      <c r="U438" s="263"/>
      <c r="V438" s="263"/>
      <c r="W438" s="263"/>
      <c r="X438" s="263"/>
      <c r="Y438" s="263"/>
      <c r="Z438" s="263"/>
      <c r="AA438" s="263"/>
      <c r="AB438" s="263"/>
    </row>
    <row r="439" spans="1:28" ht="16" x14ac:dyDescent="0.2">
      <c r="A439" s="263"/>
      <c r="B439" s="263"/>
      <c r="C439" s="309"/>
      <c r="D439" s="263"/>
      <c r="E439" s="263"/>
      <c r="F439" s="263"/>
      <c r="G439" s="263"/>
      <c r="H439" s="263"/>
      <c r="I439" s="263"/>
      <c r="J439" s="263"/>
      <c r="K439" s="263"/>
      <c r="L439" s="263"/>
      <c r="M439" s="263"/>
      <c r="N439" s="263"/>
      <c r="O439" s="263"/>
      <c r="P439" s="263"/>
      <c r="Q439" s="263"/>
      <c r="R439" s="263"/>
      <c r="S439" s="263"/>
      <c r="T439" s="263"/>
      <c r="U439" s="263"/>
      <c r="V439" s="263"/>
      <c r="W439" s="263"/>
      <c r="X439" s="263"/>
      <c r="Y439" s="263"/>
      <c r="Z439" s="263"/>
      <c r="AA439" s="263"/>
      <c r="AB439" s="263"/>
    </row>
    <row r="440" spans="1:28" ht="16" x14ac:dyDescent="0.2">
      <c r="A440" s="263"/>
      <c r="B440" s="263"/>
      <c r="C440" s="309"/>
      <c r="D440" s="263"/>
      <c r="E440" s="263"/>
      <c r="F440" s="263"/>
      <c r="G440" s="263"/>
      <c r="H440" s="263"/>
      <c r="I440" s="263"/>
      <c r="J440" s="263"/>
      <c r="K440" s="263"/>
      <c r="L440" s="263"/>
      <c r="M440" s="263"/>
      <c r="N440" s="263"/>
      <c r="O440" s="263"/>
      <c r="P440" s="263"/>
      <c r="Q440" s="263"/>
      <c r="R440" s="263"/>
      <c r="S440" s="263"/>
      <c r="T440" s="263"/>
      <c r="U440" s="263"/>
      <c r="V440" s="263"/>
      <c r="W440" s="263"/>
      <c r="X440" s="263"/>
      <c r="Y440" s="263"/>
      <c r="Z440" s="263"/>
      <c r="AA440" s="263"/>
      <c r="AB440" s="263"/>
    </row>
    <row r="441" spans="1:28" ht="16" x14ac:dyDescent="0.2">
      <c r="A441" s="263"/>
      <c r="B441" s="263"/>
      <c r="C441" s="309"/>
      <c r="D441" s="263"/>
      <c r="E441" s="263"/>
      <c r="F441" s="263"/>
      <c r="G441" s="263"/>
      <c r="H441" s="263"/>
      <c r="I441" s="263"/>
      <c r="J441" s="263"/>
      <c r="K441" s="263"/>
      <c r="L441" s="263"/>
      <c r="M441" s="263"/>
      <c r="N441" s="263"/>
      <c r="O441" s="263"/>
      <c r="P441" s="263"/>
      <c r="Q441" s="263"/>
      <c r="R441" s="263"/>
      <c r="S441" s="263"/>
      <c r="T441" s="263"/>
      <c r="U441" s="263"/>
      <c r="V441" s="263"/>
      <c r="W441" s="263"/>
      <c r="X441" s="263"/>
      <c r="Y441" s="263"/>
      <c r="Z441" s="263"/>
      <c r="AA441" s="263"/>
      <c r="AB441" s="263"/>
    </row>
    <row r="442" spans="1:28" ht="16" x14ac:dyDescent="0.2">
      <c r="A442" s="263"/>
      <c r="B442" s="263"/>
      <c r="C442" s="309"/>
      <c r="D442" s="263"/>
      <c r="E442" s="263"/>
      <c r="F442" s="263"/>
      <c r="G442" s="263"/>
      <c r="H442" s="263"/>
      <c r="I442" s="263"/>
      <c r="J442" s="263"/>
      <c r="K442" s="263"/>
      <c r="L442" s="263"/>
      <c r="M442" s="263"/>
      <c r="N442" s="263"/>
      <c r="O442" s="263"/>
      <c r="P442" s="263"/>
      <c r="Q442" s="263"/>
      <c r="R442" s="263"/>
      <c r="S442" s="263"/>
      <c r="T442" s="263"/>
      <c r="U442" s="263"/>
      <c r="V442" s="263"/>
      <c r="W442" s="263"/>
      <c r="X442" s="263"/>
      <c r="Y442" s="263"/>
      <c r="Z442" s="263"/>
      <c r="AA442" s="263"/>
      <c r="AB442" s="263"/>
    </row>
    <row r="443" spans="1:28" ht="16" x14ac:dyDescent="0.2">
      <c r="A443" s="263"/>
      <c r="B443" s="263"/>
      <c r="C443" s="309"/>
      <c r="D443" s="263"/>
      <c r="E443" s="263"/>
      <c r="F443" s="263"/>
      <c r="G443" s="263"/>
      <c r="H443" s="263"/>
      <c r="I443" s="263"/>
      <c r="J443" s="263"/>
      <c r="K443" s="263"/>
      <c r="L443" s="263"/>
      <c r="M443" s="263"/>
      <c r="N443" s="263"/>
      <c r="O443" s="263"/>
      <c r="P443" s="263"/>
      <c r="Q443" s="263"/>
      <c r="R443" s="263"/>
      <c r="S443" s="263"/>
      <c r="T443" s="263"/>
      <c r="U443" s="263"/>
      <c r="V443" s="263"/>
      <c r="W443" s="263"/>
      <c r="X443" s="263"/>
      <c r="Y443" s="263"/>
      <c r="Z443" s="263"/>
      <c r="AA443" s="263"/>
      <c r="AB443" s="263"/>
    </row>
    <row r="444" spans="1:28" ht="16" x14ac:dyDescent="0.2">
      <c r="A444" s="263"/>
      <c r="B444" s="263"/>
      <c r="C444" s="309"/>
      <c r="D444" s="263"/>
      <c r="E444" s="263"/>
      <c r="F444" s="263"/>
      <c r="G444" s="263"/>
      <c r="H444" s="263"/>
      <c r="I444" s="263"/>
      <c r="J444" s="263"/>
      <c r="K444" s="263"/>
      <c r="L444" s="263"/>
      <c r="M444" s="263"/>
      <c r="N444" s="263"/>
      <c r="O444" s="263"/>
      <c r="P444" s="263"/>
      <c r="Q444" s="263"/>
      <c r="R444" s="263"/>
      <c r="S444" s="263"/>
      <c r="T444" s="263"/>
      <c r="U444" s="263"/>
      <c r="V444" s="263"/>
      <c r="W444" s="263"/>
      <c r="X444" s="263"/>
      <c r="Y444" s="263"/>
      <c r="Z444" s="263"/>
      <c r="AA444" s="263"/>
      <c r="AB444" s="263"/>
    </row>
    <row r="445" spans="1:28" ht="16" x14ac:dyDescent="0.2">
      <c r="A445" s="263"/>
      <c r="B445" s="263"/>
      <c r="C445" s="309"/>
      <c r="D445" s="263"/>
      <c r="E445" s="263"/>
      <c r="F445" s="263"/>
      <c r="G445" s="263"/>
      <c r="H445" s="263"/>
      <c r="I445" s="263"/>
      <c r="J445" s="263"/>
      <c r="K445" s="263"/>
      <c r="L445" s="263"/>
      <c r="M445" s="263"/>
      <c r="N445" s="263"/>
      <c r="O445" s="263"/>
      <c r="P445" s="263"/>
      <c r="Q445" s="263"/>
      <c r="R445" s="263"/>
      <c r="S445" s="263"/>
      <c r="T445" s="263"/>
      <c r="U445" s="263"/>
      <c r="V445" s="263"/>
      <c r="W445" s="263"/>
      <c r="X445" s="263"/>
      <c r="Y445" s="263"/>
      <c r="Z445" s="263"/>
      <c r="AA445" s="263"/>
      <c r="AB445" s="263"/>
    </row>
    <row r="446" spans="1:28" ht="16" x14ac:dyDescent="0.2">
      <c r="A446" s="263"/>
      <c r="B446" s="263"/>
      <c r="C446" s="309"/>
      <c r="D446" s="263"/>
      <c r="E446" s="263"/>
      <c r="F446" s="263"/>
      <c r="G446" s="263"/>
      <c r="H446" s="263"/>
      <c r="I446" s="263"/>
      <c r="J446" s="263"/>
      <c r="K446" s="263"/>
      <c r="L446" s="263"/>
      <c r="M446" s="263"/>
      <c r="N446" s="263"/>
      <c r="O446" s="263"/>
      <c r="P446" s="263"/>
      <c r="Q446" s="263"/>
      <c r="R446" s="263"/>
      <c r="S446" s="263"/>
      <c r="T446" s="263"/>
      <c r="U446" s="263"/>
      <c r="V446" s="263"/>
      <c r="W446" s="263"/>
      <c r="X446" s="263"/>
      <c r="Y446" s="263"/>
      <c r="Z446" s="263"/>
      <c r="AA446" s="263"/>
      <c r="AB446" s="263"/>
    </row>
    <row r="447" spans="1:28" ht="16" x14ac:dyDescent="0.2">
      <c r="A447" s="263"/>
      <c r="B447" s="263"/>
      <c r="C447" s="309"/>
      <c r="D447" s="263"/>
      <c r="E447" s="263"/>
      <c r="F447" s="263"/>
      <c r="G447" s="263"/>
      <c r="H447" s="263"/>
      <c r="I447" s="263"/>
      <c r="J447" s="263"/>
      <c r="K447" s="263"/>
      <c r="L447" s="263"/>
      <c r="M447" s="263"/>
      <c r="N447" s="263"/>
      <c r="O447" s="263"/>
      <c r="P447" s="263"/>
      <c r="Q447" s="263"/>
      <c r="R447" s="263"/>
      <c r="S447" s="263"/>
      <c r="T447" s="263"/>
      <c r="U447" s="263"/>
      <c r="V447" s="263"/>
      <c r="W447" s="263"/>
      <c r="X447" s="263"/>
      <c r="Y447" s="263"/>
      <c r="Z447" s="263"/>
      <c r="AA447" s="263"/>
      <c r="AB447" s="263"/>
    </row>
    <row r="448" spans="1:28" ht="16" x14ac:dyDescent="0.2">
      <c r="A448" s="263"/>
      <c r="B448" s="263"/>
      <c r="C448" s="309"/>
      <c r="D448" s="263"/>
      <c r="E448" s="263"/>
      <c r="F448" s="263"/>
      <c r="G448" s="263"/>
      <c r="H448" s="263"/>
      <c r="I448" s="263"/>
      <c r="J448" s="263"/>
      <c r="K448" s="263"/>
      <c r="L448" s="263"/>
      <c r="M448" s="263"/>
      <c r="N448" s="263"/>
      <c r="O448" s="263"/>
      <c r="P448" s="263"/>
      <c r="Q448" s="263"/>
      <c r="R448" s="263"/>
      <c r="S448" s="263"/>
      <c r="T448" s="263"/>
      <c r="U448" s="263"/>
      <c r="V448" s="263"/>
      <c r="W448" s="263"/>
      <c r="X448" s="263"/>
      <c r="Y448" s="263"/>
      <c r="Z448" s="263"/>
      <c r="AA448" s="263"/>
      <c r="AB448" s="263"/>
    </row>
    <row r="449" spans="1:28" ht="16" x14ac:dyDescent="0.2">
      <c r="A449" s="263"/>
      <c r="B449" s="263"/>
      <c r="C449" s="309"/>
      <c r="D449" s="263"/>
      <c r="E449" s="263"/>
      <c r="F449" s="263"/>
      <c r="G449" s="263"/>
      <c r="H449" s="263"/>
      <c r="I449" s="263"/>
      <c r="J449" s="263"/>
      <c r="K449" s="263"/>
      <c r="L449" s="263"/>
      <c r="M449" s="263"/>
      <c r="N449" s="263"/>
      <c r="O449" s="263"/>
      <c r="P449" s="263"/>
      <c r="Q449" s="263"/>
      <c r="R449" s="263"/>
      <c r="S449" s="263"/>
      <c r="T449" s="263"/>
      <c r="U449" s="263"/>
      <c r="V449" s="263"/>
      <c r="W449" s="263"/>
      <c r="X449" s="263"/>
      <c r="Y449" s="263"/>
      <c r="Z449" s="263"/>
      <c r="AA449" s="263"/>
      <c r="AB449" s="263"/>
    </row>
    <row r="450" spans="1:28" ht="16" x14ac:dyDescent="0.2">
      <c r="A450" s="263"/>
      <c r="B450" s="263"/>
      <c r="C450" s="309"/>
      <c r="D450" s="263"/>
      <c r="E450" s="263"/>
      <c r="F450" s="263"/>
      <c r="G450" s="263"/>
      <c r="H450" s="263"/>
      <c r="I450" s="263"/>
      <c r="J450" s="263"/>
      <c r="K450" s="263"/>
      <c r="L450" s="263"/>
      <c r="M450" s="263"/>
      <c r="N450" s="263"/>
      <c r="O450" s="263"/>
      <c r="P450" s="263"/>
      <c r="Q450" s="263"/>
      <c r="R450" s="263"/>
      <c r="S450" s="263"/>
      <c r="T450" s="263"/>
      <c r="U450" s="263"/>
      <c r="V450" s="263"/>
      <c r="W450" s="263"/>
      <c r="X450" s="263"/>
      <c r="Y450" s="263"/>
      <c r="Z450" s="263"/>
      <c r="AA450" s="263"/>
      <c r="AB450" s="263"/>
    </row>
    <row r="451" spans="1:28" ht="16" x14ac:dyDescent="0.2">
      <c r="A451" s="263"/>
      <c r="B451" s="263"/>
      <c r="C451" s="309"/>
      <c r="D451" s="263"/>
      <c r="E451" s="263"/>
      <c r="F451" s="263"/>
      <c r="G451" s="263"/>
      <c r="H451" s="263"/>
      <c r="I451" s="263"/>
      <c r="J451" s="263"/>
      <c r="K451" s="263"/>
      <c r="L451" s="263"/>
      <c r="M451" s="263"/>
      <c r="N451" s="263"/>
      <c r="O451" s="263"/>
      <c r="P451" s="263"/>
      <c r="Q451" s="263"/>
      <c r="R451" s="263"/>
      <c r="S451" s="263"/>
      <c r="T451" s="263"/>
      <c r="U451" s="263"/>
      <c r="V451" s="263"/>
      <c r="W451" s="263"/>
      <c r="X451" s="263"/>
      <c r="Y451" s="263"/>
      <c r="Z451" s="263"/>
      <c r="AA451" s="263"/>
      <c r="AB451" s="263"/>
    </row>
    <row r="452" spans="1:28" ht="16" x14ac:dyDescent="0.2">
      <c r="A452" s="263"/>
      <c r="B452" s="263"/>
      <c r="C452" s="309"/>
      <c r="D452" s="263"/>
      <c r="E452" s="263"/>
      <c r="F452" s="263"/>
      <c r="G452" s="263"/>
      <c r="H452" s="263"/>
      <c r="I452" s="263"/>
      <c r="J452" s="263"/>
      <c r="K452" s="263"/>
      <c r="L452" s="263"/>
      <c r="M452" s="263"/>
      <c r="N452" s="263"/>
      <c r="O452" s="263"/>
      <c r="P452" s="263"/>
      <c r="Q452" s="263"/>
      <c r="R452" s="263"/>
      <c r="S452" s="263"/>
      <c r="T452" s="263"/>
      <c r="U452" s="263"/>
      <c r="V452" s="263"/>
      <c r="W452" s="263"/>
      <c r="X452" s="263"/>
      <c r="Y452" s="263"/>
      <c r="Z452" s="263"/>
      <c r="AA452" s="263"/>
      <c r="AB452" s="263"/>
    </row>
    <row r="453" spans="1:28" ht="16" x14ac:dyDescent="0.2">
      <c r="A453" s="263"/>
      <c r="B453" s="263"/>
      <c r="C453" s="309"/>
      <c r="D453" s="263"/>
      <c r="E453" s="263"/>
      <c r="F453" s="263"/>
      <c r="G453" s="263"/>
      <c r="H453" s="263"/>
      <c r="I453" s="263"/>
      <c r="J453" s="263"/>
      <c r="K453" s="263"/>
      <c r="L453" s="263"/>
      <c r="M453" s="263"/>
      <c r="N453" s="263"/>
      <c r="O453" s="263"/>
      <c r="P453" s="263"/>
      <c r="Q453" s="263"/>
      <c r="R453" s="263"/>
      <c r="S453" s="263"/>
      <c r="T453" s="263"/>
      <c r="U453" s="263"/>
      <c r="V453" s="263"/>
      <c r="W453" s="263"/>
      <c r="X453" s="263"/>
      <c r="Y453" s="263"/>
      <c r="Z453" s="263"/>
      <c r="AA453" s="263"/>
      <c r="AB453" s="263"/>
    </row>
    <row r="454" spans="1:28" ht="16" x14ac:dyDescent="0.2">
      <c r="A454" s="263"/>
      <c r="B454" s="263"/>
      <c r="C454" s="309"/>
      <c r="D454" s="263"/>
      <c r="E454" s="263"/>
      <c r="F454" s="263"/>
      <c r="G454" s="263"/>
      <c r="H454" s="263"/>
      <c r="I454" s="263"/>
      <c r="J454" s="263"/>
      <c r="K454" s="263"/>
      <c r="L454" s="263"/>
      <c r="M454" s="263"/>
      <c r="N454" s="263"/>
      <c r="O454" s="263"/>
      <c r="P454" s="263"/>
      <c r="Q454" s="263"/>
      <c r="R454" s="263"/>
      <c r="S454" s="263"/>
      <c r="T454" s="263"/>
      <c r="U454" s="263"/>
      <c r="V454" s="263"/>
      <c r="W454" s="263"/>
      <c r="X454" s="263"/>
      <c r="Y454" s="263"/>
      <c r="Z454" s="263"/>
      <c r="AA454" s="263"/>
      <c r="AB454" s="263"/>
    </row>
    <row r="455" spans="1:28" ht="16" x14ac:dyDescent="0.2">
      <c r="A455" s="263"/>
      <c r="B455" s="263"/>
      <c r="C455" s="309"/>
      <c r="D455" s="263"/>
      <c r="E455" s="263"/>
      <c r="F455" s="263"/>
      <c r="G455" s="263"/>
      <c r="H455" s="263"/>
      <c r="I455" s="263"/>
      <c r="J455" s="263"/>
      <c r="K455" s="263"/>
      <c r="L455" s="263"/>
      <c r="M455" s="263"/>
      <c r="N455" s="263"/>
      <c r="O455" s="263"/>
      <c r="P455" s="263"/>
      <c r="Q455" s="263"/>
      <c r="R455" s="263"/>
      <c r="S455" s="263"/>
      <c r="T455" s="263"/>
      <c r="U455" s="263"/>
      <c r="V455" s="263"/>
      <c r="W455" s="263"/>
      <c r="X455" s="263"/>
      <c r="Y455" s="263"/>
      <c r="Z455" s="263"/>
      <c r="AA455" s="263"/>
      <c r="AB455" s="263"/>
    </row>
    <row r="456" spans="1:28" ht="16" x14ac:dyDescent="0.2">
      <c r="A456" s="263"/>
      <c r="B456" s="263"/>
      <c r="C456" s="309"/>
      <c r="D456" s="263"/>
      <c r="E456" s="263"/>
      <c r="F456" s="263"/>
      <c r="G456" s="263"/>
      <c r="H456" s="263"/>
      <c r="I456" s="263"/>
      <c r="J456" s="263"/>
      <c r="K456" s="263"/>
      <c r="L456" s="263"/>
      <c r="M456" s="263"/>
      <c r="N456" s="263"/>
      <c r="O456" s="263"/>
      <c r="P456" s="263"/>
      <c r="Q456" s="263"/>
      <c r="R456" s="263"/>
      <c r="S456" s="263"/>
      <c r="T456" s="263"/>
      <c r="U456" s="263"/>
      <c r="V456" s="263"/>
      <c r="W456" s="263"/>
      <c r="X456" s="263"/>
      <c r="Y456" s="263"/>
      <c r="Z456" s="263"/>
      <c r="AA456" s="263"/>
      <c r="AB456" s="263"/>
    </row>
    <row r="457" spans="1:28" ht="16" x14ac:dyDescent="0.2">
      <c r="A457" s="263"/>
      <c r="B457" s="263"/>
      <c r="C457" s="309"/>
      <c r="D457" s="263"/>
      <c r="E457" s="263"/>
      <c r="F457" s="263"/>
      <c r="G457" s="263"/>
      <c r="H457" s="263"/>
      <c r="I457" s="263"/>
      <c r="J457" s="263"/>
      <c r="K457" s="263"/>
      <c r="L457" s="263"/>
      <c r="M457" s="263"/>
      <c r="N457" s="263"/>
      <c r="O457" s="263"/>
      <c r="P457" s="263"/>
      <c r="Q457" s="263"/>
      <c r="R457" s="263"/>
      <c r="S457" s="263"/>
      <c r="T457" s="263"/>
      <c r="U457" s="263"/>
      <c r="V457" s="263"/>
      <c r="W457" s="263"/>
      <c r="X457" s="263"/>
      <c r="Y457" s="263"/>
      <c r="Z457" s="263"/>
      <c r="AA457" s="263"/>
      <c r="AB457" s="263"/>
    </row>
    <row r="458" spans="1:28" ht="16" x14ac:dyDescent="0.2">
      <c r="A458" s="263"/>
      <c r="B458" s="263"/>
      <c r="C458" s="309"/>
      <c r="D458" s="263"/>
      <c r="E458" s="263"/>
      <c r="F458" s="263"/>
      <c r="G458" s="263"/>
      <c r="H458" s="263"/>
      <c r="I458" s="263"/>
      <c r="J458" s="263"/>
      <c r="K458" s="263"/>
      <c r="L458" s="263"/>
      <c r="M458" s="263"/>
      <c r="N458" s="263"/>
      <c r="O458" s="263"/>
      <c r="P458" s="263"/>
      <c r="Q458" s="263"/>
      <c r="R458" s="263"/>
      <c r="S458" s="263"/>
      <c r="T458" s="263"/>
      <c r="U458" s="263"/>
      <c r="V458" s="263"/>
      <c r="W458" s="263"/>
      <c r="X458" s="263"/>
      <c r="Y458" s="263"/>
      <c r="Z458" s="263"/>
      <c r="AA458" s="263"/>
      <c r="AB458" s="263"/>
    </row>
    <row r="459" spans="1:28" ht="16" x14ac:dyDescent="0.2">
      <c r="A459" s="263"/>
      <c r="B459" s="263"/>
      <c r="C459" s="309"/>
      <c r="D459" s="263"/>
      <c r="E459" s="263"/>
      <c r="F459" s="263"/>
      <c r="G459" s="263"/>
      <c r="H459" s="263"/>
      <c r="I459" s="263"/>
      <c r="J459" s="263"/>
      <c r="K459" s="263"/>
      <c r="L459" s="263"/>
      <c r="M459" s="263"/>
      <c r="N459" s="263"/>
      <c r="O459" s="263"/>
      <c r="P459" s="263"/>
      <c r="Q459" s="263"/>
      <c r="R459" s="263"/>
      <c r="S459" s="263"/>
      <c r="T459" s="263"/>
      <c r="U459" s="263"/>
      <c r="V459" s="263"/>
      <c r="W459" s="263"/>
      <c r="X459" s="263"/>
      <c r="Y459" s="263"/>
      <c r="Z459" s="263"/>
      <c r="AA459" s="263"/>
      <c r="AB459" s="263"/>
    </row>
    <row r="460" spans="1:28" ht="16" x14ac:dyDescent="0.2">
      <c r="A460" s="263"/>
      <c r="B460" s="263"/>
      <c r="C460" s="309"/>
      <c r="D460" s="263"/>
      <c r="E460" s="263"/>
      <c r="F460" s="263"/>
      <c r="G460" s="263"/>
      <c r="H460" s="263"/>
      <c r="I460" s="263"/>
      <c r="J460" s="263"/>
      <c r="K460" s="263"/>
      <c r="L460" s="263"/>
      <c r="M460" s="263"/>
      <c r="N460" s="263"/>
      <c r="O460" s="263"/>
      <c r="P460" s="263"/>
      <c r="Q460" s="263"/>
      <c r="R460" s="263"/>
      <c r="S460" s="263"/>
      <c r="T460" s="263"/>
      <c r="U460" s="263"/>
      <c r="V460" s="263"/>
      <c r="W460" s="263"/>
      <c r="X460" s="263"/>
      <c r="Y460" s="263"/>
      <c r="Z460" s="263"/>
      <c r="AA460" s="263"/>
      <c r="AB460" s="263"/>
    </row>
    <row r="461" spans="1:28" ht="16" x14ac:dyDescent="0.2">
      <c r="A461" s="263"/>
      <c r="B461" s="263"/>
      <c r="C461" s="309"/>
      <c r="D461" s="263"/>
      <c r="E461" s="263"/>
      <c r="F461" s="263"/>
      <c r="G461" s="263"/>
      <c r="H461" s="263"/>
      <c r="I461" s="263"/>
      <c r="J461" s="263"/>
      <c r="K461" s="263"/>
      <c r="L461" s="263"/>
      <c r="M461" s="263"/>
      <c r="N461" s="263"/>
      <c r="O461" s="263"/>
      <c r="P461" s="263"/>
      <c r="Q461" s="263"/>
      <c r="R461" s="263"/>
      <c r="S461" s="263"/>
      <c r="T461" s="263"/>
      <c r="U461" s="263"/>
      <c r="V461" s="263"/>
      <c r="W461" s="263"/>
      <c r="X461" s="263"/>
      <c r="Y461" s="263"/>
      <c r="Z461" s="263"/>
      <c r="AA461" s="263"/>
      <c r="AB461" s="263"/>
    </row>
    <row r="462" spans="1:28" ht="16" x14ac:dyDescent="0.2">
      <c r="A462" s="263"/>
      <c r="B462" s="263"/>
      <c r="C462" s="309"/>
      <c r="D462" s="263"/>
      <c r="E462" s="263"/>
      <c r="F462" s="263"/>
      <c r="G462" s="263"/>
      <c r="H462" s="263"/>
      <c r="I462" s="263"/>
      <c r="J462" s="263"/>
      <c r="K462" s="263"/>
      <c r="L462" s="263"/>
      <c r="M462" s="263"/>
      <c r="N462" s="263"/>
      <c r="O462" s="263"/>
      <c r="P462" s="263"/>
      <c r="Q462" s="263"/>
      <c r="R462" s="263"/>
      <c r="S462" s="263"/>
      <c r="T462" s="263"/>
      <c r="U462" s="263"/>
      <c r="V462" s="263"/>
      <c r="W462" s="263"/>
      <c r="X462" s="263"/>
      <c r="Y462" s="263"/>
      <c r="Z462" s="263"/>
      <c r="AA462" s="263"/>
      <c r="AB462" s="263"/>
    </row>
    <row r="463" spans="1:28" ht="16" x14ac:dyDescent="0.2">
      <c r="A463" s="263"/>
      <c r="B463" s="263"/>
      <c r="C463" s="309"/>
      <c r="D463" s="263"/>
      <c r="E463" s="263"/>
      <c r="F463" s="263"/>
      <c r="G463" s="263"/>
      <c r="H463" s="263"/>
      <c r="I463" s="263"/>
      <c r="J463" s="263"/>
      <c r="K463" s="263"/>
      <c r="L463" s="263"/>
      <c r="M463" s="263"/>
      <c r="N463" s="263"/>
      <c r="O463" s="263"/>
      <c r="P463" s="263"/>
      <c r="Q463" s="263"/>
      <c r="R463" s="263"/>
      <c r="S463" s="263"/>
      <c r="T463" s="263"/>
      <c r="U463" s="263"/>
      <c r="V463" s="263"/>
      <c r="W463" s="263"/>
      <c r="X463" s="263"/>
      <c r="Y463" s="263"/>
      <c r="Z463" s="263"/>
      <c r="AA463" s="263"/>
      <c r="AB463" s="263"/>
    </row>
    <row r="464" spans="1:28" ht="16" x14ac:dyDescent="0.2">
      <c r="A464" s="263"/>
      <c r="B464" s="263"/>
      <c r="C464" s="309"/>
      <c r="D464" s="263"/>
      <c r="E464" s="263"/>
      <c r="F464" s="263"/>
      <c r="G464" s="263"/>
      <c r="H464" s="263"/>
      <c r="I464" s="263"/>
      <c r="J464" s="263"/>
      <c r="K464" s="263"/>
      <c r="L464" s="263"/>
      <c r="M464" s="263"/>
      <c r="N464" s="263"/>
      <c r="O464" s="263"/>
      <c r="P464" s="263"/>
      <c r="Q464" s="263"/>
      <c r="R464" s="263"/>
      <c r="S464" s="263"/>
      <c r="T464" s="263"/>
      <c r="U464" s="263"/>
      <c r="V464" s="263"/>
      <c r="W464" s="263"/>
      <c r="X464" s="263"/>
      <c r="Y464" s="263"/>
      <c r="Z464" s="263"/>
      <c r="AA464" s="263"/>
      <c r="AB464" s="263"/>
    </row>
    <row r="465" spans="1:28" ht="16" x14ac:dyDescent="0.2">
      <c r="A465" s="263"/>
      <c r="B465" s="263"/>
      <c r="C465" s="309"/>
      <c r="D465" s="263"/>
      <c r="E465" s="263"/>
      <c r="F465" s="263"/>
      <c r="G465" s="263"/>
      <c r="H465" s="263"/>
      <c r="I465" s="263"/>
      <c r="J465" s="263"/>
      <c r="K465" s="263"/>
      <c r="L465" s="263"/>
      <c r="M465" s="263"/>
      <c r="N465" s="263"/>
      <c r="O465" s="263"/>
      <c r="P465" s="263"/>
      <c r="Q465" s="263"/>
      <c r="R465" s="263"/>
      <c r="S465" s="263"/>
      <c r="T465" s="263"/>
      <c r="U465" s="263"/>
      <c r="V465" s="263"/>
      <c r="W465" s="263"/>
      <c r="X465" s="263"/>
      <c r="Y465" s="263"/>
      <c r="Z465" s="263"/>
      <c r="AA465" s="263"/>
      <c r="AB465" s="263"/>
    </row>
    <row r="466" spans="1:28" ht="16" x14ac:dyDescent="0.2">
      <c r="A466" s="263"/>
      <c r="B466" s="263"/>
      <c r="C466" s="309"/>
      <c r="D466" s="263"/>
      <c r="E466" s="263"/>
      <c r="F466" s="263"/>
      <c r="G466" s="263"/>
      <c r="H466" s="263"/>
      <c r="I466" s="263"/>
      <c r="J466" s="263"/>
      <c r="K466" s="263"/>
      <c r="L466" s="263"/>
      <c r="M466" s="263"/>
      <c r="N466" s="263"/>
      <c r="O466" s="263"/>
      <c r="P466" s="263"/>
      <c r="Q466" s="263"/>
      <c r="R466" s="263"/>
      <c r="S466" s="263"/>
      <c r="T466" s="263"/>
      <c r="U466" s="263"/>
      <c r="V466" s="263"/>
      <c r="W466" s="263"/>
      <c r="X466" s="263"/>
      <c r="Y466" s="263"/>
      <c r="Z466" s="263"/>
      <c r="AA466" s="263"/>
      <c r="AB466" s="263"/>
    </row>
    <row r="467" spans="1:28" ht="16" x14ac:dyDescent="0.2">
      <c r="A467" s="263"/>
      <c r="B467" s="263"/>
      <c r="C467" s="309"/>
      <c r="D467" s="263"/>
      <c r="E467" s="263"/>
      <c r="F467" s="263"/>
      <c r="G467" s="263"/>
      <c r="H467" s="263"/>
      <c r="I467" s="263"/>
      <c r="J467" s="263"/>
      <c r="K467" s="263"/>
      <c r="L467" s="263"/>
      <c r="M467" s="263"/>
      <c r="N467" s="263"/>
      <c r="O467" s="263"/>
      <c r="P467" s="263"/>
      <c r="Q467" s="263"/>
      <c r="R467" s="263"/>
      <c r="S467" s="263"/>
      <c r="T467" s="263"/>
      <c r="U467" s="263"/>
      <c r="V467" s="263"/>
      <c r="W467" s="263"/>
      <c r="X467" s="263"/>
      <c r="Y467" s="263"/>
      <c r="Z467" s="263"/>
      <c r="AA467" s="263"/>
      <c r="AB467" s="263"/>
    </row>
    <row r="468" spans="1:28" ht="16" x14ac:dyDescent="0.2">
      <c r="A468" s="263"/>
      <c r="B468" s="263"/>
      <c r="C468" s="309"/>
      <c r="D468" s="263"/>
      <c r="E468" s="263"/>
      <c r="F468" s="263"/>
      <c r="G468" s="263"/>
      <c r="H468" s="263"/>
      <c r="I468" s="263"/>
      <c r="J468" s="263"/>
      <c r="K468" s="263"/>
      <c r="L468" s="263"/>
      <c r="M468" s="263"/>
      <c r="N468" s="263"/>
      <c r="O468" s="263"/>
      <c r="P468" s="263"/>
      <c r="Q468" s="263"/>
      <c r="R468" s="263"/>
      <c r="S468" s="263"/>
      <c r="T468" s="263"/>
      <c r="U468" s="263"/>
      <c r="V468" s="263"/>
      <c r="W468" s="263"/>
      <c r="X468" s="263"/>
      <c r="Y468" s="263"/>
      <c r="Z468" s="263"/>
      <c r="AA468" s="263"/>
      <c r="AB468" s="263"/>
    </row>
    <row r="469" spans="1:28" ht="16" x14ac:dyDescent="0.2">
      <c r="A469" s="263"/>
      <c r="B469" s="263"/>
      <c r="C469" s="309"/>
      <c r="D469" s="263"/>
      <c r="E469" s="263"/>
      <c r="F469" s="263"/>
      <c r="G469" s="263"/>
      <c r="H469" s="263"/>
      <c r="I469" s="263"/>
      <c r="J469" s="263"/>
      <c r="K469" s="263"/>
      <c r="L469" s="263"/>
      <c r="M469" s="263"/>
      <c r="N469" s="263"/>
      <c r="O469" s="263"/>
      <c r="P469" s="263"/>
      <c r="Q469" s="263"/>
      <c r="R469" s="263"/>
      <c r="S469" s="263"/>
      <c r="T469" s="263"/>
      <c r="U469" s="263"/>
      <c r="V469" s="263"/>
      <c r="W469" s="263"/>
      <c r="X469" s="263"/>
      <c r="Y469" s="263"/>
      <c r="Z469" s="263"/>
      <c r="AA469" s="263"/>
      <c r="AB469" s="263"/>
    </row>
    <row r="470" spans="1:28" ht="16" x14ac:dyDescent="0.2">
      <c r="A470" s="263"/>
      <c r="B470" s="263"/>
      <c r="C470" s="309"/>
      <c r="D470" s="263"/>
      <c r="E470" s="263"/>
      <c r="F470" s="263"/>
      <c r="G470" s="263"/>
      <c r="H470" s="263"/>
      <c r="I470" s="263"/>
      <c r="J470" s="263"/>
      <c r="K470" s="263"/>
      <c r="L470" s="263"/>
      <c r="M470" s="263"/>
      <c r="N470" s="263"/>
      <c r="O470" s="263"/>
      <c r="P470" s="263"/>
      <c r="Q470" s="263"/>
      <c r="R470" s="263"/>
      <c r="S470" s="263"/>
      <c r="T470" s="263"/>
      <c r="U470" s="263"/>
      <c r="V470" s="263"/>
      <c r="W470" s="263"/>
      <c r="X470" s="263"/>
      <c r="Y470" s="263"/>
      <c r="Z470" s="263"/>
      <c r="AA470" s="263"/>
      <c r="AB470" s="263"/>
    </row>
    <row r="471" spans="1:28" ht="16" x14ac:dyDescent="0.2">
      <c r="A471" s="263"/>
      <c r="B471" s="263"/>
      <c r="C471" s="309"/>
      <c r="D471" s="263"/>
      <c r="E471" s="263"/>
      <c r="F471" s="263"/>
      <c r="G471" s="263"/>
      <c r="H471" s="263"/>
      <c r="I471" s="263"/>
      <c r="J471" s="263"/>
      <c r="K471" s="263"/>
      <c r="L471" s="263"/>
      <c r="M471" s="263"/>
      <c r="N471" s="263"/>
      <c r="O471" s="263"/>
      <c r="P471" s="263"/>
      <c r="Q471" s="263"/>
      <c r="R471" s="263"/>
      <c r="S471" s="263"/>
      <c r="T471" s="263"/>
      <c r="U471" s="263"/>
      <c r="V471" s="263"/>
      <c r="W471" s="263"/>
      <c r="X471" s="263"/>
      <c r="Y471" s="263"/>
      <c r="Z471" s="263"/>
      <c r="AA471" s="263"/>
      <c r="AB471" s="263"/>
    </row>
    <row r="472" spans="1:28" ht="16" x14ac:dyDescent="0.2">
      <c r="A472" s="263"/>
      <c r="B472" s="263"/>
      <c r="C472" s="309"/>
      <c r="D472" s="263"/>
      <c r="E472" s="263"/>
      <c r="F472" s="263"/>
      <c r="G472" s="263"/>
      <c r="H472" s="263"/>
      <c r="I472" s="263"/>
      <c r="J472" s="263"/>
      <c r="K472" s="263"/>
      <c r="L472" s="263"/>
      <c r="M472" s="263"/>
      <c r="N472" s="263"/>
      <c r="O472" s="263"/>
      <c r="P472" s="263"/>
      <c r="Q472" s="263"/>
      <c r="R472" s="263"/>
      <c r="S472" s="263"/>
      <c r="T472" s="263"/>
      <c r="U472" s="263"/>
      <c r="V472" s="263"/>
      <c r="W472" s="263"/>
      <c r="X472" s="263"/>
      <c r="Y472" s="263"/>
      <c r="Z472" s="263"/>
      <c r="AA472" s="263"/>
      <c r="AB472" s="263"/>
    </row>
    <row r="473" spans="1:28" ht="16" x14ac:dyDescent="0.2">
      <c r="A473" s="263"/>
      <c r="B473" s="263"/>
      <c r="C473" s="309"/>
      <c r="D473" s="263"/>
      <c r="E473" s="263"/>
      <c r="F473" s="263"/>
      <c r="G473" s="263"/>
      <c r="H473" s="263"/>
      <c r="I473" s="263"/>
      <c r="J473" s="263"/>
      <c r="K473" s="263"/>
      <c r="L473" s="263"/>
      <c r="M473" s="263"/>
      <c r="N473" s="263"/>
      <c r="O473" s="263"/>
      <c r="P473" s="263"/>
      <c r="Q473" s="263"/>
      <c r="R473" s="263"/>
      <c r="S473" s="263"/>
      <c r="T473" s="263"/>
      <c r="U473" s="263"/>
      <c r="V473" s="263"/>
      <c r="W473" s="263"/>
      <c r="X473" s="263"/>
      <c r="Y473" s="263"/>
      <c r="Z473" s="263"/>
      <c r="AA473" s="263"/>
      <c r="AB473" s="263"/>
    </row>
    <row r="474" spans="1:28" ht="16" x14ac:dyDescent="0.2">
      <c r="A474" s="263"/>
      <c r="B474" s="263"/>
      <c r="C474" s="309"/>
      <c r="D474" s="263"/>
      <c r="E474" s="263"/>
      <c r="F474" s="263"/>
      <c r="G474" s="263"/>
      <c r="H474" s="263"/>
      <c r="I474" s="263"/>
      <c r="J474" s="263"/>
      <c r="K474" s="263"/>
      <c r="L474" s="263"/>
      <c r="M474" s="263"/>
      <c r="N474" s="263"/>
      <c r="O474" s="263"/>
      <c r="P474" s="263"/>
      <c r="Q474" s="263"/>
      <c r="R474" s="263"/>
      <c r="S474" s="263"/>
      <c r="T474" s="263"/>
      <c r="U474" s="263"/>
      <c r="V474" s="263"/>
      <c r="W474" s="263"/>
      <c r="X474" s="263"/>
      <c r="Y474" s="263"/>
      <c r="Z474" s="263"/>
      <c r="AA474" s="263"/>
      <c r="AB474" s="263"/>
    </row>
    <row r="475" spans="1:28" ht="16" x14ac:dyDescent="0.2">
      <c r="A475" s="263"/>
      <c r="B475" s="263"/>
      <c r="C475" s="309"/>
      <c r="D475" s="263"/>
      <c r="E475" s="263"/>
      <c r="F475" s="263"/>
      <c r="G475" s="263"/>
      <c r="H475" s="263"/>
      <c r="I475" s="263"/>
      <c r="J475" s="263"/>
      <c r="K475" s="263"/>
      <c r="L475" s="263"/>
      <c r="M475" s="263"/>
      <c r="N475" s="263"/>
      <c r="O475" s="263"/>
      <c r="P475" s="263"/>
      <c r="Q475" s="263"/>
      <c r="R475" s="263"/>
      <c r="S475" s="263"/>
      <c r="T475" s="263"/>
      <c r="U475" s="263"/>
      <c r="V475" s="263"/>
      <c r="W475" s="263"/>
      <c r="X475" s="263"/>
      <c r="Y475" s="263"/>
      <c r="Z475" s="263"/>
      <c r="AA475" s="263"/>
      <c r="AB475" s="263"/>
    </row>
    <row r="476" spans="1:28" ht="16" x14ac:dyDescent="0.2">
      <c r="A476" s="263"/>
      <c r="B476" s="263"/>
      <c r="C476" s="309"/>
      <c r="D476" s="263"/>
      <c r="E476" s="263"/>
      <c r="F476" s="263"/>
      <c r="G476" s="263"/>
      <c r="H476" s="263"/>
      <c r="I476" s="263"/>
      <c r="J476" s="263"/>
      <c r="K476" s="263"/>
      <c r="L476" s="263"/>
      <c r="M476" s="263"/>
      <c r="N476" s="263"/>
      <c r="O476" s="263"/>
      <c r="P476" s="263"/>
      <c r="Q476" s="263"/>
      <c r="R476" s="263"/>
      <c r="S476" s="263"/>
      <c r="T476" s="263"/>
      <c r="U476" s="263"/>
      <c r="V476" s="263"/>
      <c r="W476" s="263"/>
      <c r="X476" s="263"/>
      <c r="Y476" s="263"/>
      <c r="Z476" s="263"/>
      <c r="AA476" s="263"/>
      <c r="AB476" s="263"/>
    </row>
    <row r="477" spans="1:28" ht="16" x14ac:dyDescent="0.2">
      <c r="A477" s="263"/>
      <c r="B477" s="263"/>
      <c r="C477" s="309"/>
      <c r="D477" s="263"/>
      <c r="E477" s="263"/>
      <c r="F477" s="263"/>
      <c r="G477" s="263"/>
      <c r="H477" s="263"/>
      <c r="I477" s="263"/>
      <c r="J477" s="263"/>
      <c r="K477" s="263"/>
      <c r="L477" s="263"/>
      <c r="M477" s="263"/>
      <c r="N477" s="263"/>
      <c r="O477" s="263"/>
      <c r="P477" s="263"/>
      <c r="Q477" s="263"/>
      <c r="R477" s="263"/>
      <c r="S477" s="263"/>
      <c r="T477" s="263"/>
      <c r="U477" s="263"/>
      <c r="V477" s="263"/>
      <c r="W477" s="263"/>
      <c r="X477" s="263"/>
      <c r="Y477" s="263"/>
      <c r="Z477" s="263"/>
      <c r="AA477" s="263"/>
      <c r="AB477" s="263"/>
    </row>
    <row r="478" spans="1:28" ht="16" x14ac:dyDescent="0.2">
      <c r="A478" s="263"/>
      <c r="B478" s="263"/>
      <c r="C478" s="309"/>
      <c r="D478" s="263"/>
      <c r="E478" s="263"/>
      <c r="F478" s="263"/>
      <c r="G478" s="263"/>
      <c r="H478" s="263"/>
      <c r="I478" s="263"/>
      <c r="J478" s="263"/>
      <c r="K478" s="263"/>
      <c r="L478" s="263"/>
      <c r="M478" s="263"/>
      <c r="N478" s="263"/>
      <c r="O478" s="263"/>
      <c r="P478" s="263"/>
      <c r="Q478" s="263"/>
      <c r="R478" s="263"/>
      <c r="S478" s="263"/>
      <c r="T478" s="263"/>
      <c r="U478" s="263"/>
      <c r="V478" s="263"/>
      <c r="W478" s="263"/>
      <c r="X478" s="263"/>
      <c r="Y478" s="263"/>
      <c r="Z478" s="263"/>
      <c r="AA478" s="263"/>
      <c r="AB478" s="263"/>
    </row>
    <row r="479" spans="1:28" ht="16" x14ac:dyDescent="0.2">
      <c r="A479" s="263"/>
      <c r="B479" s="263"/>
      <c r="C479" s="309"/>
      <c r="D479" s="263"/>
      <c r="E479" s="263"/>
      <c r="F479" s="263"/>
      <c r="G479" s="263"/>
      <c r="H479" s="263"/>
      <c r="I479" s="263"/>
      <c r="J479" s="263"/>
      <c r="K479" s="263"/>
      <c r="L479" s="263"/>
      <c r="M479" s="263"/>
      <c r="N479" s="263"/>
      <c r="O479" s="263"/>
      <c r="P479" s="263"/>
      <c r="Q479" s="263"/>
      <c r="R479" s="263"/>
      <c r="S479" s="263"/>
      <c r="T479" s="263"/>
      <c r="U479" s="263"/>
      <c r="V479" s="263"/>
      <c r="W479" s="263"/>
      <c r="X479" s="263"/>
      <c r="Y479" s="263"/>
      <c r="Z479" s="263"/>
      <c r="AA479" s="263"/>
      <c r="AB479" s="263"/>
    </row>
    <row r="480" spans="1:28" ht="16" x14ac:dyDescent="0.2">
      <c r="A480" s="263"/>
      <c r="B480" s="263"/>
      <c r="C480" s="309"/>
      <c r="D480" s="263"/>
      <c r="E480" s="263"/>
      <c r="F480" s="263"/>
      <c r="G480" s="263"/>
      <c r="H480" s="263"/>
      <c r="I480" s="263"/>
      <c r="J480" s="263"/>
      <c r="K480" s="263"/>
      <c r="L480" s="263"/>
      <c r="M480" s="263"/>
      <c r="N480" s="263"/>
      <c r="O480" s="263"/>
      <c r="P480" s="263"/>
      <c r="Q480" s="263"/>
      <c r="R480" s="263"/>
      <c r="S480" s="263"/>
      <c r="T480" s="263"/>
      <c r="U480" s="263"/>
      <c r="V480" s="263"/>
      <c r="W480" s="263"/>
      <c r="X480" s="263"/>
      <c r="Y480" s="263"/>
      <c r="Z480" s="263"/>
      <c r="AA480" s="263"/>
      <c r="AB480" s="263"/>
    </row>
    <row r="481" spans="1:28" ht="16" x14ac:dyDescent="0.2">
      <c r="A481" s="263"/>
      <c r="B481" s="263"/>
      <c r="C481" s="309"/>
      <c r="D481" s="263"/>
      <c r="E481" s="263"/>
      <c r="F481" s="263"/>
      <c r="G481" s="263"/>
      <c r="H481" s="263"/>
      <c r="I481" s="263"/>
      <c r="J481" s="263"/>
      <c r="K481" s="263"/>
      <c r="L481" s="263"/>
      <c r="M481" s="263"/>
      <c r="N481" s="263"/>
      <c r="O481" s="263"/>
      <c r="P481" s="263"/>
      <c r="Q481" s="263"/>
      <c r="R481" s="263"/>
      <c r="S481" s="263"/>
      <c r="T481" s="263"/>
      <c r="U481" s="263"/>
      <c r="V481" s="263"/>
      <c r="W481" s="263"/>
      <c r="X481" s="263"/>
      <c r="Y481" s="263"/>
      <c r="Z481" s="263"/>
      <c r="AA481" s="263"/>
      <c r="AB481" s="263"/>
    </row>
    <row r="482" spans="1:28" ht="16" x14ac:dyDescent="0.2">
      <c r="A482" s="263"/>
      <c r="B482" s="263"/>
      <c r="C482" s="309"/>
      <c r="D482" s="263"/>
      <c r="E482" s="263"/>
      <c r="F482" s="263"/>
      <c r="G482" s="263"/>
      <c r="H482" s="263"/>
      <c r="I482" s="263"/>
      <c r="J482" s="263"/>
      <c r="K482" s="263"/>
      <c r="L482" s="263"/>
      <c r="M482" s="263"/>
      <c r="N482" s="263"/>
      <c r="O482" s="263"/>
      <c r="P482" s="263"/>
      <c r="Q482" s="263"/>
      <c r="R482" s="263"/>
      <c r="S482" s="263"/>
      <c r="T482" s="263"/>
      <c r="U482" s="263"/>
      <c r="V482" s="263"/>
      <c r="W482" s="263"/>
      <c r="X482" s="263"/>
      <c r="Y482" s="263"/>
      <c r="Z482" s="263"/>
      <c r="AA482" s="263"/>
      <c r="AB482" s="263"/>
    </row>
    <row r="483" spans="1:28" ht="16" x14ac:dyDescent="0.2">
      <c r="A483" s="263"/>
      <c r="B483" s="263"/>
      <c r="C483" s="309"/>
      <c r="D483" s="263"/>
      <c r="E483" s="263"/>
      <c r="F483" s="263"/>
      <c r="G483" s="263"/>
      <c r="H483" s="263"/>
      <c r="I483" s="263"/>
      <c r="J483" s="263"/>
      <c r="K483" s="263"/>
      <c r="L483" s="263"/>
      <c r="M483" s="263"/>
      <c r="N483" s="263"/>
      <c r="O483" s="263"/>
      <c r="P483" s="263"/>
      <c r="Q483" s="263"/>
      <c r="R483" s="263"/>
      <c r="S483" s="263"/>
      <c r="T483" s="263"/>
      <c r="U483" s="263"/>
      <c r="V483" s="263"/>
      <c r="W483" s="263"/>
      <c r="X483" s="263"/>
      <c r="Y483" s="263"/>
      <c r="Z483" s="263"/>
      <c r="AA483" s="263"/>
      <c r="AB483" s="263"/>
    </row>
    <row r="484" spans="1:28" ht="16" x14ac:dyDescent="0.2">
      <c r="A484" s="263"/>
      <c r="B484" s="263"/>
      <c r="C484" s="309"/>
      <c r="D484" s="263"/>
      <c r="E484" s="263"/>
      <c r="F484" s="263"/>
      <c r="G484" s="263"/>
      <c r="H484" s="263"/>
      <c r="I484" s="263"/>
      <c r="J484" s="263"/>
      <c r="K484" s="263"/>
      <c r="L484" s="263"/>
      <c r="M484" s="263"/>
      <c r="N484" s="263"/>
      <c r="O484" s="263"/>
      <c r="P484" s="263"/>
      <c r="Q484" s="263"/>
      <c r="R484" s="263"/>
      <c r="S484" s="263"/>
      <c r="T484" s="263"/>
      <c r="U484" s="263"/>
      <c r="V484" s="263"/>
      <c r="W484" s="263"/>
      <c r="X484" s="263"/>
      <c r="Y484" s="263"/>
      <c r="Z484" s="263"/>
      <c r="AA484" s="263"/>
      <c r="AB484" s="263"/>
    </row>
    <row r="485" spans="1:28" ht="16" x14ac:dyDescent="0.2">
      <c r="A485" s="263"/>
      <c r="B485" s="263"/>
      <c r="C485" s="309"/>
      <c r="D485" s="263"/>
      <c r="E485" s="263"/>
      <c r="F485" s="263"/>
      <c r="G485" s="263"/>
      <c r="H485" s="263"/>
      <c r="I485" s="263"/>
      <c r="J485" s="263"/>
      <c r="K485" s="263"/>
      <c r="L485" s="263"/>
      <c r="M485" s="263"/>
      <c r="N485" s="263"/>
      <c r="O485" s="263"/>
      <c r="P485" s="263"/>
      <c r="Q485" s="263"/>
      <c r="R485" s="263"/>
      <c r="S485" s="263"/>
      <c r="T485" s="263"/>
      <c r="U485" s="263"/>
      <c r="V485" s="263"/>
      <c r="W485" s="263"/>
      <c r="X485" s="263"/>
      <c r="Y485" s="263"/>
      <c r="Z485" s="263"/>
      <c r="AA485" s="263"/>
      <c r="AB485" s="263"/>
    </row>
    <row r="486" spans="1:28" ht="16" x14ac:dyDescent="0.2">
      <c r="A486" s="263"/>
      <c r="B486" s="263"/>
      <c r="C486" s="309"/>
      <c r="D486" s="263"/>
      <c r="E486" s="263"/>
      <c r="F486" s="263"/>
      <c r="G486" s="263"/>
      <c r="H486" s="263"/>
      <c r="I486" s="263"/>
      <c r="J486" s="263"/>
      <c r="K486" s="263"/>
      <c r="L486" s="263"/>
      <c r="M486" s="263"/>
      <c r="N486" s="263"/>
      <c r="O486" s="263"/>
      <c r="P486" s="263"/>
      <c r="Q486" s="263"/>
      <c r="R486" s="263"/>
      <c r="S486" s="263"/>
      <c r="T486" s="263"/>
      <c r="U486" s="263"/>
      <c r="V486" s="263"/>
      <c r="W486" s="263"/>
      <c r="X486" s="263"/>
      <c r="Y486" s="263"/>
      <c r="Z486" s="263"/>
      <c r="AA486" s="263"/>
      <c r="AB486" s="263"/>
    </row>
    <row r="487" spans="1:28" ht="16" x14ac:dyDescent="0.2">
      <c r="A487" s="263"/>
      <c r="B487" s="263"/>
      <c r="C487" s="309"/>
      <c r="D487" s="263"/>
      <c r="E487" s="263"/>
      <c r="F487" s="263"/>
      <c r="G487" s="263"/>
      <c r="H487" s="263"/>
      <c r="I487" s="263"/>
      <c r="J487" s="263"/>
      <c r="K487" s="263"/>
      <c r="L487" s="263"/>
      <c r="M487" s="263"/>
      <c r="N487" s="263"/>
      <c r="O487" s="263"/>
      <c r="P487" s="263"/>
      <c r="Q487" s="263"/>
      <c r="R487" s="263"/>
      <c r="S487" s="263"/>
      <c r="T487" s="263"/>
      <c r="U487" s="263"/>
      <c r="V487" s="263"/>
      <c r="W487" s="263"/>
      <c r="X487" s="263"/>
      <c r="Y487" s="263"/>
      <c r="Z487" s="263"/>
      <c r="AA487" s="263"/>
      <c r="AB487" s="263"/>
    </row>
    <row r="488" spans="1:28" ht="16" x14ac:dyDescent="0.2">
      <c r="A488" s="263"/>
      <c r="B488" s="263"/>
      <c r="C488" s="309"/>
      <c r="D488" s="263"/>
      <c r="E488" s="263"/>
      <c r="F488" s="263"/>
      <c r="G488" s="263"/>
      <c r="H488" s="263"/>
      <c r="I488" s="263"/>
      <c r="J488" s="263"/>
      <c r="K488" s="263"/>
      <c r="L488" s="263"/>
      <c r="M488" s="263"/>
      <c r="N488" s="263"/>
      <c r="O488" s="263"/>
      <c r="P488" s="263"/>
      <c r="Q488" s="263"/>
      <c r="R488" s="263"/>
      <c r="S488" s="263"/>
      <c r="T488" s="263"/>
      <c r="U488" s="263"/>
      <c r="V488" s="263"/>
      <c r="W488" s="263"/>
      <c r="X488" s="263"/>
      <c r="Y488" s="263"/>
      <c r="Z488" s="263"/>
      <c r="AA488" s="263"/>
      <c r="AB488" s="263"/>
    </row>
    <row r="489" spans="1:28" ht="16" x14ac:dyDescent="0.2">
      <c r="A489" s="263"/>
      <c r="B489" s="263"/>
      <c r="C489" s="309"/>
      <c r="D489" s="263"/>
      <c r="E489" s="263"/>
      <c r="F489" s="263"/>
      <c r="G489" s="263"/>
      <c r="H489" s="263"/>
      <c r="I489" s="263"/>
      <c r="J489" s="263"/>
      <c r="K489" s="263"/>
      <c r="L489" s="263"/>
      <c r="M489" s="263"/>
      <c r="N489" s="263"/>
      <c r="O489" s="263"/>
      <c r="P489" s="263"/>
      <c r="Q489" s="263"/>
      <c r="R489" s="263"/>
      <c r="S489" s="263"/>
      <c r="T489" s="263"/>
      <c r="U489" s="263"/>
      <c r="V489" s="263"/>
      <c r="W489" s="263"/>
      <c r="X489" s="263"/>
      <c r="Y489" s="263"/>
      <c r="Z489" s="263"/>
      <c r="AA489" s="263"/>
      <c r="AB489" s="263"/>
    </row>
    <row r="490" spans="1:28" ht="16" x14ac:dyDescent="0.2">
      <c r="A490" s="263"/>
      <c r="B490" s="263"/>
      <c r="C490" s="309"/>
      <c r="D490" s="263"/>
      <c r="E490" s="263"/>
      <c r="F490" s="263"/>
      <c r="G490" s="263"/>
      <c r="H490" s="263"/>
      <c r="I490" s="263"/>
      <c r="J490" s="263"/>
      <c r="K490" s="263"/>
      <c r="L490" s="263"/>
      <c r="M490" s="263"/>
      <c r="N490" s="263"/>
      <c r="O490" s="263"/>
      <c r="P490" s="263"/>
      <c r="Q490" s="263"/>
      <c r="R490" s="263"/>
      <c r="S490" s="263"/>
      <c r="T490" s="263"/>
      <c r="U490" s="263"/>
      <c r="V490" s="263"/>
      <c r="W490" s="263"/>
      <c r="X490" s="263"/>
      <c r="Y490" s="263"/>
      <c r="Z490" s="263"/>
      <c r="AA490" s="263"/>
      <c r="AB490" s="263"/>
    </row>
    <row r="491" spans="1:28" ht="16" x14ac:dyDescent="0.2">
      <c r="A491" s="263"/>
      <c r="B491" s="263"/>
      <c r="C491" s="309"/>
      <c r="D491" s="263"/>
      <c r="E491" s="263"/>
      <c r="F491" s="263"/>
      <c r="G491" s="263"/>
      <c r="H491" s="263"/>
      <c r="I491" s="263"/>
      <c r="J491" s="263"/>
      <c r="K491" s="263"/>
      <c r="L491" s="263"/>
      <c r="M491" s="263"/>
      <c r="N491" s="263"/>
      <c r="O491" s="263"/>
      <c r="P491" s="263"/>
      <c r="Q491" s="263"/>
      <c r="R491" s="263"/>
      <c r="S491" s="263"/>
      <c r="T491" s="263"/>
      <c r="U491" s="263"/>
      <c r="V491" s="263"/>
      <c r="W491" s="263"/>
      <c r="X491" s="263"/>
      <c r="Y491" s="263"/>
      <c r="Z491" s="263"/>
      <c r="AA491" s="263"/>
      <c r="AB491" s="263"/>
    </row>
    <row r="492" spans="1:28" ht="16" x14ac:dyDescent="0.2">
      <c r="A492" s="263"/>
      <c r="B492" s="263"/>
      <c r="C492" s="309"/>
      <c r="D492" s="263"/>
      <c r="E492" s="263"/>
      <c r="F492" s="263"/>
      <c r="G492" s="263"/>
      <c r="H492" s="263"/>
      <c r="I492" s="263"/>
      <c r="J492" s="263"/>
      <c r="K492" s="263"/>
      <c r="L492" s="263"/>
      <c r="M492" s="263"/>
      <c r="N492" s="263"/>
      <c r="O492" s="263"/>
      <c r="P492" s="263"/>
      <c r="Q492" s="263"/>
      <c r="R492" s="263"/>
      <c r="S492" s="263"/>
      <c r="T492" s="263"/>
      <c r="U492" s="263"/>
      <c r="V492" s="263"/>
      <c r="W492" s="263"/>
      <c r="X492" s="263"/>
      <c r="Y492" s="263"/>
      <c r="Z492" s="263"/>
      <c r="AA492" s="263"/>
      <c r="AB492" s="263"/>
    </row>
    <row r="493" spans="1:28" ht="16" x14ac:dyDescent="0.2">
      <c r="A493" s="263"/>
      <c r="B493" s="263"/>
      <c r="C493" s="309"/>
      <c r="D493" s="263"/>
      <c r="E493" s="263"/>
      <c r="F493" s="263"/>
      <c r="G493" s="263"/>
      <c r="H493" s="263"/>
      <c r="I493" s="263"/>
      <c r="J493" s="263"/>
      <c r="K493" s="263"/>
      <c r="L493" s="263"/>
      <c r="M493" s="263"/>
      <c r="N493" s="263"/>
      <c r="O493" s="263"/>
      <c r="P493" s="263"/>
      <c r="Q493" s="263"/>
      <c r="R493" s="263"/>
      <c r="S493" s="263"/>
      <c r="T493" s="263"/>
      <c r="U493" s="263"/>
      <c r="V493" s="263"/>
      <c r="W493" s="263"/>
      <c r="X493" s="263"/>
      <c r="Y493" s="263"/>
      <c r="Z493" s="263"/>
      <c r="AA493" s="263"/>
      <c r="AB493" s="263"/>
    </row>
    <row r="494" spans="1:28" ht="16" x14ac:dyDescent="0.2">
      <c r="A494" s="263"/>
      <c r="B494" s="263"/>
      <c r="C494" s="309"/>
      <c r="D494" s="263"/>
      <c r="E494" s="263"/>
      <c r="F494" s="263"/>
      <c r="G494" s="263"/>
      <c r="H494" s="263"/>
      <c r="I494" s="263"/>
      <c r="J494" s="263"/>
      <c r="K494" s="263"/>
      <c r="L494" s="263"/>
      <c r="M494" s="263"/>
      <c r="N494" s="263"/>
      <c r="O494" s="263"/>
      <c r="P494" s="263"/>
      <c r="Q494" s="263"/>
      <c r="R494" s="263"/>
      <c r="S494" s="263"/>
      <c r="T494" s="263"/>
      <c r="U494" s="263"/>
      <c r="V494" s="263"/>
      <c r="W494" s="263"/>
      <c r="X494" s="263"/>
      <c r="Y494" s="263"/>
      <c r="Z494" s="263"/>
      <c r="AA494" s="263"/>
      <c r="AB494" s="263"/>
    </row>
    <row r="495" spans="1:28" ht="16" x14ac:dyDescent="0.2">
      <c r="A495" s="263"/>
      <c r="B495" s="263"/>
      <c r="C495" s="309"/>
      <c r="D495" s="263"/>
      <c r="E495" s="263"/>
      <c r="F495" s="263"/>
      <c r="G495" s="263"/>
      <c r="H495" s="263"/>
      <c r="I495" s="263"/>
      <c r="J495" s="263"/>
      <c r="K495" s="263"/>
      <c r="L495" s="263"/>
      <c r="M495" s="263"/>
      <c r="N495" s="263"/>
      <c r="O495" s="263"/>
      <c r="P495" s="263"/>
      <c r="Q495" s="263"/>
      <c r="R495" s="263"/>
      <c r="S495" s="263"/>
      <c r="T495" s="263"/>
      <c r="U495" s="263"/>
      <c r="V495" s="263"/>
      <c r="W495" s="263"/>
      <c r="X495" s="263"/>
      <c r="Y495" s="263"/>
      <c r="Z495" s="263"/>
      <c r="AA495" s="263"/>
      <c r="AB495" s="263"/>
    </row>
    <row r="496" spans="1:28" ht="16" x14ac:dyDescent="0.2">
      <c r="A496" s="263"/>
      <c r="B496" s="263"/>
      <c r="C496" s="309"/>
      <c r="D496" s="263"/>
      <c r="E496" s="263"/>
      <c r="F496" s="263"/>
      <c r="G496" s="263"/>
      <c r="H496" s="263"/>
      <c r="I496" s="263"/>
      <c r="J496" s="263"/>
      <c r="K496" s="263"/>
      <c r="L496" s="263"/>
      <c r="M496" s="263"/>
      <c r="N496" s="263"/>
      <c r="O496" s="263"/>
      <c r="P496" s="263"/>
      <c r="Q496" s="263"/>
      <c r="R496" s="263"/>
      <c r="S496" s="263"/>
      <c r="T496" s="263"/>
      <c r="U496" s="263"/>
      <c r="V496" s="263"/>
      <c r="W496" s="263"/>
      <c r="X496" s="263"/>
      <c r="Y496" s="263"/>
      <c r="Z496" s="263"/>
      <c r="AA496" s="263"/>
      <c r="AB496" s="263"/>
    </row>
    <row r="497" spans="1:28" ht="16" x14ac:dyDescent="0.2">
      <c r="A497" s="263"/>
      <c r="B497" s="263"/>
      <c r="C497" s="309"/>
      <c r="D497" s="263"/>
      <c r="E497" s="263"/>
      <c r="F497" s="263"/>
      <c r="G497" s="263"/>
      <c r="H497" s="263"/>
      <c r="I497" s="263"/>
      <c r="J497" s="263"/>
      <c r="K497" s="263"/>
      <c r="L497" s="263"/>
      <c r="M497" s="263"/>
      <c r="N497" s="263"/>
      <c r="O497" s="263"/>
      <c r="P497" s="263"/>
      <c r="Q497" s="263"/>
      <c r="R497" s="263"/>
      <c r="S497" s="263"/>
      <c r="T497" s="263"/>
      <c r="U497" s="263"/>
      <c r="V497" s="263"/>
      <c r="W497" s="263"/>
      <c r="X497" s="263"/>
      <c r="Y497" s="263"/>
      <c r="Z497" s="263"/>
      <c r="AA497" s="263"/>
      <c r="AB497" s="263"/>
    </row>
    <row r="498" spans="1:28" ht="16" x14ac:dyDescent="0.2">
      <c r="A498" s="263"/>
      <c r="B498" s="263"/>
      <c r="C498" s="309"/>
      <c r="D498" s="263"/>
      <c r="E498" s="263"/>
      <c r="F498" s="263"/>
      <c r="G498" s="263"/>
      <c r="H498" s="263"/>
      <c r="I498" s="263"/>
      <c r="J498" s="263"/>
      <c r="K498" s="263"/>
      <c r="L498" s="263"/>
      <c r="M498" s="263"/>
      <c r="N498" s="263"/>
      <c r="O498" s="263"/>
      <c r="P498" s="263"/>
      <c r="Q498" s="263"/>
      <c r="R498" s="263"/>
      <c r="S498" s="263"/>
      <c r="T498" s="263"/>
      <c r="U498" s="263"/>
      <c r="V498" s="263"/>
      <c r="W498" s="263"/>
      <c r="X498" s="263"/>
      <c r="Y498" s="263"/>
      <c r="Z498" s="263"/>
      <c r="AA498" s="263"/>
      <c r="AB498" s="263"/>
    </row>
    <row r="499" spans="1:28" ht="16" x14ac:dyDescent="0.2">
      <c r="A499" s="263"/>
      <c r="B499" s="263"/>
      <c r="C499" s="309"/>
      <c r="D499" s="263"/>
      <c r="E499" s="263"/>
      <c r="F499" s="263"/>
      <c r="G499" s="263"/>
      <c r="H499" s="263"/>
      <c r="I499" s="263"/>
      <c r="J499" s="263"/>
      <c r="K499" s="263"/>
      <c r="L499" s="263"/>
      <c r="M499" s="263"/>
      <c r="N499" s="263"/>
      <c r="O499" s="263"/>
      <c r="P499" s="263"/>
      <c r="Q499" s="263"/>
      <c r="R499" s="263"/>
      <c r="S499" s="263"/>
      <c r="T499" s="263"/>
      <c r="U499" s="263"/>
      <c r="V499" s="263"/>
      <c r="W499" s="263"/>
      <c r="X499" s="263"/>
      <c r="Y499" s="263"/>
      <c r="Z499" s="263"/>
      <c r="AA499" s="263"/>
      <c r="AB499" s="263"/>
    </row>
    <row r="500" spans="1:28" ht="16" x14ac:dyDescent="0.2">
      <c r="A500" s="263"/>
      <c r="B500" s="263"/>
      <c r="C500" s="309"/>
      <c r="D500" s="263"/>
      <c r="E500" s="263"/>
      <c r="F500" s="263"/>
      <c r="G500" s="263"/>
      <c r="H500" s="263"/>
      <c r="I500" s="263"/>
      <c r="J500" s="263"/>
      <c r="K500" s="263"/>
      <c r="L500" s="263"/>
      <c r="M500" s="263"/>
      <c r="N500" s="263"/>
      <c r="O500" s="263"/>
      <c r="P500" s="263"/>
      <c r="Q500" s="263"/>
      <c r="R500" s="263"/>
      <c r="S500" s="263"/>
      <c r="T500" s="263"/>
      <c r="U500" s="263"/>
      <c r="V500" s="263"/>
      <c r="W500" s="263"/>
      <c r="X500" s="263"/>
      <c r="Y500" s="263"/>
      <c r="Z500" s="263"/>
      <c r="AA500" s="263"/>
      <c r="AB500" s="263"/>
    </row>
    <row r="501" spans="1:28" ht="16" x14ac:dyDescent="0.2">
      <c r="A501" s="263"/>
      <c r="B501" s="263"/>
      <c r="C501" s="309"/>
      <c r="D501" s="263"/>
      <c r="E501" s="263"/>
      <c r="F501" s="263"/>
      <c r="G501" s="263"/>
      <c r="H501" s="263"/>
      <c r="I501" s="263"/>
      <c r="J501" s="263"/>
      <c r="K501" s="263"/>
      <c r="L501" s="263"/>
      <c r="M501" s="263"/>
      <c r="N501" s="263"/>
      <c r="O501" s="263"/>
      <c r="P501" s="263"/>
      <c r="Q501" s="263"/>
      <c r="R501" s="263"/>
      <c r="S501" s="263"/>
      <c r="T501" s="263"/>
      <c r="U501" s="263"/>
      <c r="V501" s="263"/>
      <c r="W501" s="263"/>
      <c r="X501" s="263"/>
      <c r="Y501" s="263"/>
      <c r="Z501" s="263"/>
      <c r="AA501" s="263"/>
      <c r="AB501" s="263"/>
    </row>
    <row r="502" spans="1:28" ht="16" x14ac:dyDescent="0.2">
      <c r="A502" s="263"/>
      <c r="B502" s="263"/>
      <c r="C502" s="309"/>
      <c r="D502" s="263"/>
      <c r="E502" s="263"/>
      <c r="F502" s="263"/>
      <c r="G502" s="263"/>
      <c r="H502" s="263"/>
      <c r="I502" s="263"/>
      <c r="J502" s="263"/>
      <c r="K502" s="263"/>
      <c r="L502" s="263"/>
      <c r="M502" s="263"/>
      <c r="N502" s="263"/>
      <c r="O502" s="263"/>
      <c r="P502" s="263"/>
      <c r="Q502" s="263"/>
      <c r="R502" s="263"/>
      <c r="S502" s="263"/>
      <c r="T502" s="263"/>
      <c r="U502" s="263"/>
      <c r="V502" s="263"/>
      <c r="W502" s="263"/>
      <c r="X502" s="263"/>
      <c r="Y502" s="263"/>
      <c r="Z502" s="263"/>
      <c r="AA502" s="263"/>
      <c r="AB502" s="263"/>
    </row>
    <row r="503" spans="1:28" ht="16" x14ac:dyDescent="0.2">
      <c r="A503" s="263"/>
      <c r="B503" s="263"/>
      <c r="C503" s="309"/>
      <c r="D503" s="263"/>
      <c r="E503" s="263"/>
      <c r="F503" s="263"/>
      <c r="G503" s="263"/>
      <c r="H503" s="263"/>
      <c r="I503" s="263"/>
      <c r="J503" s="263"/>
      <c r="K503" s="263"/>
      <c r="L503" s="263"/>
      <c r="M503" s="263"/>
      <c r="N503" s="263"/>
      <c r="O503" s="263"/>
      <c r="P503" s="263"/>
      <c r="Q503" s="263"/>
      <c r="R503" s="263"/>
      <c r="S503" s="263"/>
      <c r="T503" s="263"/>
      <c r="U503" s="263"/>
      <c r="V503" s="263"/>
      <c r="W503" s="263"/>
      <c r="X503" s="263"/>
      <c r="Y503" s="263"/>
      <c r="Z503" s="263"/>
      <c r="AA503" s="263"/>
      <c r="AB503" s="263"/>
    </row>
    <row r="504" spans="1:28" ht="16" x14ac:dyDescent="0.2">
      <c r="A504" s="263"/>
      <c r="B504" s="263"/>
      <c r="C504" s="309"/>
      <c r="D504" s="263"/>
      <c r="E504" s="263"/>
      <c r="F504" s="263"/>
      <c r="G504" s="263"/>
      <c r="H504" s="263"/>
      <c r="I504" s="263"/>
      <c r="J504" s="263"/>
      <c r="K504" s="263"/>
      <c r="L504" s="263"/>
      <c r="M504" s="263"/>
      <c r="N504" s="263"/>
      <c r="O504" s="263"/>
      <c r="P504" s="263"/>
      <c r="Q504" s="263"/>
      <c r="R504" s="263"/>
      <c r="S504" s="263"/>
      <c r="T504" s="263"/>
      <c r="U504" s="263"/>
      <c r="V504" s="263"/>
      <c r="W504" s="263"/>
      <c r="X504" s="263"/>
      <c r="Y504" s="263"/>
      <c r="Z504" s="263"/>
      <c r="AA504" s="263"/>
      <c r="AB504" s="263"/>
    </row>
    <row r="505" spans="1:28" ht="16" x14ac:dyDescent="0.2">
      <c r="A505" s="263"/>
      <c r="B505" s="263"/>
      <c r="C505" s="309"/>
      <c r="D505" s="263"/>
      <c r="E505" s="263"/>
      <c r="F505" s="263"/>
      <c r="G505" s="263"/>
      <c r="H505" s="263"/>
      <c r="I505" s="263"/>
      <c r="J505" s="263"/>
      <c r="K505" s="263"/>
      <c r="L505" s="263"/>
      <c r="M505" s="263"/>
      <c r="N505" s="263"/>
      <c r="O505" s="263"/>
      <c r="P505" s="263"/>
      <c r="Q505" s="263"/>
      <c r="R505" s="263"/>
      <c r="S505" s="263"/>
      <c r="T505" s="263"/>
      <c r="U505" s="263"/>
      <c r="V505" s="263"/>
      <c r="W505" s="263"/>
      <c r="X505" s="263"/>
      <c r="Y505" s="263"/>
      <c r="Z505" s="263"/>
      <c r="AA505" s="263"/>
      <c r="AB505" s="263"/>
    </row>
    <row r="506" spans="1:28" ht="16" x14ac:dyDescent="0.2">
      <c r="A506" s="263"/>
      <c r="B506" s="263"/>
      <c r="C506" s="309"/>
      <c r="D506" s="263"/>
      <c r="E506" s="263"/>
      <c r="F506" s="263"/>
      <c r="G506" s="263"/>
      <c r="H506" s="263"/>
      <c r="I506" s="263"/>
      <c r="J506" s="263"/>
      <c r="K506" s="263"/>
      <c r="L506" s="263"/>
      <c r="M506" s="263"/>
      <c r="N506" s="263"/>
      <c r="O506" s="263"/>
      <c r="P506" s="263"/>
      <c r="Q506" s="263"/>
      <c r="R506" s="263"/>
      <c r="S506" s="263"/>
      <c r="T506" s="263"/>
      <c r="U506" s="263"/>
      <c r="V506" s="263"/>
      <c r="W506" s="263"/>
      <c r="X506" s="263"/>
      <c r="Y506" s="263"/>
      <c r="Z506" s="263"/>
      <c r="AA506" s="263"/>
      <c r="AB506" s="263"/>
    </row>
    <row r="507" spans="1:28" ht="16" x14ac:dyDescent="0.2">
      <c r="A507" s="263"/>
      <c r="B507" s="263"/>
      <c r="C507" s="309"/>
      <c r="D507" s="263"/>
      <c r="E507" s="263"/>
      <c r="F507" s="263"/>
      <c r="G507" s="263"/>
      <c r="H507" s="263"/>
      <c r="I507" s="263"/>
      <c r="J507" s="263"/>
      <c r="K507" s="263"/>
      <c r="L507" s="263"/>
      <c r="M507" s="263"/>
      <c r="N507" s="263"/>
      <c r="O507" s="263"/>
      <c r="P507" s="263"/>
      <c r="Q507" s="263"/>
      <c r="R507" s="263"/>
      <c r="S507" s="263"/>
      <c r="T507" s="263"/>
      <c r="U507" s="263"/>
      <c r="V507" s="263"/>
      <c r="W507" s="263"/>
      <c r="X507" s="263"/>
      <c r="Y507" s="263"/>
      <c r="Z507" s="263"/>
      <c r="AA507" s="263"/>
      <c r="AB507" s="263"/>
    </row>
    <row r="508" spans="1:28" ht="16" x14ac:dyDescent="0.2">
      <c r="A508" s="263"/>
      <c r="B508" s="263"/>
      <c r="C508" s="309"/>
      <c r="D508" s="263"/>
      <c r="E508" s="263"/>
      <c r="F508" s="263"/>
      <c r="G508" s="263"/>
      <c r="H508" s="263"/>
      <c r="I508" s="263"/>
      <c r="J508" s="263"/>
      <c r="K508" s="263"/>
      <c r="L508" s="263"/>
      <c r="M508" s="263"/>
      <c r="N508" s="263"/>
      <c r="O508" s="263"/>
      <c r="P508" s="263"/>
      <c r="Q508" s="263"/>
      <c r="R508" s="263"/>
      <c r="S508" s="263"/>
      <c r="T508" s="263"/>
      <c r="U508" s="263"/>
      <c r="V508" s="263"/>
      <c r="W508" s="263"/>
      <c r="X508" s="263"/>
      <c r="Y508" s="263"/>
      <c r="Z508" s="263"/>
      <c r="AA508" s="263"/>
      <c r="AB508" s="263"/>
    </row>
    <row r="509" spans="1:28" ht="16" x14ac:dyDescent="0.2">
      <c r="A509" s="263"/>
      <c r="B509" s="263"/>
      <c r="C509" s="309"/>
      <c r="D509" s="263"/>
      <c r="E509" s="263"/>
      <c r="F509" s="263"/>
      <c r="G509" s="263"/>
      <c r="H509" s="263"/>
      <c r="I509" s="263"/>
      <c r="J509" s="263"/>
      <c r="K509" s="263"/>
      <c r="L509" s="263"/>
      <c r="M509" s="263"/>
      <c r="N509" s="263"/>
      <c r="O509" s="263"/>
      <c r="P509" s="263"/>
      <c r="Q509" s="263"/>
      <c r="R509" s="263"/>
      <c r="S509" s="263"/>
      <c r="T509" s="263"/>
      <c r="U509" s="263"/>
      <c r="V509" s="263"/>
      <c r="W509" s="263"/>
      <c r="X509" s="263"/>
      <c r="Y509" s="263"/>
      <c r="Z509" s="263"/>
      <c r="AA509" s="263"/>
      <c r="AB509" s="263"/>
    </row>
    <row r="510" spans="1:28" ht="16" x14ac:dyDescent="0.2">
      <c r="A510" s="263"/>
      <c r="B510" s="263"/>
      <c r="C510" s="309"/>
      <c r="D510" s="263"/>
      <c r="E510" s="263"/>
      <c r="F510" s="263"/>
      <c r="G510" s="263"/>
      <c r="H510" s="263"/>
      <c r="I510" s="263"/>
      <c r="J510" s="263"/>
      <c r="K510" s="263"/>
      <c r="L510" s="263"/>
      <c r="M510" s="263"/>
      <c r="N510" s="263"/>
      <c r="O510" s="263"/>
      <c r="P510" s="263"/>
      <c r="Q510" s="263"/>
      <c r="R510" s="263"/>
      <c r="S510" s="263"/>
      <c r="T510" s="263"/>
      <c r="U510" s="263"/>
      <c r="V510" s="263"/>
      <c r="W510" s="263"/>
      <c r="X510" s="263"/>
      <c r="Y510" s="263"/>
      <c r="Z510" s="263"/>
      <c r="AA510" s="263"/>
      <c r="AB510" s="263"/>
    </row>
    <row r="511" spans="1:28" ht="16" x14ac:dyDescent="0.2">
      <c r="A511" s="263"/>
      <c r="B511" s="263"/>
      <c r="C511" s="309"/>
      <c r="D511" s="263"/>
      <c r="E511" s="263"/>
      <c r="F511" s="263"/>
      <c r="G511" s="263"/>
      <c r="H511" s="263"/>
      <c r="I511" s="263"/>
      <c r="J511" s="263"/>
      <c r="K511" s="263"/>
      <c r="L511" s="263"/>
      <c r="M511" s="263"/>
      <c r="N511" s="263"/>
      <c r="O511" s="263"/>
      <c r="P511" s="263"/>
      <c r="Q511" s="263"/>
      <c r="R511" s="263"/>
      <c r="S511" s="263"/>
      <c r="T511" s="263"/>
      <c r="U511" s="263"/>
      <c r="V511" s="263"/>
      <c r="W511" s="263"/>
      <c r="X511" s="263"/>
      <c r="Y511" s="263"/>
      <c r="Z511" s="263"/>
      <c r="AA511" s="263"/>
      <c r="AB511" s="263"/>
    </row>
    <row r="512" spans="1:28" ht="16" x14ac:dyDescent="0.2">
      <c r="A512" s="263"/>
      <c r="B512" s="263"/>
      <c r="C512" s="309"/>
      <c r="D512" s="263"/>
      <c r="E512" s="263"/>
      <c r="F512" s="263"/>
      <c r="G512" s="263"/>
      <c r="H512" s="263"/>
      <c r="I512" s="263"/>
      <c r="J512" s="263"/>
      <c r="K512" s="263"/>
      <c r="L512" s="263"/>
      <c r="M512" s="263"/>
      <c r="N512" s="263"/>
      <c r="O512" s="263"/>
      <c r="P512" s="263"/>
      <c r="Q512" s="263"/>
      <c r="R512" s="263"/>
      <c r="S512" s="263"/>
      <c r="T512" s="263"/>
      <c r="U512" s="263"/>
      <c r="V512" s="263"/>
      <c r="W512" s="263"/>
      <c r="X512" s="263"/>
      <c r="Y512" s="263"/>
      <c r="Z512" s="263"/>
      <c r="AA512" s="263"/>
      <c r="AB512" s="263"/>
    </row>
    <row r="513" spans="1:28" ht="16" x14ac:dyDescent="0.2">
      <c r="A513" s="263"/>
      <c r="B513" s="263"/>
      <c r="C513" s="309"/>
      <c r="D513" s="263"/>
      <c r="E513" s="263"/>
      <c r="F513" s="263"/>
      <c r="G513" s="263"/>
      <c r="H513" s="263"/>
      <c r="I513" s="263"/>
      <c r="J513" s="263"/>
      <c r="K513" s="263"/>
      <c r="L513" s="263"/>
      <c r="M513" s="263"/>
      <c r="N513" s="263"/>
      <c r="O513" s="263"/>
      <c r="P513" s="263"/>
      <c r="Q513" s="263"/>
      <c r="R513" s="263"/>
      <c r="S513" s="263"/>
      <c r="T513" s="263"/>
      <c r="U513" s="263"/>
      <c r="V513" s="263"/>
      <c r="W513" s="263"/>
      <c r="X513" s="263"/>
      <c r="Y513" s="263"/>
      <c r="Z513" s="263"/>
      <c r="AA513" s="263"/>
      <c r="AB513" s="263"/>
    </row>
    <row r="514" spans="1:28" ht="16" x14ac:dyDescent="0.2">
      <c r="A514" s="263"/>
      <c r="B514" s="263"/>
      <c r="C514" s="309"/>
      <c r="D514" s="263"/>
      <c r="E514" s="263"/>
      <c r="F514" s="263"/>
      <c r="G514" s="263"/>
      <c r="H514" s="263"/>
      <c r="I514" s="263"/>
      <c r="J514" s="263"/>
      <c r="K514" s="263"/>
      <c r="L514" s="263"/>
      <c r="M514" s="263"/>
      <c r="N514" s="263"/>
      <c r="O514" s="263"/>
      <c r="P514" s="263"/>
      <c r="Q514" s="263"/>
      <c r="R514" s="263"/>
      <c r="S514" s="263"/>
      <c r="T514" s="263"/>
      <c r="U514" s="263"/>
      <c r="V514" s="263"/>
      <c r="W514" s="263"/>
      <c r="X514" s="263"/>
      <c r="Y514" s="263"/>
      <c r="Z514" s="263"/>
      <c r="AA514" s="263"/>
      <c r="AB514" s="263"/>
    </row>
    <row r="515" spans="1:28" ht="16" x14ac:dyDescent="0.2">
      <c r="A515" s="263"/>
      <c r="B515" s="263"/>
      <c r="C515" s="309"/>
      <c r="D515" s="263"/>
      <c r="E515" s="263"/>
      <c r="F515" s="263"/>
      <c r="G515" s="263"/>
      <c r="H515" s="263"/>
      <c r="I515" s="263"/>
      <c r="J515" s="263"/>
      <c r="K515" s="263"/>
      <c r="L515" s="263"/>
      <c r="M515" s="263"/>
      <c r="N515" s="263"/>
      <c r="O515" s="263"/>
      <c r="P515" s="263"/>
      <c r="Q515" s="263"/>
      <c r="R515" s="263"/>
      <c r="S515" s="263"/>
      <c r="T515" s="263"/>
      <c r="U515" s="263"/>
      <c r="V515" s="263"/>
      <c r="W515" s="263"/>
      <c r="X515" s="263"/>
      <c r="Y515" s="263"/>
      <c r="Z515" s="263"/>
      <c r="AA515" s="263"/>
      <c r="AB515" s="263"/>
    </row>
    <row r="516" spans="1:28" ht="16" x14ac:dyDescent="0.2">
      <c r="A516" s="263"/>
      <c r="B516" s="263"/>
      <c r="C516" s="309"/>
      <c r="D516" s="263"/>
      <c r="E516" s="263"/>
      <c r="F516" s="263"/>
      <c r="G516" s="263"/>
      <c r="H516" s="263"/>
      <c r="I516" s="263"/>
      <c r="J516" s="263"/>
      <c r="K516" s="263"/>
      <c r="L516" s="263"/>
      <c r="M516" s="263"/>
      <c r="N516" s="263"/>
      <c r="O516" s="263"/>
      <c r="P516" s="263"/>
      <c r="Q516" s="263"/>
      <c r="R516" s="263"/>
      <c r="S516" s="263"/>
      <c r="T516" s="263"/>
      <c r="U516" s="263"/>
      <c r="V516" s="263"/>
      <c r="W516" s="263"/>
      <c r="X516" s="263"/>
      <c r="Y516" s="263"/>
      <c r="Z516" s="263"/>
      <c r="AA516" s="263"/>
      <c r="AB516" s="263"/>
    </row>
    <row r="517" spans="1:28" ht="16" x14ac:dyDescent="0.2">
      <c r="A517" s="263"/>
      <c r="B517" s="263"/>
      <c r="C517" s="309"/>
      <c r="D517" s="263"/>
      <c r="E517" s="263"/>
      <c r="F517" s="263"/>
      <c r="G517" s="263"/>
      <c r="H517" s="263"/>
      <c r="I517" s="263"/>
      <c r="J517" s="263"/>
      <c r="K517" s="263"/>
      <c r="L517" s="263"/>
      <c r="M517" s="263"/>
      <c r="N517" s="263"/>
      <c r="O517" s="263"/>
      <c r="P517" s="263"/>
      <c r="Q517" s="263"/>
      <c r="R517" s="263"/>
      <c r="S517" s="263"/>
      <c r="T517" s="263"/>
      <c r="U517" s="263"/>
      <c r="V517" s="263"/>
      <c r="W517" s="263"/>
      <c r="X517" s="263"/>
      <c r="Y517" s="263"/>
      <c r="Z517" s="263"/>
      <c r="AA517" s="263"/>
      <c r="AB517" s="263"/>
    </row>
    <row r="518" spans="1:28" ht="16" x14ac:dyDescent="0.2">
      <c r="A518" s="263"/>
      <c r="B518" s="263"/>
      <c r="C518" s="309"/>
      <c r="D518" s="263"/>
      <c r="E518" s="263"/>
      <c r="F518" s="263"/>
      <c r="G518" s="263"/>
      <c r="H518" s="263"/>
      <c r="I518" s="263"/>
      <c r="J518" s="263"/>
      <c r="K518" s="263"/>
      <c r="L518" s="263"/>
      <c r="M518" s="263"/>
      <c r="N518" s="263"/>
      <c r="O518" s="263"/>
      <c r="P518" s="263"/>
      <c r="Q518" s="263"/>
      <c r="R518" s="263"/>
      <c r="S518" s="263"/>
      <c r="T518" s="263"/>
      <c r="U518" s="263"/>
      <c r="V518" s="263"/>
      <c r="W518" s="263"/>
      <c r="X518" s="263"/>
      <c r="Y518" s="263"/>
      <c r="Z518" s="263"/>
      <c r="AA518" s="263"/>
      <c r="AB518" s="263"/>
    </row>
    <row r="519" spans="1:28" ht="16" x14ac:dyDescent="0.2">
      <c r="A519" s="263"/>
      <c r="B519" s="263"/>
      <c r="C519" s="309"/>
      <c r="D519" s="263"/>
      <c r="E519" s="263"/>
      <c r="F519" s="263"/>
      <c r="G519" s="263"/>
      <c r="H519" s="263"/>
      <c r="I519" s="263"/>
      <c r="J519" s="263"/>
      <c r="K519" s="263"/>
      <c r="L519" s="263"/>
      <c r="M519" s="263"/>
      <c r="N519" s="263"/>
      <c r="O519" s="263"/>
      <c r="P519" s="263"/>
      <c r="Q519" s="263"/>
      <c r="R519" s="263"/>
      <c r="S519" s="263"/>
      <c r="T519" s="263"/>
      <c r="U519" s="263"/>
      <c r="V519" s="263"/>
      <c r="W519" s="263"/>
      <c r="X519" s="263"/>
      <c r="Y519" s="263"/>
      <c r="Z519" s="263"/>
      <c r="AA519" s="263"/>
      <c r="AB519" s="263"/>
    </row>
    <row r="520" spans="1:28" ht="16" x14ac:dyDescent="0.2">
      <c r="A520" s="263"/>
      <c r="B520" s="263"/>
      <c r="C520" s="309"/>
      <c r="D520" s="263"/>
      <c r="E520" s="263"/>
      <c r="F520" s="263"/>
      <c r="G520" s="263"/>
      <c r="H520" s="263"/>
      <c r="I520" s="263"/>
      <c r="J520" s="263"/>
      <c r="K520" s="263"/>
      <c r="L520" s="263"/>
      <c r="M520" s="263"/>
      <c r="N520" s="263"/>
      <c r="O520" s="263"/>
      <c r="P520" s="263"/>
      <c r="Q520" s="263"/>
      <c r="R520" s="263"/>
      <c r="S520" s="263"/>
      <c r="T520" s="263"/>
      <c r="U520" s="263"/>
      <c r="V520" s="263"/>
      <c r="W520" s="263"/>
      <c r="X520" s="263"/>
      <c r="Y520" s="263"/>
      <c r="Z520" s="263"/>
      <c r="AA520" s="263"/>
      <c r="AB520" s="263"/>
    </row>
    <row r="521" spans="1:28" ht="16" x14ac:dyDescent="0.2">
      <c r="A521" s="263"/>
      <c r="B521" s="263"/>
      <c r="C521" s="309"/>
      <c r="D521" s="263"/>
      <c r="E521" s="263"/>
      <c r="F521" s="263"/>
      <c r="G521" s="263"/>
      <c r="H521" s="263"/>
      <c r="I521" s="263"/>
      <c r="J521" s="263"/>
      <c r="K521" s="263"/>
      <c r="L521" s="263"/>
      <c r="M521" s="263"/>
      <c r="N521" s="263"/>
      <c r="O521" s="263"/>
      <c r="P521" s="263"/>
      <c r="Q521" s="263"/>
      <c r="R521" s="263"/>
      <c r="S521" s="263"/>
      <c r="T521" s="263"/>
      <c r="U521" s="263"/>
      <c r="V521" s="263"/>
      <c r="W521" s="263"/>
      <c r="X521" s="263"/>
      <c r="Y521" s="263"/>
      <c r="Z521" s="263"/>
      <c r="AA521" s="263"/>
      <c r="AB521" s="263"/>
    </row>
    <row r="522" spans="1:28" ht="16" x14ac:dyDescent="0.2">
      <c r="A522" s="263"/>
      <c r="B522" s="263"/>
      <c r="C522" s="309"/>
      <c r="D522" s="263"/>
      <c r="E522" s="263"/>
      <c r="F522" s="263"/>
      <c r="G522" s="263"/>
      <c r="H522" s="263"/>
      <c r="I522" s="263"/>
      <c r="J522" s="263"/>
      <c r="K522" s="263"/>
      <c r="L522" s="263"/>
      <c r="M522" s="263"/>
      <c r="N522" s="263"/>
      <c r="O522" s="263"/>
      <c r="P522" s="263"/>
      <c r="Q522" s="263"/>
      <c r="R522" s="263"/>
      <c r="S522" s="263"/>
      <c r="T522" s="263"/>
      <c r="U522" s="263"/>
      <c r="V522" s="263"/>
      <c r="W522" s="263"/>
      <c r="X522" s="263"/>
      <c r="Y522" s="263"/>
      <c r="Z522" s="263"/>
      <c r="AA522" s="263"/>
      <c r="AB522" s="263"/>
    </row>
    <row r="523" spans="1:28" ht="16" x14ac:dyDescent="0.2">
      <c r="A523" s="263"/>
      <c r="B523" s="263"/>
      <c r="C523" s="309"/>
      <c r="D523" s="263"/>
      <c r="E523" s="263"/>
      <c r="F523" s="263"/>
      <c r="G523" s="263"/>
      <c r="H523" s="263"/>
      <c r="I523" s="263"/>
      <c r="J523" s="263"/>
      <c r="K523" s="263"/>
      <c r="L523" s="263"/>
      <c r="M523" s="263"/>
      <c r="N523" s="263"/>
      <c r="O523" s="263"/>
      <c r="P523" s="263"/>
      <c r="Q523" s="263"/>
      <c r="R523" s="263"/>
      <c r="S523" s="263"/>
      <c r="T523" s="263"/>
      <c r="U523" s="263"/>
      <c r="V523" s="263"/>
      <c r="W523" s="263"/>
      <c r="X523" s="263"/>
      <c r="Y523" s="263"/>
      <c r="Z523" s="263"/>
      <c r="AA523" s="263"/>
      <c r="AB523" s="263"/>
    </row>
    <row r="524" spans="1:28" ht="16" x14ac:dyDescent="0.2">
      <c r="A524" s="263"/>
      <c r="B524" s="263"/>
      <c r="C524" s="309"/>
      <c r="D524" s="263"/>
      <c r="E524" s="263"/>
      <c r="F524" s="263"/>
      <c r="G524" s="263"/>
      <c r="H524" s="263"/>
      <c r="I524" s="263"/>
      <c r="J524" s="263"/>
      <c r="K524" s="263"/>
      <c r="L524" s="263"/>
      <c r="M524" s="263"/>
      <c r="N524" s="263"/>
      <c r="O524" s="263"/>
      <c r="P524" s="263"/>
      <c r="Q524" s="263"/>
      <c r="R524" s="263"/>
      <c r="S524" s="263"/>
      <c r="T524" s="263"/>
      <c r="U524" s="263"/>
      <c r="V524" s="263"/>
      <c r="W524" s="263"/>
      <c r="X524" s="263"/>
      <c r="Y524" s="263"/>
      <c r="Z524" s="263"/>
      <c r="AA524" s="263"/>
      <c r="AB524" s="263"/>
    </row>
    <row r="525" spans="1:28" ht="16" x14ac:dyDescent="0.2">
      <c r="A525" s="263"/>
      <c r="B525" s="263"/>
      <c r="C525" s="309"/>
      <c r="D525" s="263"/>
      <c r="E525" s="263"/>
      <c r="F525" s="263"/>
      <c r="G525" s="263"/>
      <c r="H525" s="263"/>
      <c r="I525" s="263"/>
      <c r="J525" s="263"/>
      <c r="K525" s="263"/>
      <c r="L525" s="263"/>
      <c r="M525" s="263"/>
      <c r="N525" s="263"/>
      <c r="O525" s="263"/>
      <c r="P525" s="263"/>
      <c r="Q525" s="263"/>
      <c r="R525" s="263"/>
      <c r="S525" s="263"/>
      <c r="T525" s="263"/>
      <c r="U525" s="263"/>
      <c r="V525" s="263"/>
      <c r="W525" s="263"/>
      <c r="X525" s="263"/>
      <c r="Y525" s="263"/>
      <c r="Z525" s="263"/>
      <c r="AA525" s="263"/>
      <c r="AB525" s="263"/>
    </row>
    <row r="526" spans="1:28" ht="16" x14ac:dyDescent="0.2">
      <c r="A526" s="263"/>
      <c r="B526" s="263"/>
      <c r="C526" s="309"/>
      <c r="D526" s="263"/>
      <c r="E526" s="263"/>
      <c r="F526" s="263"/>
      <c r="G526" s="263"/>
      <c r="H526" s="263"/>
      <c r="I526" s="263"/>
      <c r="J526" s="263"/>
      <c r="K526" s="263"/>
      <c r="L526" s="263"/>
      <c r="M526" s="263"/>
      <c r="N526" s="263"/>
      <c r="O526" s="263"/>
      <c r="P526" s="263"/>
      <c r="Q526" s="263"/>
      <c r="R526" s="263"/>
      <c r="S526" s="263"/>
      <c r="T526" s="263"/>
      <c r="U526" s="263"/>
      <c r="V526" s="263"/>
      <c r="W526" s="263"/>
      <c r="X526" s="263"/>
      <c r="Y526" s="263"/>
      <c r="Z526" s="263"/>
      <c r="AA526" s="263"/>
      <c r="AB526" s="263"/>
    </row>
    <row r="527" spans="1:28" ht="16" x14ac:dyDescent="0.2">
      <c r="A527" s="263"/>
      <c r="B527" s="263"/>
      <c r="C527" s="309"/>
      <c r="D527" s="263"/>
      <c r="E527" s="263"/>
      <c r="F527" s="263"/>
      <c r="G527" s="263"/>
      <c r="H527" s="263"/>
      <c r="I527" s="263"/>
      <c r="J527" s="263"/>
      <c r="K527" s="263"/>
      <c r="L527" s="263"/>
      <c r="M527" s="263"/>
      <c r="N527" s="263"/>
      <c r="O527" s="263"/>
      <c r="P527" s="263"/>
      <c r="Q527" s="263"/>
      <c r="R527" s="263"/>
      <c r="S527" s="263"/>
      <c r="T527" s="263"/>
      <c r="U527" s="263"/>
      <c r="V527" s="263"/>
      <c r="W527" s="263"/>
      <c r="X527" s="263"/>
      <c r="Y527" s="263"/>
      <c r="Z527" s="263"/>
      <c r="AA527" s="263"/>
      <c r="AB527" s="263"/>
    </row>
    <row r="528" spans="1:28" ht="16" x14ac:dyDescent="0.2">
      <c r="A528" s="263"/>
      <c r="B528" s="263"/>
      <c r="C528" s="309"/>
      <c r="D528" s="263"/>
      <c r="E528" s="263"/>
      <c r="F528" s="263"/>
      <c r="G528" s="263"/>
      <c r="H528" s="263"/>
      <c r="I528" s="263"/>
      <c r="J528" s="263"/>
      <c r="K528" s="263"/>
      <c r="L528" s="263"/>
      <c r="M528" s="263"/>
      <c r="N528" s="263"/>
      <c r="O528" s="263"/>
      <c r="P528" s="263"/>
      <c r="Q528" s="263"/>
      <c r="R528" s="263"/>
      <c r="S528" s="263"/>
      <c r="T528" s="263"/>
      <c r="U528" s="263"/>
      <c r="V528" s="263"/>
      <c r="W528" s="263"/>
      <c r="X528" s="263"/>
      <c r="Y528" s="263"/>
      <c r="Z528" s="263"/>
      <c r="AA528" s="263"/>
      <c r="AB528" s="263"/>
    </row>
    <row r="529" spans="1:28" ht="16" x14ac:dyDescent="0.2">
      <c r="A529" s="263"/>
      <c r="B529" s="263"/>
      <c r="C529" s="309"/>
      <c r="D529" s="263"/>
      <c r="E529" s="263"/>
      <c r="F529" s="263"/>
      <c r="G529" s="263"/>
      <c r="H529" s="263"/>
      <c r="I529" s="263"/>
      <c r="J529" s="263"/>
      <c r="K529" s="263"/>
      <c r="L529" s="263"/>
      <c r="M529" s="263"/>
      <c r="N529" s="263"/>
      <c r="O529" s="263"/>
      <c r="P529" s="263"/>
      <c r="Q529" s="263"/>
      <c r="R529" s="263"/>
      <c r="S529" s="263"/>
      <c r="T529" s="263"/>
      <c r="U529" s="263"/>
      <c r="V529" s="263"/>
      <c r="W529" s="263"/>
      <c r="X529" s="263"/>
      <c r="Y529" s="263"/>
      <c r="Z529" s="263"/>
      <c r="AA529" s="263"/>
      <c r="AB529" s="263"/>
    </row>
    <row r="530" spans="1:28" ht="16" x14ac:dyDescent="0.2">
      <c r="A530" s="263"/>
      <c r="B530" s="263"/>
      <c r="C530" s="309"/>
      <c r="D530" s="263"/>
      <c r="E530" s="263"/>
      <c r="F530" s="263"/>
      <c r="G530" s="263"/>
      <c r="H530" s="263"/>
      <c r="I530" s="263"/>
      <c r="J530" s="263"/>
      <c r="K530" s="263"/>
      <c r="L530" s="263"/>
      <c r="M530" s="263"/>
      <c r="N530" s="263"/>
      <c r="O530" s="263"/>
      <c r="P530" s="263"/>
      <c r="Q530" s="263"/>
      <c r="R530" s="263"/>
      <c r="S530" s="263"/>
      <c r="T530" s="263"/>
      <c r="U530" s="263"/>
      <c r="V530" s="263"/>
      <c r="W530" s="263"/>
      <c r="X530" s="263"/>
      <c r="Y530" s="263"/>
      <c r="Z530" s="263"/>
      <c r="AA530" s="263"/>
      <c r="AB530" s="263"/>
    </row>
    <row r="531" spans="1:28" ht="16" x14ac:dyDescent="0.2">
      <c r="A531" s="263"/>
      <c r="B531" s="263"/>
      <c r="C531" s="309"/>
      <c r="D531" s="263"/>
      <c r="E531" s="263"/>
      <c r="F531" s="263"/>
      <c r="G531" s="263"/>
      <c r="H531" s="263"/>
      <c r="I531" s="263"/>
      <c r="J531" s="263"/>
      <c r="K531" s="263"/>
      <c r="L531" s="263"/>
      <c r="M531" s="263"/>
      <c r="N531" s="263"/>
      <c r="O531" s="263"/>
      <c r="P531" s="263"/>
      <c r="Q531" s="263"/>
      <c r="R531" s="263"/>
      <c r="S531" s="263"/>
      <c r="T531" s="263"/>
      <c r="U531" s="263"/>
      <c r="V531" s="263"/>
      <c r="W531" s="263"/>
      <c r="X531" s="263"/>
      <c r="Y531" s="263"/>
      <c r="Z531" s="263"/>
      <c r="AA531" s="263"/>
      <c r="AB531" s="263"/>
    </row>
    <row r="532" spans="1:28" ht="16" x14ac:dyDescent="0.2">
      <c r="A532" s="263"/>
      <c r="B532" s="263"/>
      <c r="C532" s="309"/>
      <c r="D532" s="263"/>
      <c r="E532" s="263"/>
      <c r="F532" s="263"/>
      <c r="G532" s="263"/>
      <c r="H532" s="263"/>
      <c r="I532" s="263"/>
      <c r="J532" s="263"/>
      <c r="K532" s="263"/>
      <c r="L532" s="263"/>
      <c r="M532" s="263"/>
      <c r="N532" s="263"/>
      <c r="O532" s="263"/>
      <c r="P532" s="263"/>
      <c r="Q532" s="263"/>
      <c r="R532" s="263"/>
      <c r="S532" s="263"/>
      <c r="T532" s="263"/>
      <c r="U532" s="263"/>
      <c r="V532" s="263"/>
      <c r="W532" s="263"/>
      <c r="X532" s="263"/>
      <c r="Y532" s="263"/>
      <c r="Z532" s="263"/>
      <c r="AA532" s="263"/>
      <c r="AB532" s="263"/>
    </row>
    <row r="533" spans="1:28" ht="16" x14ac:dyDescent="0.2">
      <c r="A533" s="263"/>
      <c r="B533" s="263"/>
      <c r="C533" s="309"/>
      <c r="D533" s="263"/>
      <c r="E533" s="263"/>
      <c r="F533" s="263"/>
      <c r="G533" s="263"/>
      <c r="H533" s="263"/>
      <c r="I533" s="263"/>
      <c r="J533" s="263"/>
      <c r="K533" s="263"/>
      <c r="L533" s="263"/>
      <c r="M533" s="263"/>
      <c r="N533" s="263"/>
      <c r="O533" s="263"/>
      <c r="P533" s="263"/>
      <c r="Q533" s="263"/>
      <c r="R533" s="263"/>
      <c r="S533" s="263"/>
      <c r="T533" s="263"/>
      <c r="U533" s="263"/>
      <c r="V533" s="263"/>
      <c r="W533" s="263"/>
      <c r="X533" s="263"/>
      <c r="Y533" s="263"/>
      <c r="Z533" s="263"/>
      <c r="AA533" s="263"/>
      <c r="AB533" s="263"/>
    </row>
    <row r="534" spans="1:28" ht="16" x14ac:dyDescent="0.2">
      <c r="A534" s="263"/>
      <c r="B534" s="263"/>
      <c r="C534" s="309"/>
      <c r="D534" s="263"/>
      <c r="E534" s="263"/>
      <c r="F534" s="263"/>
      <c r="G534" s="263"/>
      <c r="H534" s="263"/>
      <c r="I534" s="263"/>
      <c r="J534" s="263"/>
      <c r="K534" s="263"/>
      <c r="L534" s="263"/>
      <c r="M534" s="263"/>
      <c r="N534" s="263"/>
      <c r="O534" s="263"/>
      <c r="P534" s="263"/>
      <c r="Q534" s="263"/>
      <c r="R534" s="263"/>
      <c r="S534" s="263"/>
      <c r="T534" s="263"/>
      <c r="U534" s="263"/>
      <c r="V534" s="263"/>
      <c r="W534" s="263"/>
      <c r="X534" s="263"/>
      <c r="Y534" s="263"/>
      <c r="Z534" s="263"/>
      <c r="AA534" s="263"/>
      <c r="AB534" s="263"/>
    </row>
    <row r="535" spans="1:28" ht="16" x14ac:dyDescent="0.2">
      <c r="A535" s="263"/>
      <c r="B535" s="263"/>
      <c r="C535" s="309"/>
      <c r="D535" s="263"/>
      <c r="E535" s="263"/>
      <c r="F535" s="263"/>
      <c r="G535" s="263"/>
      <c r="H535" s="263"/>
      <c r="I535" s="263"/>
      <c r="J535" s="263"/>
      <c r="K535" s="263"/>
      <c r="L535" s="263"/>
      <c r="M535" s="263"/>
      <c r="N535" s="263"/>
      <c r="O535" s="263"/>
      <c r="P535" s="263"/>
      <c r="Q535" s="263"/>
      <c r="R535" s="263"/>
      <c r="S535" s="263"/>
      <c r="T535" s="263"/>
      <c r="U535" s="263"/>
      <c r="V535" s="263"/>
      <c r="W535" s="263"/>
      <c r="X535" s="263"/>
      <c r="Y535" s="263"/>
      <c r="Z535" s="263"/>
      <c r="AA535" s="263"/>
      <c r="AB535" s="263"/>
    </row>
    <row r="536" spans="1:28" ht="16" x14ac:dyDescent="0.2">
      <c r="A536" s="263"/>
      <c r="B536" s="263"/>
      <c r="C536" s="309"/>
      <c r="D536" s="263"/>
      <c r="E536" s="263"/>
      <c r="F536" s="263"/>
      <c r="G536" s="263"/>
      <c r="H536" s="263"/>
      <c r="I536" s="263"/>
      <c r="J536" s="263"/>
      <c r="K536" s="263"/>
      <c r="L536" s="263"/>
      <c r="M536" s="263"/>
      <c r="N536" s="263"/>
      <c r="O536" s="263"/>
      <c r="P536" s="263"/>
      <c r="Q536" s="263"/>
      <c r="R536" s="263"/>
      <c r="S536" s="263"/>
      <c r="T536" s="263"/>
      <c r="U536" s="263"/>
      <c r="V536" s="263"/>
      <c r="W536" s="263"/>
      <c r="X536" s="263"/>
      <c r="Y536" s="263"/>
      <c r="Z536" s="263"/>
      <c r="AA536" s="263"/>
      <c r="AB536" s="263"/>
    </row>
    <row r="537" spans="1:28" ht="16" x14ac:dyDescent="0.2">
      <c r="A537" s="263"/>
      <c r="B537" s="263"/>
      <c r="C537" s="309"/>
      <c r="D537" s="263"/>
      <c r="E537" s="263"/>
      <c r="F537" s="263"/>
      <c r="G537" s="263"/>
      <c r="H537" s="263"/>
      <c r="I537" s="263"/>
      <c r="J537" s="263"/>
      <c r="K537" s="263"/>
      <c r="L537" s="263"/>
      <c r="M537" s="263"/>
      <c r="N537" s="263"/>
      <c r="O537" s="263"/>
      <c r="P537" s="263"/>
      <c r="Q537" s="263"/>
      <c r="R537" s="263"/>
      <c r="S537" s="263"/>
      <c r="T537" s="263"/>
      <c r="U537" s="263"/>
      <c r="V537" s="263"/>
      <c r="W537" s="263"/>
      <c r="X537" s="263"/>
      <c r="Y537" s="263"/>
      <c r="Z537" s="263"/>
      <c r="AA537" s="263"/>
      <c r="AB537" s="263"/>
    </row>
    <row r="538" spans="1:28" ht="16" x14ac:dyDescent="0.2">
      <c r="A538" s="263"/>
      <c r="B538" s="263"/>
      <c r="C538" s="309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</row>
    <row r="539" spans="1:28" ht="16" x14ac:dyDescent="0.2">
      <c r="A539" s="263"/>
      <c r="B539" s="263"/>
      <c r="C539" s="309"/>
      <c r="D539" s="263"/>
      <c r="E539" s="263"/>
      <c r="F539" s="263"/>
      <c r="G539" s="263"/>
      <c r="H539" s="263"/>
      <c r="I539" s="263"/>
      <c r="J539" s="263"/>
      <c r="K539" s="263"/>
      <c r="L539" s="263"/>
      <c r="M539" s="263"/>
      <c r="N539" s="263"/>
      <c r="O539" s="263"/>
      <c r="P539" s="263"/>
      <c r="Q539" s="263"/>
      <c r="R539" s="263"/>
      <c r="S539" s="263"/>
      <c r="T539" s="263"/>
      <c r="U539" s="263"/>
      <c r="V539" s="263"/>
      <c r="W539" s="263"/>
      <c r="X539" s="263"/>
      <c r="Y539" s="263"/>
      <c r="Z539" s="263"/>
      <c r="AA539" s="263"/>
      <c r="AB539" s="263"/>
    </row>
    <row r="540" spans="1:28" ht="16" x14ac:dyDescent="0.2">
      <c r="A540" s="263"/>
      <c r="B540" s="263"/>
      <c r="C540" s="309"/>
      <c r="D540" s="263"/>
      <c r="E540" s="263"/>
      <c r="F540" s="263"/>
      <c r="G540" s="263"/>
      <c r="H540" s="263"/>
      <c r="I540" s="263"/>
      <c r="J540" s="263"/>
      <c r="K540" s="263"/>
      <c r="L540" s="263"/>
      <c r="M540" s="263"/>
      <c r="N540" s="263"/>
      <c r="O540" s="263"/>
      <c r="P540" s="263"/>
      <c r="Q540" s="263"/>
      <c r="R540" s="263"/>
      <c r="S540" s="263"/>
      <c r="T540" s="263"/>
      <c r="U540" s="263"/>
      <c r="V540" s="263"/>
      <c r="W540" s="263"/>
      <c r="X540" s="263"/>
      <c r="Y540" s="263"/>
      <c r="Z540" s="263"/>
      <c r="AA540" s="263"/>
      <c r="AB540" s="263"/>
    </row>
    <row r="541" spans="1:28" ht="16" x14ac:dyDescent="0.2">
      <c r="A541" s="263"/>
      <c r="B541" s="263"/>
      <c r="C541" s="309"/>
      <c r="D541" s="263"/>
      <c r="E541" s="263"/>
      <c r="F541" s="263"/>
      <c r="G541" s="263"/>
      <c r="H541" s="263"/>
      <c r="I541" s="263"/>
      <c r="J541" s="263"/>
      <c r="K541" s="263"/>
      <c r="L541" s="263"/>
      <c r="M541" s="263"/>
      <c r="N541" s="263"/>
      <c r="O541" s="263"/>
      <c r="P541" s="263"/>
      <c r="Q541" s="263"/>
      <c r="R541" s="263"/>
      <c r="S541" s="263"/>
      <c r="T541" s="263"/>
      <c r="U541" s="263"/>
      <c r="V541" s="263"/>
      <c r="W541" s="263"/>
      <c r="X541" s="263"/>
      <c r="Y541" s="263"/>
      <c r="Z541" s="263"/>
      <c r="AA541" s="263"/>
      <c r="AB541" s="263"/>
    </row>
    <row r="542" spans="1:28" ht="16" x14ac:dyDescent="0.2">
      <c r="A542" s="263"/>
      <c r="B542" s="263"/>
      <c r="C542" s="309"/>
      <c r="D542" s="263"/>
      <c r="E542" s="263"/>
      <c r="F542" s="263"/>
      <c r="G542" s="263"/>
      <c r="H542" s="263"/>
      <c r="I542" s="263"/>
      <c r="J542" s="263"/>
      <c r="K542" s="263"/>
      <c r="L542" s="263"/>
      <c r="M542" s="263"/>
      <c r="N542" s="263"/>
      <c r="O542" s="263"/>
      <c r="P542" s="263"/>
      <c r="Q542" s="263"/>
      <c r="R542" s="263"/>
      <c r="S542" s="263"/>
      <c r="T542" s="263"/>
      <c r="U542" s="263"/>
      <c r="V542" s="263"/>
      <c r="W542" s="263"/>
      <c r="X542" s="263"/>
      <c r="Y542" s="263"/>
      <c r="Z542" s="263"/>
      <c r="AA542" s="263"/>
      <c r="AB542" s="263"/>
    </row>
    <row r="543" spans="1:28" ht="16" x14ac:dyDescent="0.2">
      <c r="A543" s="263"/>
      <c r="B543" s="263"/>
      <c r="C543" s="309"/>
      <c r="D543" s="263"/>
      <c r="E543" s="263"/>
      <c r="F543" s="263"/>
      <c r="G543" s="263"/>
      <c r="H543" s="263"/>
      <c r="I543" s="263"/>
      <c r="J543" s="263"/>
      <c r="K543" s="263"/>
      <c r="L543" s="263"/>
      <c r="M543" s="263"/>
      <c r="N543" s="263"/>
      <c r="O543" s="263"/>
      <c r="P543" s="263"/>
      <c r="Q543" s="263"/>
      <c r="R543" s="263"/>
      <c r="S543" s="263"/>
      <c r="T543" s="263"/>
      <c r="U543" s="263"/>
      <c r="V543" s="263"/>
      <c r="W543" s="263"/>
      <c r="X543" s="263"/>
      <c r="Y543" s="263"/>
      <c r="Z543" s="263"/>
      <c r="AA543" s="263"/>
      <c r="AB543" s="263"/>
    </row>
    <row r="544" spans="1:28" ht="16" x14ac:dyDescent="0.2">
      <c r="A544" s="263"/>
      <c r="B544" s="263"/>
      <c r="C544" s="309"/>
      <c r="D544" s="263"/>
      <c r="E544" s="263"/>
      <c r="F544" s="263"/>
      <c r="G544" s="263"/>
      <c r="H544" s="263"/>
      <c r="I544" s="263"/>
      <c r="J544" s="263"/>
      <c r="K544" s="263"/>
      <c r="L544" s="263"/>
      <c r="M544" s="263"/>
      <c r="N544" s="263"/>
      <c r="O544" s="263"/>
      <c r="P544" s="263"/>
      <c r="Q544" s="263"/>
      <c r="R544" s="263"/>
      <c r="S544" s="263"/>
      <c r="T544" s="263"/>
      <c r="U544" s="263"/>
      <c r="V544" s="263"/>
      <c r="W544" s="263"/>
      <c r="X544" s="263"/>
      <c r="Y544" s="263"/>
      <c r="Z544" s="263"/>
      <c r="AA544" s="263"/>
      <c r="AB544" s="263"/>
    </row>
    <row r="545" spans="1:28" ht="16" x14ac:dyDescent="0.2">
      <c r="A545" s="263"/>
      <c r="B545" s="263"/>
      <c r="C545" s="309"/>
      <c r="D545" s="263"/>
      <c r="E545" s="263"/>
      <c r="F545" s="263"/>
      <c r="G545" s="263"/>
      <c r="H545" s="263"/>
      <c r="I545" s="263"/>
      <c r="J545" s="263"/>
      <c r="K545" s="263"/>
      <c r="L545" s="263"/>
      <c r="M545" s="263"/>
      <c r="N545" s="263"/>
      <c r="O545" s="263"/>
      <c r="P545" s="263"/>
      <c r="Q545" s="263"/>
      <c r="R545" s="263"/>
      <c r="S545" s="263"/>
      <c r="T545" s="263"/>
      <c r="U545" s="263"/>
      <c r="V545" s="263"/>
      <c r="W545" s="263"/>
      <c r="X545" s="263"/>
      <c r="Y545" s="263"/>
      <c r="Z545" s="263"/>
      <c r="AA545" s="263"/>
      <c r="AB545" s="263"/>
    </row>
    <row r="546" spans="1:28" ht="16" x14ac:dyDescent="0.2">
      <c r="A546" s="263"/>
      <c r="B546" s="263"/>
      <c r="C546" s="309"/>
      <c r="D546" s="263"/>
      <c r="E546" s="263"/>
      <c r="F546" s="263"/>
      <c r="G546" s="263"/>
      <c r="H546" s="263"/>
      <c r="I546" s="263"/>
      <c r="J546" s="263"/>
      <c r="K546" s="263"/>
      <c r="L546" s="263"/>
      <c r="M546" s="263"/>
      <c r="N546" s="263"/>
      <c r="O546" s="263"/>
      <c r="P546" s="263"/>
      <c r="Q546" s="263"/>
      <c r="R546" s="263"/>
      <c r="S546" s="263"/>
      <c r="T546" s="263"/>
      <c r="U546" s="263"/>
      <c r="V546" s="263"/>
      <c r="W546" s="263"/>
      <c r="X546" s="263"/>
      <c r="Y546" s="263"/>
      <c r="Z546" s="263"/>
      <c r="AA546" s="263"/>
      <c r="AB546" s="263"/>
    </row>
    <row r="547" spans="1:28" ht="16" x14ac:dyDescent="0.2">
      <c r="A547" s="263"/>
      <c r="B547" s="263"/>
      <c r="C547" s="309"/>
      <c r="D547" s="263"/>
      <c r="E547" s="263"/>
      <c r="F547" s="263"/>
      <c r="G547" s="263"/>
      <c r="H547" s="263"/>
      <c r="I547" s="263"/>
      <c r="J547" s="263"/>
      <c r="K547" s="263"/>
      <c r="L547" s="263"/>
      <c r="M547" s="263"/>
      <c r="N547" s="263"/>
      <c r="O547" s="263"/>
      <c r="P547" s="263"/>
      <c r="Q547" s="263"/>
      <c r="R547" s="263"/>
      <c r="S547" s="263"/>
      <c r="T547" s="263"/>
      <c r="U547" s="263"/>
      <c r="V547" s="263"/>
      <c r="W547" s="263"/>
      <c r="X547" s="263"/>
      <c r="Y547" s="263"/>
      <c r="Z547" s="263"/>
      <c r="AA547" s="263"/>
      <c r="AB547" s="263"/>
    </row>
    <row r="548" spans="1:28" ht="16" x14ac:dyDescent="0.2">
      <c r="A548" s="263"/>
      <c r="B548" s="263"/>
      <c r="C548" s="309"/>
      <c r="D548" s="263"/>
      <c r="E548" s="263"/>
      <c r="F548" s="263"/>
      <c r="G548" s="263"/>
      <c r="H548" s="263"/>
      <c r="I548" s="263"/>
      <c r="J548" s="263"/>
      <c r="K548" s="263"/>
      <c r="L548" s="263"/>
      <c r="M548" s="263"/>
      <c r="N548" s="263"/>
      <c r="O548" s="263"/>
      <c r="P548" s="263"/>
      <c r="Q548" s="263"/>
      <c r="R548" s="263"/>
      <c r="S548" s="263"/>
      <c r="T548" s="263"/>
      <c r="U548" s="263"/>
      <c r="V548" s="263"/>
      <c r="W548" s="263"/>
      <c r="X548" s="263"/>
      <c r="Y548" s="263"/>
      <c r="Z548" s="263"/>
      <c r="AA548" s="263"/>
      <c r="AB548" s="263"/>
    </row>
    <row r="549" spans="1:28" ht="16" x14ac:dyDescent="0.2">
      <c r="A549" s="263"/>
      <c r="B549" s="263"/>
      <c r="C549" s="309"/>
      <c r="D549" s="263"/>
      <c r="E549" s="263"/>
      <c r="F549" s="263"/>
      <c r="G549" s="263"/>
      <c r="H549" s="263"/>
      <c r="I549" s="263"/>
      <c r="J549" s="263"/>
      <c r="K549" s="263"/>
      <c r="L549" s="263"/>
      <c r="M549" s="263"/>
      <c r="N549" s="263"/>
      <c r="O549" s="263"/>
      <c r="P549" s="263"/>
      <c r="Q549" s="263"/>
      <c r="R549" s="263"/>
      <c r="S549" s="263"/>
      <c r="T549" s="263"/>
      <c r="U549" s="263"/>
      <c r="V549" s="263"/>
      <c r="W549" s="263"/>
      <c r="X549" s="263"/>
      <c r="Y549" s="263"/>
      <c r="Z549" s="263"/>
      <c r="AA549" s="263"/>
      <c r="AB549" s="263"/>
    </row>
    <row r="550" spans="1:28" ht="16" x14ac:dyDescent="0.2">
      <c r="A550" s="263"/>
      <c r="B550" s="263"/>
      <c r="C550" s="309"/>
      <c r="D550" s="263"/>
      <c r="E550" s="263"/>
      <c r="F550" s="263"/>
      <c r="G550" s="263"/>
      <c r="H550" s="263"/>
      <c r="I550" s="263"/>
      <c r="J550" s="263"/>
      <c r="K550" s="263"/>
      <c r="L550" s="263"/>
      <c r="M550" s="263"/>
      <c r="N550" s="263"/>
      <c r="O550" s="263"/>
      <c r="P550" s="263"/>
      <c r="Q550" s="263"/>
      <c r="R550" s="263"/>
      <c r="S550" s="263"/>
      <c r="T550" s="263"/>
      <c r="U550" s="263"/>
      <c r="V550" s="263"/>
      <c r="W550" s="263"/>
      <c r="X550" s="263"/>
      <c r="Y550" s="263"/>
      <c r="Z550" s="263"/>
      <c r="AA550" s="263"/>
      <c r="AB550" s="263"/>
    </row>
    <row r="551" spans="1:28" ht="16" x14ac:dyDescent="0.2">
      <c r="A551" s="263"/>
      <c r="B551" s="263"/>
      <c r="C551" s="309"/>
      <c r="D551" s="263"/>
      <c r="E551" s="263"/>
      <c r="F551" s="263"/>
      <c r="G551" s="263"/>
      <c r="H551" s="263"/>
      <c r="I551" s="263"/>
      <c r="J551" s="263"/>
      <c r="K551" s="263"/>
      <c r="L551" s="263"/>
      <c r="M551" s="263"/>
      <c r="N551" s="263"/>
      <c r="O551" s="263"/>
      <c r="P551" s="263"/>
      <c r="Q551" s="263"/>
      <c r="R551" s="263"/>
      <c r="S551" s="263"/>
      <c r="T551" s="263"/>
      <c r="U551" s="263"/>
      <c r="V551" s="263"/>
      <c r="W551" s="263"/>
      <c r="X551" s="263"/>
      <c r="Y551" s="263"/>
      <c r="Z551" s="263"/>
      <c r="AA551" s="263"/>
      <c r="AB551" s="263"/>
    </row>
    <row r="552" spans="1:28" ht="16" x14ac:dyDescent="0.2">
      <c r="A552" s="263"/>
      <c r="B552" s="263"/>
      <c r="C552" s="309"/>
      <c r="D552" s="263"/>
      <c r="E552" s="263"/>
      <c r="F552" s="263"/>
      <c r="G552" s="263"/>
      <c r="H552" s="263"/>
      <c r="I552" s="263"/>
      <c r="J552" s="263"/>
      <c r="K552" s="263"/>
      <c r="L552" s="263"/>
      <c r="M552" s="263"/>
      <c r="N552" s="263"/>
      <c r="O552" s="263"/>
      <c r="P552" s="263"/>
      <c r="Q552" s="263"/>
      <c r="R552" s="263"/>
      <c r="S552" s="263"/>
      <c r="T552" s="263"/>
      <c r="U552" s="263"/>
      <c r="V552" s="263"/>
      <c r="W552" s="263"/>
      <c r="X552" s="263"/>
      <c r="Y552" s="263"/>
      <c r="Z552" s="263"/>
      <c r="AA552" s="263"/>
      <c r="AB552" s="263"/>
    </row>
    <row r="553" spans="1:28" ht="16" x14ac:dyDescent="0.2">
      <c r="A553" s="263"/>
      <c r="B553" s="263"/>
      <c r="C553" s="309"/>
      <c r="D553" s="263"/>
      <c r="E553" s="263"/>
      <c r="F553" s="263"/>
      <c r="G553" s="263"/>
      <c r="H553" s="263"/>
      <c r="I553" s="263"/>
      <c r="J553" s="263"/>
      <c r="K553" s="263"/>
      <c r="L553" s="263"/>
      <c r="M553" s="263"/>
      <c r="N553" s="263"/>
      <c r="O553" s="263"/>
      <c r="P553" s="263"/>
      <c r="Q553" s="263"/>
      <c r="R553" s="263"/>
      <c r="S553" s="263"/>
      <c r="T553" s="263"/>
      <c r="U553" s="263"/>
      <c r="V553" s="263"/>
      <c r="W553" s="263"/>
      <c r="X553" s="263"/>
      <c r="Y553" s="263"/>
      <c r="Z553" s="263"/>
      <c r="AA553" s="263"/>
      <c r="AB553" s="263"/>
    </row>
    <row r="554" spans="1:28" ht="16" x14ac:dyDescent="0.2">
      <c r="A554" s="263"/>
      <c r="B554" s="263"/>
      <c r="C554" s="309"/>
      <c r="D554" s="263"/>
      <c r="E554" s="263"/>
      <c r="F554" s="263"/>
      <c r="G554" s="263"/>
      <c r="H554" s="263"/>
      <c r="I554" s="263"/>
      <c r="J554" s="263"/>
      <c r="K554" s="263"/>
      <c r="L554" s="263"/>
      <c r="M554" s="263"/>
      <c r="N554" s="263"/>
      <c r="O554" s="263"/>
      <c r="P554" s="263"/>
      <c r="Q554" s="263"/>
      <c r="R554" s="263"/>
      <c r="S554" s="263"/>
      <c r="T554" s="263"/>
      <c r="U554" s="263"/>
      <c r="V554" s="263"/>
      <c r="W554" s="263"/>
      <c r="X554" s="263"/>
      <c r="Y554" s="263"/>
      <c r="Z554" s="263"/>
      <c r="AA554" s="263"/>
      <c r="AB554" s="263"/>
    </row>
    <row r="555" spans="1:28" ht="16" x14ac:dyDescent="0.2">
      <c r="A555" s="263"/>
      <c r="B555" s="263"/>
      <c r="C555" s="309"/>
      <c r="D555" s="263"/>
      <c r="E555" s="263"/>
      <c r="F555" s="263"/>
      <c r="G555" s="263"/>
      <c r="H555" s="263"/>
      <c r="I555" s="263"/>
      <c r="J555" s="263"/>
      <c r="K555" s="263"/>
      <c r="L555" s="263"/>
      <c r="M555" s="263"/>
      <c r="N555" s="263"/>
      <c r="O555" s="263"/>
      <c r="P555" s="263"/>
      <c r="Q555" s="263"/>
      <c r="R555" s="263"/>
      <c r="S555" s="263"/>
      <c r="T555" s="263"/>
      <c r="U555" s="263"/>
      <c r="V555" s="263"/>
      <c r="W555" s="263"/>
      <c r="X555" s="263"/>
      <c r="Y555" s="263"/>
      <c r="Z555" s="263"/>
      <c r="AA555" s="263"/>
      <c r="AB555" s="263"/>
    </row>
    <row r="556" spans="1:28" ht="16" x14ac:dyDescent="0.2">
      <c r="A556" s="263"/>
      <c r="B556" s="263"/>
      <c r="C556" s="309"/>
      <c r="D556" s="263"/>
      <c r="E556" s="263"/>
      <c r="F556" s="263"/>
      <c r="G556" s="263"/>
      <c r="H556" s="263"/>
      <c r="I556" s="263"/>
      <c r="J556" s="263"/>
      <c r="K556" s="263"/>
      <c r="L556" s="263"/>
      <c r="M556" s="263"/>
      <c r="N556" s="263"/>
      <c r="O556" s="263"/>
      <c r="P556" s="263"/>
      <c r="Q556" s="263"/>
      <c r="R556" s="263"/>
      <c r="S556" s="263"/>
      <c r="T556" s="263"/>
      <c r="U556" s="263"/>
      <c r="V556" s="263"/>
      <c r="W556" s="263"/>
      <c r="X556" s="263"/>
      <c r="Y556" s="263"/>
      <c r="Z556" s="263"/>
      <c r="AA556" s="263"/>
      <c r="AB556" s="263"/>
    </row>
    <row r="557" spans="1:28" ht="16" x14ac:dyDescent="0.2">
      <c r="A557" s="263"/>
      <c r="B557" s="263"/>
      <c r="C557" s="309"/>
      <c r="D557" s="263"/>
      <c r="E557" s="263"/>
      <c r="F557" s="263"/>
      <c r="G557" s="263"/>
      <c r="H557" s="263"/>
      <c r="I557" s="263"/>
      <c r="J557" s="263"/>
      <c r="K557" s="263"/>
      <c r="L557" s="263"/>
      <c r="M557" s="263"/>
      <c r="N557" s="263"/>
      <c r="O557" s="263"/>
      <c r="P557" s="263"/>
      <c r="Q557" s="263"/>
      <c r="R557" s="263"/>
      <c r="S557" s="263"/>
      <c r="T557" s="263"/>
      <c r="U557" s="263"/>
      <c r="V557" s="263"/>
      <c r="W557" s="263"/>
      <c r="X557" s="263"/>
      <c r="Y557" s="263"/>
      <c r="Z557" s="263"/>
      <c r="AA557" s="263"/>
      <c r="AB557" s="263"/>
    </row>
    <row r="558" spans="1:28" ht="16" x14ac:dyDescent="0.2">
      <c r="A558" s="263"/>
      <c r="B558" s="263"/>
      <c r="C558" s="309"/>
      <c r="D558" s="263"/>
      <c r="E558" s="263"/>
      <c r="F558" s="263"/>
      <c r="G558" s="263"/>
      <c r="H558" s="263"/>
      <c r="I558" s="263"/>
      <c r="J558" s="263"/>
      <c r="K558" s="263"/>
      <c r="L558" s="263"/>
      <c r="M558" s="263"/>
      <c r="N558" s="263"/>
      <c r="O558" s="263"/>
      <c r="P558" s="263"/>
      <c r="Q558" s="263"/>
      <c r="R558" s="263"/>
      <c r="S558" s="263"/>
      <c r="T558" s="263"/>
      <c r="U558" s="263"/>
      <c r="V558" s="263"/>
      <c r="W558" s="263"/>
      <c r="X558" s="263"/>
      <c r="Y558" s="263"/>
      <c r="Z558" s="263"/>
      <c r="AA558" s="263"/>
      <c r="AB558" s="263"/>
    </row>
    <row r="559" spans="1:28" ht="16" x14ac:dyDescent="0.2">
      <c r="A559" s="263"/>
      <c r="B559" s="263"/>
      <c r="C559" s="309"/>
      <c r="D559" s="263"/>
      <c r="E559" s="263"/>
      <c r="F559" s="263"/>
      <c r="G559" s="263"/>
      <c r="H559" s="263"/>
      <c r="I559" s="263"/>
      <c r="J559" s="263"/>
      <c r="K559" s="263"/>
      <c r="L559" s="263"/>
      <c r="M559" s="263"/>
      <c r="N559" s="263"/>
      <c r="O559" s="263"/>
      <c r="P559" s="263"/>
      <c r="Q559" s="263"/>
      <c r="R559" s="263"/>
      <c r="S559" s="263"/>
      <c r="T559" s="263"/>
      <c r="U559" s="263"/>
      <c r="V559" s="263"/>
      <c r="W559" s="263"/>
      <c r="X559" s="263"/>
      <c r="Y559" s="263"/>
      <c r="Z559" s="263"/>
      <c r="AA559" s="263"/>
      <c r="AB559" s="263"/>
    </row>
    <row r="560" spans="1:28" ht="16" x14ac:dyDescent="0.2">
      <c r="A560" s="263"/>
      <c r="B560" s="263"/>
      <c r="C560" s="309"/>
      <c r="D560" s="263"/>
      <c r="E560" s="263"/>
      <c r="F560" s="263"/>
      <c r="G560" s="263"/>
      <c r="H560" s="263"/>
      <c r="I560" s="263"/>
      <c r="J560" s="263"/>
      <c r="K560" s="263"/>
      <c r="L560" s="263"/>
      <c r="M560" s="263"/>
      <c r="N560" s="263"/>
      <c r="O560" s="263"/>
      <c r="P560" s="263"/>
      <c r="Q560" s="263"/>
      <c r="R560" s="263"/>
      <c r="S560" s="263"/>
      <c r="T560" s="263"/>
      <c r="U560" s="263"/>
      <c r="V560" s="263"/>
      <c r="W560" s="263"/>
      <c r="X560" s="263"/>
      <c r="Y560" s="263"/>
      <c r="Z560" s="263"/>
      <c r="AA560" s="263"/>
      <c r="AB560" s="263"/>
    </row>
    <row r="561" spans="1:28" ht="16" x14ac:dyDescent="0.2">
      <c r="A561" s="263"/>
      <c r="B561" s="263"/>
      <c r="C561" s="309"/>
      <c r="D561" s="263"/>
      <c r="E561" s="263"/>
      <c r="F561" s="263"/>
      <c r="G561" s="263"/>
      <c r="H561" s="263"/>
      <c r="I561" s="263"/>
      <c r="J561" s="263"/>
      <c r="K561" s="263"/>
      <c r="L561" s="263"/>
      <c r="M561" s="263"/>
      <c r="N561" s="263"/>
      <c r="O561" s="263"/>
      <c r="P561" s="263"/>
      <c r="Q561" s="263"/>
      <c r="R561" s="263"/>
      <c r="S561" s="263"/>
      <c r="T561" s="263"/>
      <c r="U561" s="263"/>
      <c r="V561" s="263"/>
      <c r="W561" s="263"/>
      <c r="X561" s="263"/>
      <c r="Y561" s="263"/>
      <c r="Z561" s="263"/>
      <c r="AA561" s="263"/>
      <c r="AB561" s="263"/>
    </row>
    <row r="562" spans="1:28" ht="16" x14ac:dyDescent="0.2">
      <c r="A562" s="263"/>
      <c r="B562" s="263"/>
      <c r="C562" s="309"/>
      <c r="D562" s="263"/>
      <c r="E562" s="263"/>
      <c r="F562" s="263"/>
      <c r="G562" s="263"/>
      <c r="H562" s="263"/>
      <c r="I562" s="263"/>
      <c r="J562" s="263"/>
      <c r="K562" s="263"/>
      <c r="L562" s="263"/>
      <c r="M562" s="263"/>
      <c r="N562" s="263"/>
      <c r="O562" s="263"/>
      <c r="P562" s="263"/>
      <c r="Q562" s="263"/>
      <c r="R562" s="263"/>
      <c r="S562" s="263"/>
      <c r="T562" s="263"/>
      <c r="U562" s="263"/>
      <c r="V562" s="263"/>
      <c r="W562" s="263"/>
      <c r="X562" s="263"/>
      <c r="Y562" s="263"/>
      <c r="Z562" s="263"/>
      <c r="AA562" s="263"/>
      <c r="AB562" s="263"/>
    </row>
    <row r="563" spans="1:28" ht="16" x14ac:dyDescent="0.2">
      <c r="A563" s="263"/>
      <c r="B563" s="263"/>
      <c r="C563" s="309"/>
      <c r="D563" s="263"/>
      <c r="E563" s="263"/>
      <c r="F563" s="263"/>
      <c r="G563" s="263"/>
      <c r="H563" s="263"/>
      <c r="I563" s="263"/>
      <c r="J563" s="263"/>
      <c r="K563" s="263"/>
      <c r="L563" s="263"/>
      <c r="M563" s="263"/>
      <c r="N563" s="263"/>
      <c r="O563" s="263"/>
      <c r="P563" s="263"/>
      <c r="Q563" s="263"/>
      <c r="R563" s="263"/>
      <c r="S563" s="263"/>
      <c r="T563" s="263"/>
      <c r="U563" s="263"/>
      <c r="V563" s="263"/>
      <c r="W563" s="263"/>
      <c r="X563" s="263"/>
      <c r="Y563" s="263"/>
      <c r="Z563" s="263"/>
      <c r="AA563" s="263"/>
      <c r="AB563" s="263"/>
    </row>
    <row r="564" spans="1:28" ht="16" x14ac:dyDescent="0.2">
      <c r="A564" s="263"/>
      <c r="B564" s="263"/>
      <c r="C564" s="309"/>
      <c r="D564" s="263"/>
      <c r="E564" s="263"/>
      <c r="F564" s="263"/>
      <c r="G564" s="263"/>
      <c r="H564" s="263"/>
      <c r="I564" s="263"/>
      <c r="J564" s="263"/>
      <c r="K564" s="263"/>
      <c r="L564" s="263"/>
      <c r="M564" s="263"/>
      <c r="N564" s="263"/>
      <c r="O564" s="263"/>
      <c r="P564" s="263"/>
      <c r="Q564" s="263"/>
      <c r="R564" s="263"/>
      <c r="S564" s="263"/>
      <c r="T564" s="263"/>
      <c r="U564" s="263"/>
      <c r="V564" s="263"/>
      <c r="W564" s="263"/>
      <c r="X564" s="263"/>
      <c r="Y564" s="263"/>
      <c r="Z564" s="263"/>
      <c r="AA564" s="263"/>
      <c r="AB564" s="263"/>
    </row>
    <row r="565" spans="1:28" ht="16" x14ac:dyDescent="0.2">
      <c r="A565" s="263"/>
      <c r="B565" s="263"/>
      <c r="C565" s="309"/>
      <c r="D565" s="263"/>
      <c r="E565" s="263"/>
      <c r="F565" s="263"/>
      <c r="G565" s="263"/>
      <c r="H565" s="263"/>
      <c r="I565" s="263"/>
      <c r="J565" s="263"/>
      <c r="K565" s="263"/>
      <c r="L565" s="263"/>
      <c r="M565" s="263"/>
      <c r="N565" s="263"/>
      <c r="O565" s="263"/>
      <c r="P565" s="263"/>
      <c r="Q565" s="263"/>
      <c r="R565" s="263"/>
      <c r="S565" s="263"/>
      <c r="T565" s="263"/>
      <c r="U565" s="263"/>
      <c r="V565" s="263"/>
      <c r="W565" s="263"/>
      <c r="X565" s="263"/>
      <c r="Y565" s="263"/>
      <c r="Z565" s="263"/>
      <c r="AA565" s="263"/>
      <c r="AB565" s="263"/>
    </row>
    <row r="566" spans="1:28" ht="16" x14ac:dyDescent="0.2">
      <c r="A566" s="263"/>
      <c r="B566" s="263"/>
      <c r="C566" s="309"/>
      <c r="D566" s="263"/>
      <c r="E566" s="263"/>
      <c r="F566" s="263"/>
      <c r="G566" s="263"/>
      <c r="H566" s="263"/>
      <c r="I566" s="263"/>
      <c r="J566" s="263"/>
      <c r="K566" s="263"/>
      <c r="L566" s="263"/>
      <c r="M566" s="263"/>
      <c r="N566" s="263"/>
      <c r="O566" s="263"/>
      <c r="P566" s="263"/>
      <c r="Q566" s="263"/>
      <c r="R566" s="263"/>
      <c r="S566" s="263"/>
      <c r="T566" s="263"/>
      <c r="U566" s="263"/>
      <c r="V566" s="263"/>
      <c r="W566" s="263"/>
      <c r="X566" s="263"/>
      <c r="Y566" s="263"/>
      <c r="Z566" s="263"/>
      <c r="AA566" s="263"/>
      <c r="AB566" s="263"/>
    </row>
    <row r="567" spans="1:28" ht="16" x14ac:dyDescent="0.2">
      <c r="A567" s="263"/>
      <c r="B567" s="263"/>
      <c r="C567" s="309"/>
      <c r="D567" s="263"/>
      <c r="E567" s="263"/>
      <c r="F567" s="263"/>
      <c r="G567" s="263"/>
      <c r="H567" s="263"/>
      <c r="I567" s="263"/>
      <c r="J567" s="263"/>
      <c r="K567" s="263"/>
      <c r="L567" s="263"/>
      <c r="M567" s="263"/>
      <c r="N567" s="263"/>
      <c r="O567" s="263"/>
      <c r="P567" s="263"/>
      <c r="Q567" s="263"/>
      <c r="R567" s="263"/>
      <c r="S567" s="263"/>
      <c r="T567" s="263"/>
      <c r="U567" s="263"/>
      <c r="V567" s="263"/>
      <c r="W567" s="263"/>
      <c r="X567" s="263"/>
      <c r="Y567" s="263"/>
      <c r="Z567" s="263"/>
      <c r="AA567" s="263"/>
      <c r="AB567" s="263"/>
    </row>
    <row r="568" spans="1:28" ht="16" x14ac:dyDescent="0.2">
      <c r="A568" s="263"/>
      <c r="B568" s="263"/>
      <c r="C568" s="309"/>
      <c r="D568" s="263"/>
      <c r="E568" s="263"/>
      <c r="F568" s="263"/>
      <c r="G568" s="263"/>
      <c r="H568" s="263"/>
      <c r="I568" s="263"/>
      <c r="J568" s="263"/>
      <c r="K568" s="263"/>
      <c r="L568" s="263"/>
      <c r="M568" s="263"/>
      <c r="N568" s="263"/>
      <c r="O568" s="263"/>
      <c r="P568" s="263"/>
      <c r="Q568" s="263"/>
      <c r="R568" s="263"/>
      <c r="S568" s="263"/>
      <c r="T568" s="263"/>
      <c r="U568" s="263"/>
      <c r="V568" s="263"/>
      <c r="W568" s="263"/>
      <c r="X568" s="263"/>
      <c r="Y568" s="263"/>
      <c r="Z568" s="263"/>
      <c r="AA568" s="263"/>
      <c r="AB568" s="263"/>
    </row>
    <row r="569" spans="1:28" ht="16" x14ac:dyDescent="0.2">
      <c r="A569" s="263"/>
      <c r="B569" s="263"/>
      <c r="C569" s="309"/>
      <c r="D569" s="263"/>
      <c r="E569" s="263"/>
      <c r="F569" s="263"/>
      <c r="G569" s="263"/>
      <c r="H569" s="263"/>
      <c r="I569" s="263"/>
      <c r="J569" s="263"/>
      <c r="K569" s="263"/>
      <c r="L569" s="263"/>
      <c r="M569" s="263"/>
      <c r="N569" s="263"/>
      <c r="O569" s="263"/>
      <c r="P569" s="263"/>
      <c r="Q569" s="263"/>
      <c r="R569" s="263"/>
      <c r="S569" s="263"/>
      <c r="T569" s="263"/>
      <c r="U569" s="263"/>
      <c r="V569" s="263"/>
      <c r="W569" s="263"/>
      <c r="X569" s="263"/>
      <c r="Y569" s="263"/>
      <c r="Z569" s="263"/>
      <c r="AA569" s="263"/>
      <c r="AB569" s="263"/>
    </row>
    <row r="570" spans="1:28" ht="16" x14ac:dyDescent="0.2">
      <c r="A570" s="263"/>
      <c r="B570" s="263"/>
      <c r="C570" s="309"/>
      <c r="D570" s="263"/>
      <c r="E570" s="263"/>
      <c r="F570" s="263"/>
      <c r="G570" s="263"/>
      <c r="H570" s="263"/>
      <c r="I570" s="263"/>
      <c r="J570" s="263"/>
      <c r="K570" s="263"/>
      <c r="L570" s="263"/>
      <c r="M570" s="263"/>
      <c r="N570" s="263"/>
      <c r="O570" s="263"/>
      <c r="P570" s="263"/>
      <c r="Q570" s="263"/>
      <c r="R570" s="263"/>
      <c r="S570" s="263"/>
      <c r="T570" s="263"/>
      <c r="U570" s="263"/>
      <c r="V570" s="263"/>
      <c r="W570" s="263"/>
      <c r="X570" s="263"/>
      <c r="Y570" s="263"/>
      <c r="Z570" s="263"/>
      <c r="AA570" s="263"/>
      <c r="AB570" s="263"/>
    </row>
    <row r="571" spans="1:28" ht="16" x14ac:dyDescent="0.2">
      <c r="A571" s="263"/>
      <c r="B571" s="263"/>
      <c r="C571" s="309"/>
      <c r="D571" s="263"/>
      <c r="E571" s="263"/>
      <c r="F571" s="263"/>
      <c r="G571" s="263"/>
      <c r="H571" s="263"/>
      <c r="I571" s="263"/>
      <c r="J571" s="263"/>
      <c r="K571" s="263"/>
      <c r="L571" s="263"/>
      <c r="M571" s="263"/>
      <c r="N571" s="263"/>
      <c r="O571" s="263"/>
      <c r="P571" s="263"/>
      <c r="Q571" s="263"/>
      <c r="R571" s="263"/>
      <c r="S571" s="263"/>
      <c r="T571" s="263"/>
      <c r="U571" s="263"/>
      <c r="V571" s="263"/>
      <c r="W571" s="263"/>
      <c r="X571" s="263"/>
      <c r="Y571" s="263"/>
      <c r="Z571" s="263"/>
      <c r="AA571" s="263"/>
      <c r="AB571" s="263"/>
    </row>
    <row r="572" spans="1:28" ht="16" x14ac:dyDescent="0.2">
      <c r="A572" s="263"/>
      <c r="B572" s="263"/>
      <c r="C572" s="309"/>
      <c r="D572" s="263"/>
      <c r="E572" s="263"/>
      <c r="F572" s="263"/>
      <c r="G572" s="263"/>
      <c r="H572" s="263"/>
      <c r="I572" s="263"/>
      <c r="J572" s="263"/>
      <c r="K572" s="263"/>
      <c r="L572" s="263"/>
      <c r="M572" s="263"/>
      <c r="N572" s="263"/>
      <c r="O572" s="263"/>
      <c r="P572" s="263"/>
      <c r="Q572" s="263"/>
      <c r="R572" s="263"/>
      <c r="S572" s="263"/>
      <c r="T572" s="263"/>
      <c r="U572" s="263"/>
      <c r="V572" s="263"/>
      <c r="W572" s="263"/>
      <c r="X572" s="263"/>
      <c r="Y572" s="263"/>
      <c r="Z572" s="263"/>
      <c r="AA572" s="263"/>
      <c r="AB572" s="263"/>
    </row>
    <row r="573" spans="1:28" ht="16" x14ac:dyDescent="0.2">
      <c r="A573" s="263"/>
      <c r="B573" s="263"/>
      <c r="C573" s="309"/>
      <c r="D573" s="263"/>
      <c r="E573" s="263"/>
      <c r="F573" s="263"/>
      <c r="G573" s="263"/>
      <c r="H573" s="263"/>
      <c r="I573" s="263"/>
      <c r="J573" s="263"/>
      <c r="K573" s="263"/>
      <c r="L573" s="263"/>
      <c r="M573" s="263"/>
      <c r="N573" s="263"/>
      <c r="O573" s="263"/>
      <c r="P573" s="263"/>
      <c r="Q573" s="263"/>
      <c r="R573" s="263"/>
      <c r="S573" s="263"/>
      <c r="T573" s="263"/>
      <c r="U573" s="263"/>
      <c r="V573" s="263"/>
      <c r="W573" s="263"/>
      <c r="X573" s="263"/>
      <c r="Y573" s="263"/>
      <c r="Z573" s="263"/>
      <c r="AA573" s="263"/>
      <c r="AB573" s="263"/>
    </row>
    <row r="574" spans="1:28" ht="16" x14ac:dyDescent="0.2">
      <c r="A574" s="263"/>
      <c r="B574" s="263"/>
      <c r="C574" s="309"/>
      <c r="D574" s="263"/>
      <c r="E574" s="263"/>
      <c r="F574" s="263"/>
      <c r="G574" s="263"/>
      <c r="H574" s="263"/>
      <c r="I574" s="263"/>
      <c r="J574" s="263"/>
      <c r="K574" s="263"/>
      <c r="L574" s="263"/>
      <c r="M574" s="263"/>
      <c r="N574" s="263"/>
      <c r="O574" s="263"/>
      <c r="P574" s="263"/>
      <c r="Q574" s="263"/>
      <c r="R574" s="263"/>
      <c r="S574" s="263"/>
      <c r="T574" s="263"/>
      <c r="U574" s="263"/>
      <c r="V574" s="263"/>
      <c r="W574" s="263"/>
      <c r="X574" s="263"/>
      <c r="Y574" s="263"/>
      <c r="Z574" s="263"/>
      <c r="AA574" s="263"/>
      <c r="AB574" s="263"/>
    </row>
    <row r="575" spans="1:28" ht="16" x14ac:dyDescent="0.2">
      <c r="A575" s="263"/>
      <c r="B575" s="263"/>
      <c r="C575" s="309"/>
      <c r="D575" s="263"/>
      <c r="E575" s="263"/>
      <c r="F575" s="263"/>
      <c r="G575" s="263"/>
      <c r="H575" s="263"/>
      <c r="I575" s="263"/>
      <c r="J575" s="263"/>
      <c r="K575" s="263"/>
      <c r="L575" s="263"/>
      <c r="M575" s="263"/>
      <c r="N575" s="263"/>
      <c r="O575" s="263"/>
      <c r="P575" s="263"/>
      <c r="Q575" s="263"/>
      <c r="R575" s="263"/>
      <c r="S575" s="263"/>
      <c r="T575" s="263"/>
      <c r="U575" s="263"/>
      <c r="V575" s="263"/>
      <c r="W575" s="263"/>
      <c r="X575" s="263"/>
      <c r="Y575" s="263"/>
      <c r="Z575" s="263"/>
      <c r="AA575" s="263"/>
      <c r="AB575" s="263"/>
    </row>
    <row r="576" spans="1:28" ht="16" x14ac:dyDescent="0.2">
      <c r="A576" s="263"/>
      <c r="B576" s="263"/>
      <c r="C576" s="309"/>
      <c r="D576" s="263"/>
      <c r="E576" s="263"/>
      <c r="F576" s="263"/>
      <c r="G576" s="263"/>
      <c r="H576" s="263"/>
      <c r="I576" s="263"/>
      <c r="J576" s="263"/>
      <c r="K576" s="263"/>
      <c r="L576" s="263"/>
      <c r="M576" s="263"/>
      <c r="N576" s="263"/>
      <c r="O576" s="263"/>
      <c r="P576" s="263"/>
      <c r="Q576" s="263"/>
      <c r="R576" s="263"/>
      <c r="S576" s="263"/>
      <c r="T576" s="263"/>
      <c r="U576" s="263"/>
      <c r="V576" s="263"/>
      <c r="W576" s="263"/>
      <c r="X576" s="263"/>
      <c r="Y576" s="263"/>
      <c r="Z576" s="263"/>
      <c r="AA576" s="263"/>
      <c r="AB576" s="263"/>
    </row>
    <row r="577" spans="1:28" ht="16" x14ac:dyDescent="0.2">
      <c r="A577" s="263"/>
      <c r="B577" s="263"/>
      <c r="C577" s="309"/>
      <c r="D577" s="263"/>
      <c r="E577" s="263"/>
      <c r="F577" s="263"/>
      <c r="G577" s="263"/>
      <c r="H577" s="263"/>
      <c r="I577" s="263"/>
      <c r="J577" s="263"/>
      <c r="K577" s="263"/>
      <c r="L577" s="263"/>
      <c r="M577" s="263"/>
      <c r="N577" s="263"/>
      <c r="O577" s="263"/>
      <c r="P577" s="263"/>
      <c r="Q577" s="263"/>
      <c r="R577" s="263"/>
      <c r="S577" s="263"/>
      <c r="T577" s="263"/>
      <c r="U577" s="263"/>
      <c r="V577" s="263"/>
      <c r="W577" s="263"/>
      <c r="X577" s="263"/>
      <c r="Y577" s="263"/>
      <c r="Z577" s="263"/>
      <c r="AA577" s="263"/>
      <c r="AB577" s="263"/>
    </row>
    <row r="578" spans="1:28" ht="16" x14ac:dyDescent="0.2">
      <c r="A578" s="263"/>
      <c r="B578" s="263"/>
      <c r="C578" s="309"/>
      <c r="D578" s="263"/>
      <c r="E578" s="263"/>
      <c r="F578" s="263"/>
      <c r="G578" s="263"/>
      <c r="H578" s="263"/>
      <c r="I578" s="263"/>
      <c r="J578" s="263"/>
      <c r="K578" s="263"/>
      <c r="L578" s="263"/>
      <c r="M578" s="263"/>
      <c r="N578" s="263"/>
      <c r="O578" s="263"/>
      <c r="P578" s="263"/>
      <c r="Q578" s="263"/>
      <c r="R578" s="263"/>
      <c r="S578" s="263"/>
      <c r="T578" s="263"/>
      <c r="U578" s="263"/>
      <c r="V578" s="263"/>
      <c r="W578" s="263"/>
      <c r="X578" s="263"/>
      <c r="Y578" s="263"/>
      <c r="Z578" s="263"/>
      <c r="AA578" s="263"/>
      <c r="AB578" s="263"/>
    </row>
    <row r="579" spans="1:28" ht="16" x14ac:dyDescent="0.2">
      <c r="A579" s="263"/>
      <c r="B579" s="263"/>
      <c r="C579" s="309"/>
      <c r="D579" s="263"/>
      <c r="E579" s="263"/>
      <c r="F579" s="263"/>
      <c r="G579" s="263"/>
      <c r="H579" s="263"/>
      <c r="I579" s="263"/>
      <c r="J579" s="263"/>
      <c r="K579" s="263"/>
      <c r="L579" s="263"/>
      <c r="M579" s="263"/>
      <c r="N579" s="263"/>
      <c r="O579" s="263"/>
      <c r="P579" s="263"/>
      <c r="Q579" s="263"/>
      <c r="R579" s="263"/>
      <c r="S579" s="263"/>
      <c r="T579" s="263"/>
      <c r="U579" s="263"/>
      <c r="V579" s="263"/>
      <c r="W579" s="263"/>
      <c r="X579" s="263"/>
      <c r="Y579" s="263"/>
      <c r="Z579" s="263"/>
      <c r="AA579" s="263"/>
      <c r="AB579" s="263"/>
    </row>
    <row r="580" spans="1:28" ht="16" x14ac:dyDescent="0.2">
      <c r="A580" s="263"/>
      <c r="B580" s="263"/>
      <c r="C580" s="309"/>
      <c r="D580" s="263"/>
      <c r="E580" s="263"/>
      <c r="F580" s="263"/>
      <c r="G580" s="263"/>
      <c r="H580" s="263"/>
      <c r="I580" s="263"/>
      <c r="J580" s="263"/>
      <c r="K580" s="263"/>
      <c r="L580" s="263"/>
      <c r="M580" s="263"/>
      <c r="N580" s="263"/>
      <c r="O580" s="263"/>
      <c r="P580" s="263"/>
      <c r="Q580" s="263"/>
      <c r="R580" s="263"/>
      <c r="S580" s="263"/>
      <c r="T580" s="263"/>
      <c r="U580" s="263"/>
      <c r="V580" s="263"/>
      <c r="W580" s="263"/>
      <c r="X580" s="263"/>
      <c r="Y580" s="263"/>
      <c r="Z580" s="263"/>
      <c r="AA580" s="263"/>
      <c r="AB580" s="263"/>
    </row>
    <row r="581" spans="1:28" ht="16" x14ac:dyDescent="0.2">
      <c r="A581" s="263"/>
      <c r="B581" s="263"/>
      <c r="C581" s="309"/>
      <c r="D581" s="263"/>
      <c r="E581" s="263"/>
      <c r="F581" s="263"/>
      <c r="G581" s="263"/>
      <c r="H581" s="263"/>
      <c r="I581" s="263"/>
      <c r="J581" s="263"/>
      <c r="K581" s="263"/>
      <c r="L581" s="263"/>
      <c r="M581" s="263"/>
      <c r="N581" s="263"/>
      <c r="O581" s="263"/>
      <c r="P581" s="263"/>
      <c r="Q581" s="263"/>
      <c r="R581" s="263"/>
      <c r="S581" s="263"/>
      <c r="T581" s="263"/>
      <c r="U581" s="263"/>
      <c r="V581" s="263"/>
      <c r="W581" s="263"/>
      <c r="X581" s="263"/>
      <c r="Y581" s="263"/>
      <c r="Z581" s="263"/>
      <c r="AA581" s="263"/>
      <c r="AB581" s="263"/>
    </row>
    <row r="582" spans="1:28" ht="16" x14ac:dyDescent="0.2">
      <c r="A582" s="263"/>
      <c r="B582" s="263"/>
      <c r="C582" s="309"/>
      <c r="D582" s="263"/>
      <c r="E582" s="263"/>
      <c r="F582" s="263"/>
      <c r="G582" s="263"/>
      <c r="H582" s="263"/>
      <c r="I582" s="263"/>
      <c r="J582" s="263"/>
      <c r="K582" s="263"/>
      <c r="L582" s="263"/>
      <c r="M582" s="263"/>
      <c r="N582" s="263"/>
      <c r="O582" s="263"/>
      <c r="P582" s="263"/>
      <c r="Q582" s="263"/>
      <c r="R582" s="263"/>
      <c r="S582" s="263"/>
      <c r="T582" s="263"/>
      <c r="U582" s="263"/>
      <c r="V582" s="263"/>
      <c r="W582" s="263"/>
      <c r="X582" s="263"/>
      <c r="Y582" s="263"/>
      <c r="Z582" s="263"/>
      <c r="AA582" s="263"/>
      <c r="AB582" s="263"/>
    </row>
    <row r="583" spans="1:28" ht="16" x14ac:dyDescent="0.2">
      <c r="A583" s="263"/>
      <c r="B583" s="263"/>
      <c r="C583" s="309"/>
      <c r="D583" s="263"/>
      <c r="E583" s="263"/>
      <c r="F583" s="263"/>
      <c r="G583" s="263"/>
      <c r="H583" s="263"/>
      <c r="I583" s="263"/>
      <c r="J583" s="263"/>
      <c r="K583" s="263"/>
      <c r="L583" s="263"/>
      <c r="M583" s="263"/>
      <c r="N583" s="263"/>
      <c r="O583" s="263"/>
      <c r="P583" s="263"/>
      <c r="Q583" s="263"/>
      <c r="R583" s="263"/>
      <c r="S583" s="263"/>
      <c r="T583" s="263"/>
      <c r="U583" s="263"/>
      <c r="V583" s="263"/>
      <c r="W583" s="263"/>
      <c r="X583" s="263"/>
      <c r="Y583" s="263"/>
      <c r="Z583" s="263"/>
      <c r="AA583" s="263"/>
      <c r="AB583" s="263"/>
    </row>
    <row r="584" spans="1:28" ht="16" x14ac:dyDescent="0.2">
      <c r="A584" s="263"/>
      <c r="B584" s="263"/>
      <c r="C584" s="309"/>
      <c r="D584" s="263"/>
      <c r="E584" s="263"/>
      <c r="F584" s="263"/>
      <c r="G584" s="263"/>
      <c r="H584" s="263"/>
      <c r="I584" s="263"/>
      <c r="J584" s="263"/>
      <c r="K584" s="263"/>
      <c r="L584" s="263"/>
      <c r="M584" s="263"/>
      <c r="N584" s="263"/>
      <c r="O584" s="263"/>
      <c r="P584" s="263"/>
      <c r="Q584" s="263"/>
      <c r="R584" s="263"/>
      <c r="S584" s="263"/>
      <c r="T584" s="263"/>
      <c r="U584" s="263"/>
      <c r="V584" s="263"/>
      <c r="W584" s="263"/>
      <c r="X584" s="263"/>
      <c r="Y584" s="263"/>
      <c r="Z584" s="263"/>
      <c r="AA584" s="263"/>
      <c r="AB584" s="263"/>
    </row>
    <row r="585" spans="1:28" ht="16" x14ac:dyDescent="0.2">
      <c r="A585" s="263"/>
      <c r="B585" s="263"/>
      <c r="C585" s="309"/>
      <c r="D585" s="263"/>
      <c r="E585" s="263"/>
      <c r="F585" s="263"/>
      <c r="G585" s="263"/>
      <c r="H585" s="263"/>
      <c r="I585" s="263"/>
      <c r="J585" s="263"/>
      <c r="K585" s="263"/>
      <c r="L585" s="263"/>
      <c r="M585" s="263"/>
      <c r="N585" s="263"/>
      <c r="O585" s="263"/>
      <c r="P585" s="263"/>
      <c r="Q585" s="263"/>
      <c r="R585" s="263"/>
      <c r="S585" s="263"/>
      <c r="T585" s="263"/>
      <c r="U585" s="263"/>
      <c r="V585" s="263"/>
      <c r="W585" s="263"/>
      <c r="X585" s="263"/>
      <c r="Y585" s="263"/>
      <c r="Z585" s="263"/>
      <c r="AA585" s="263"/>
      <c r="AB585" s="263"/>
    </row>
    <row r="586" spans="1:28" ht="16" x14ac:dyDescent="0.2">
      <c r="A586" s="263"/>
      <c r="B586" s="263"/>
      <c r="C586" s="309"/>
      <c r="D586" s="263"/>
      <c r="E586" s="263"/>
      <c r="F586" s="263"/>
      <c r="G586" s="263"/>
      <c r="H586" s="263"/>
      <c r="I586" s="263"/>
      <c r="J586" s="263"/>
      <c r="K586" s="263"/>
      <c r="L586" s="263"/>
      <c r="M586" s="263"/>
      <c r="N586" s="263"/>
      <c r="O586" s="263"/>
      <c r="P586" s="263"/>
      <c r="Q586" s="263"/>
      <c r="R586" s="263"/>
      <c r="S586" s="263"/>
      <c r="T586" s="263"/>
      <c r="U586" s="263"/>
      <c r="V586" s="263"/>
      <c r="W586" s="263"/>
      <c r="X586" s="263"/>
      <c r="Y586" s="263"/>
      <c r="Z586" s="263"/>
      <c r="AA586" s="263"/>
      <c r="AB586" s="263"/>
    </row>
    <row r="587" spans="1:28" ht="16" x14ac:dyDescent="0.2">
      <c r="A587" s="263"/>
      <c r="B587" s="263"/>
      <c r="C587" s="309"/>
      <c r="D587" s="263"/>
      <c r="E587" s="263"/>
      <c r="F587" s="263"/>
      <c r="G587" s="263"/>
      <c r="H587" s="263"/>
      <c r="I587" s="263"/>
      <c r="J587" s="263"/>
      <c r="K587" s="263"/>
      <c r="L587" s="263"/>
      <c r="M587" s="263"/>
      <c r="N587" s="263"/>
      <c r="O587" s="263"/>
      <c r="P587" s="263"/>
      <c r="Q587" s="263"/>
      <c r="R587" s="263"/>
      <c r="S587" s="263"/>
      <c r="T587" s="263"/>
      <c r="U587" s="263"/>
      <c r="V587" s="263"/>
      <c r="W587" s="263"/>
      <c r="X587" s="263"/>
      <c r="Y587" s="263"/>
      <c r="Z587" s="263"/>
      <c r="AA587" s="263"/>
      <c r="AB587" s="263"/>
    </row>
    <row r="588" spans="1:28" ht="16" x14ac:dyDescent="0.2">
      <c r="A588" s="263"/>
      <c r="B588" s="263"/>
      <c r="C588" s="309"/>
      <c r="D588" s="263"/>
      <c r="E588" s="263"/>
      <c r="F588" s="263"/>
      <c r="G588" s="263"/>
      <c r="H588" s="263"/>
      <c r="I588" s="263"/>
      <c r="J588" s="263"/>
      <c r="K588" s="263"/>
      <c r="L588" s="263"/>
      <c r="M588" s="263"/>
      <c r="N588" s="263"/>
      <c r="O588" s="263"/>
      <c r="P588" s="263"/>
      <c r="Q588" s="263"/>
      <c r="R588" s="263"/>
      <c r="S588" s="263"/>
      <c r="T588" s="263"/>
      <c r="U588" s="263"/>
      <c r="V588" s="263"/>
      <c r="W588" s="263"/>
      <c r="X588" s="263"/>
      <c r="Y588" s="263"/>
      <c r="Z588" s="263"/>
      <c r="AA588" s="263"/>
      <c r="AB588" s="263"/>
    </row>
    <row r="589" spans="1:28" ht="16" x14ac:dyDescent="0.2">
      <c r="A589" s="263"/>
      <c r="B589" s="263"/>
      <c r="C589" s="309"/>
      <c r="D589" s="263"/>
      <c r="E589" s="263"/>
      <c r="F589" s="263"/>
      <c r="G589" s="263"/>
      <c r="H589" s="263"/>
      <c r="I589" s="263"/>
      <c r="J589" s="263"/>
      <c r="K589" s="263"/>
      <c r="L589" s="263"/>
      <c r="M589" s="263"/>
      <c r="N589" s="263"/>
      <c r="O589" s="263"/>
      <c r="P589" s="263"/>
      <c r="Q589" s="263"/>
      <c r="R589" s="263"/>
      <c r="S589" s="263"/>
      <c r="T589" s="263"/>
      <c r="U589" s="263"/>
      <c r="V589" s="263"/>
      <c r="W589" s="263"/>
      <c r="X589" s="263"/>
      <c r="Y589" s="263"/>
      <c r="Z589" s="263"/>
      <c r="AA589" s="263"/>
      <c r="AB589" s="263"/>
    </row>
    <row r="590" spans="1:28" ht="16" x14ac:dyDescent="0.2">
      <c r="A590" s="263"/>
      <c r="B590" s="263"/>
      <c r="C590" s="309"/>
      <c r="D590" s="263"/>
      <c r="E590" s="263"/>
      <c r="F590" s="263"/>
      <c r="G590" s="263"/>
      <c r="H590" s="263"/>
      <c r="I590" s="263"/>
      <c r="J590" s="263"/>
      <c r="K590" s="263"/>
      <c r="L590" s="263"/>
      <c r="M590" s="263"/>
      <c r="N590" s="263"/>
      <c r="O590" s="263"/>
      <c r="P590" s="263"/>
      <c r="Q590" s="263"/>
      <c r="R590" s="263"/>
      <c r="S590" s="263"/>
      <c r="T590" s="263"/>
      <c r="U590" s="263"/>
      <c r="V590" s="263"/>
      <c r="W590" s="263"/>
      <c r="X590" s="263"/>
      <c r="Y590" s="263"/>
      <c r="Z590" s="263"/>
      <c r="AA590" s="263"/>
      <c r="AB590" s="263"/>
    </row>
    <row r="591" spans="1:28" ht="16" x14ac:dyDescent="0.2">
      <c r="A591" s="263"/>
      <c r="B591" s="263"/>
      <c r="C591" s="309"/>
      <c r="D591" s="263"/>
      <c r="E591" s="263"/>
      <c r="F591" s="263"/>
      <c r="G591" s="263"/>
      <c r="H591" s="263"/>
      <c r="I591" s="263"/>
      <c r="J591" s="263"/>
      <c r="K591" s="263"/>
      <c r="L591" s="263"/>
      <c r="M591" s="263"/>
      <c r="N591" s="263"/>
      <c r="O591" s="263"/>
      <c r="P591" s="263"/>
      <c r="Q591" s="263"/>
      <c r="R591" s="263"/>
      <c r="S591" s="263"/>
      <c r="T591" s="263"/>
      <c r="U591" s="263"/>
      <c r="V591" s="263"/>
      <c r="W591" s="263"/>
      <c r="X591" s="263"/>
      <c r="Y591" s="263"/>
      <c r="Z591" s="263"/>
      <c r="AA591" s="263"/>
      <c r="AB591" s="263"/>
    </row>
    <row r="592" spans="1:28" ht="16" x14ac:dyDescent="0.2">
      <c r="A592" s="263"/>
      <c r="B592" s="263"/>
      <c r="C592" s="309"/>
      <c r="D592" s="263"/>
      <c r="E592" s="263"/>
      <c r="F592" s="263"/>
      <c r="G592" s="263"/>
      <c r="H592" s="263"/>
      <c r="I592" s="263"/>
      <c r="J592" s="263"/>
      <c r="K592" s="263"/>
      <c r="L592" s="263"/>
      <c r="M592" s="263"/>
      <c r="N592" s="263"/>
      <c r="O592" s="263"/>
      <c r="P592" s="263"/>
      <c r="Q592" s="263"/>
      <c r="R592" s="263"/>
      <c r="S592" s="263"/>
      <c r="T592" s="263"/>
      <c r="U592" s="263"/>
      <c r="V592" s="263"/>
      <c r="W592" s="263"/>
      <c r="X592" s="263"/>
      <c r="Y592" s="263"/>
      <c r="Z592" s="263"/>
      <c r="AA592" s="263"/>
      <c r="AB592" s="263"/>
    </row>
    <row r="593" spans="1:28" ht="16" x14ac:dyDescent="0.2">
      <c r="A593" s="263"/>
      <c r="B593" s="263"/>
      <c r="C593" s="309"/>
      <c r="D593" s="263"/>
      <c r="E593" s="263"/>
      <c r="F593" s="263"/>
      <c r="G593" s="263"/>
      <c r="H593" s="263"/>
      <c r="I593" s="263"/>
      <c r="J593" s="263"/>
      <c r="K593" s="263"/>
      <c r="L593" s="263"/>
      <c r="M593" s="263"/>
      <c r="N593" s="263"/>
      <c r="O593" s="263"/>
      <c r="P593" s="263"/>
      <c r="Q593" s="263"/>
      <c r="R593" s="263"/>
      <c r="S593" s="263"/>
      <c r="T593" s="263"/>
      <c r="U593" s="263"/>
      <c r="V593" s="263"/>
      <c r="W593" s="263"/>
      <c r="X593" s="263"/>
      <c r="Y593" s="263"/>
      <c r="Z593" s="263"/>
      <c r="AA593" s="263"/>
      <c r="AB593" s="263"/>
    </row>
    <row r="594" spans="1:28" ht="16" x14ac:dyDescent="0.2">
      <c r="A594" s="263"/>
      <c r="B594" s="263"/>
      <c r="C594" s="309"/>
      <c r="D594" s="263"/>
      <c r="E594" s="263"/>
      <c r="F594" s="263"/>
      <c r="G594" s="263"/>
      <c r="H594" s="263"/>
      <c r="I594" s="263"/>
      <c r="J594" s="263"/>
      <c r="K594" s="263"/>
      <c r="L594" s="263"/>
      <c r="M594" s="263"/>
      <c r="N594" s="263"/>
      <c r="O594" s="263"/>
      <c r="P594" s="263"/>
      <c r="Q594" s="263"/>
      <c r="R594" s="263"/>
      <c r="S594" s="263"/>
      <c r="T594" s="263"/>
      <c r="U594" s="263"/>
      <c r="V594" s="263"/>
      <c r="W594" s="263"/>
      <c r="X594" s="263"/>
      <c r="Y594" s="263"/>
      <c r="Z594" s="263"/>
      <c r="AA594" s="263"/>
      <c r="AB594" s="263"/>
    </row>
    <row r="595" spans="1:28" ht="16" x14ac:dyDescent="0.2">
      <c r="A595" s="263"/>
      <c r="B595" s="263"/>
      <c r="C595" s="309"/>
      <c r="D595" s="263"/>
      <c r="E595" s="263"/>
      <c r="F595" s="263"/>
      <c r="G595" s="263"/>
      <c r="H595" s="263"/>
      <c r="I595" s="263"/>
      <c r="J595" s="263"/>
      <c r="K595" s="263"/>
      <c r="L595" s="263"/>
      <c r="M595" s="263"/>
      <c r="N595" s="263"/>
      <c r="O595" s="263"/>
      <c r="P595" s="263"/>
      <c r="Q595" s="263"/>
      <c r="R595" s="263"/>
      <c r="S595" s="263"/>
      <c r="T595" s="263"/>
      <c r="U595" s="263"/>
      <c r="V595" s="263"/>
      <c r="W595" s="263"/>
      <c r="X595" s="263"/>
      <c r="Y595" s="263"/>
      <c r="Z595" s="263"/>
      <c r="AA595" s="263"/>
      <c r="AB595" s="263"/>
    </row>
    <row r="596" spans="1:28" ht="16" x14ac:dyDescent="0.2">
      <c r="A596" s="263"/>
      <c r="B596" s="263"/>
      <c r="C596" s="309"/>
      <c r="D596" s="263"/>
      <c r="E596" s="263"/>
      <c r="F596" s="263"/>
      <c r="G596" s="263"/>
      <c r="H596" s="263"/>
      <c r="I596" s="263"/>
      <c r="J596" s="263"/>
      <c r="K596" s="263"/>
      <c r="L596" s="263"/>
      <c r="M596" s="263"/>
      <c r="N596" s="263"/>
      <c r="O596" s="263"/>
      <c r="P596" s="263"/>
      <c r="Q596" s="263"/>
      <c r="R596" s="263"/>
      <c r="S596" s="263"/>
      <c r="T596" s="263"/>
      <c r="U596" s="263"/>
      <c r="V596" s="263"/>
      <c r="W596" s="263"/>
      <c r="X596" s="263"/>
      <c r="Y596" s="263"/>
      <c r="Z596" s="263"/>
      <c r="AA596" s="263"/>
      <c r="AB596" s="263"/>
    </row>
    <row r="597" spans="1:28" ht="16" x14ac:dyDescent="0.2">
      <c r="A597" s="263"/>
      <c r="B597" s="263"/>
      <c r="C597" s="309"/>
      <c r="D597" s="263"/>
      <c r="E597" s="263"/>
      <c r="F597" s="263"/>
      <c r="G597" s="263"/>
      <c r="H597" s="263"/>
      <c r="I597" s="263"/>
      <c r="J597" s="263"/>
      <c r="K597" s="263"/>
      <c r="L597" s="263"/>
      <c r="M597" s="263"/>
      <c r="N597" s="263"/>
      <c r="O597" s="263"/>
      <c r="P597" s="263"/>
      <c r="Q597" s="263"/>
      <c r="R597" s="263"/>
      <c r="S597" s="263"/>
      <c r="T597" s="263"/>
      <c r="U597" s="263"/>
      <c r="V597" s="263"/>
      <c r="W597" s="263"/>
      <c r="X597" s="263"/>
      <c r="Y597" s="263"/>
      <c r="Z597" s="263"/>
      <c r="AA597" s="263"/>
      <c r="AB597" s="263"/>
    </row>
    <row r="598" spans="1:28" ht="16" x14ac:dyDescent="0.2">
      <c r="A598" s="263"/>
      <c r="B598" s="263"/>
      <c r="C598" s="309"/>
      <c r="D598" s="263"/>
      <c r="E598" s="263"/>
      <c r="F598" s="263"/>
      <c r="G598" s="263"/>
      <c r="H598" s="263"/>
      <c r="I598" s="263"/>
      <c r="J598" s="263"/>
      <c r="K598" s="263"/>
      <c r="L598" s="263"/>
      <c r="M598" s="263"/>
      <c r="N598" s="263"/>
      <c r="O598" s="263"/>
      <c r="P598" s="263"/>
      <c r="Q598" s="263"/>
      <c r="R598" s="263"/>
      <c r="S598" s="263"/>
      <c r="T598" s="263"/>
      <c r="U598" s="263"/>
      <c r="V598" s="263"/>
      <c r="W598" s="263"/>
      <c r="X598" s="263"/>
      <c r="Y598" s="263"/>
      <c r="Z598" s="263"/>
      <c r="AA598" s="263"/>
      <c r="AB598" s="263"/>
    </row>
    <row r="599" spans="1:28" ht="16" x14ac:dyDescent="0.2">
      <c r="A599" s="263"/>
      <c r="B599" s="263"/>
      <c r="C599" s="309"/>
      <c r="D599" s="263"/>
      <c r="E599" s="263"/>
      <c r="F599" s="263"/>
      <c r="G599" s="263"/>
      <c r="H599" s="263"/>
      <c r="I599" s="263"/>
      <c r="J599" s="263"/>
      <c r="K599" s="263"/>
      <c r="L599" s="263"/>
      <c r="M599" s="263"/>
      <c r="N599" s="263"/>
      <c r="O599" s="263"/>
      <c r="P599" s="263"/>
      <c r="Q599" s="263"/>
      <c r="R599" s="263"/>
      <c r="S599" s="263"/>
      <c r="T599" s="263"/>
      <c r="U599" s="263"/>
      <c r="V599" s="263"/>
      <c r="W599" s="263"/>
      <c r="X599" s="263"/>
      <c r="Y599" s="263"/>
      <c r="Z599" s="263"/>
      <c r="AA599" s="263"/>
      <c r="AB599" s="263"/>
    </row>
    <row r="600" spans="1:28" ht="16" x14ac:dyDescent="0.2">
      <c r="A600" s="263"/>
      <c r="B600" s="263"/>
      <c r="C600" s="309"/>
      <c r="D600" s="263"/>
      <c r="E600" s="263"/>
      <c r="F600" s="263"/>
      <c r="G600" s="263"/>
      <c r="H600" s="263"/>
      <c r="I600" s="263"/>
      <c r="J600" s="263"/>
      <c r="K600" s="263"/>
      <c r="L600" s="263"/>
      <c r="M600" s="263"/>
      <c r="N600" s="263"/>
      <c r="O600" s="263"/>
      <c r="P600" s="263"/>
      <c r="Q600" s="263"/>
      <c r="R600" s="263"/>
      <c r="S600" s="263"/>
      <c r="T600" s="263"/>
      <c r="U600" s="263"/>
      <c r="V600" s="263"/>
      <c r="W600" s="263"/>
      <c r="X600" s="263"/>
      <c r="Y600" s="263"/>
      <c r="Z600" s="263"/>
      <c r="AA600" s="263"/>
      <c r="AB600" s="263"/>
    </row>
    <row r="601" spans="1:28" ht="16" x14ac:dyDescent="0.2">
      <c r="A601" s="263"/>
      <c r="B601" s="263"/>
      <c r="C601" s="309"/>
      <c r="D601" s="263"/>
      <c r="E601" s="263"/>
      <c r="F601" s="263"/>
      <c r="G601" s="263"/>
      <c r="H601" s="263"/>
      <c r="I601" s="263"/>
      <c r="J601" s="263"/>
      <c r="K601" s="263"/>
      <c r="L601" s="263"/>
      <c r="M601" s="263"/>
      <c r="N601" s="263"/>
      <c r="O601" s="263"/>
      <c r="P601" s="263"/>
      <c r="Q601" s="263"/>
      <c r="R601" s="263"/>
      <c r="S601" s="263"/>
      <c r="T601" s="263"/>
      <c r="U601" s="263"/>
      <c r="V601" s="263"/>
      <c r="W601" s="263"/>
      <c r="X601" s="263"/>
      <c r="Y601" s="263"/>
      <c r="Z601" s="263"/>
      <c r="AA601" s="263"/>
      <c r="AB601" s="263"/>
    </row>
    <row r="602" spans="1:28" ht="16" x14ac:dyDescent="0.2">
      <c r="A602" s="263"/>
      <c r="B602" s="263"/>
      <c r="C602" s="309"/>
      <c r="D602" s="263"/>
      <c r="E602" s="263"/>
      <c r="F602" s="263"/>
      <c r="G602" s="263"/>
      <c r="H602" s="263"/>
      <c r="I602" s="263"/>
      <c r="J602" s="263"/>
      <c r="K602" s="263"/>
      <c r="L602" s="263"/>
      <c r="M602" s="263"/>
      <c r="N602" s="263"/>
      <c r="O602" s="263"/>
      <c r="P602" s="263"/>
      <c r="Q602" s="263"/>
      <c r="R602" s="263"/>
      <c r="S602" s="263"/>
      <c r="T602" s="263"/>
      <c r="U602" s="263"/>
      <c r="V602" s="263"/>
      <c r="W602" s="263"/>
      <c r="X602" s="263"/>
      <c r="Y602" s="263"/>
      <c r="Z602" s="263"/>
      <c r="AA602" s="263"/>
      <c r="AB602" s="263"/>
    </row>
    <row r="603" spans="1:28" ht="16" x14ac:dyDescent="0.2">
      <c r="A603" s="263"/>
      <c r="B603" s="263"/>
      <c r="C603" s="309"/>
      <c r="D603" s="263"/>
      <c r="E603" s="263"/>
      <c r="F603" s="263"/>
      <c r="G603" s="263"/>
      <c r="H603" s="263"/>
      <c r="I603" s="263"/>
      <c r="J603" s="263"/>
      <c r="K603" s="263"/>
      <c r="L603" s="263"/>
      <c r="M603" s="263"/>
      <c r="N603" s="263"/>
      <c r="O603" s="263"/>
      <c r="P603" s="263"/>
      <c r="Q603" s="263"/>
      <c r="R603" s="263"/>
      <c r="S603" s="263"/>
      <c r="T603" s="263"/>
      <c r="U603" s="263"/>
      <c r="V603" s="263"/>
      <c r="W603" s="263"/>
      <c r="X603" s="263"/>
      <c r="Y603" s="263"/>
      <c r="Z603" s="263"/>
      <c r="AA603" s="263"/>
      <c r="AB603" s="263"/>
    </row>
    <row r="604" spans="1:28" ht="16" x14ac:dyDescent="0.2">
      <c r="A604" s="263"/>
      <c r="B604" s="263"/>
      <c r="C604" s="309"/>
      <c r="D604" s="263"/>
      <c r="E604" s="263"/>
      <c r="F604" s="263"/>
      <c r="G604" s="263"/>
      <c r="H604" s="263"/>
      <c r="I604" s="263"/>
      <c r="J604" s="263"/>
      <c r="K604" s="263"/>
      <c r="L604" s="263"/>
      <c r="M604" s="263"/>
      <c r="N604" s="263"/>
      <c r="O604" s="263"/>
      <c r="P604" s="263"/>
      <c r="Q604" s="263"/>
      <c r="R604" s="263"/>
      <c r="S604" s="263"/>
      <c r="T604" s="263"/>
      <c r="U604" s="263"/>
      <c r="V604" s="263"/>
      <c r="W604" s="263"/>
      <c r="X604" s="263"/>
      <c r="Y604" s="263"/>
      <c r="Z604" s="263"/>
      <c r="AA604" s="263"/>
      <c r="AB604" s="263"/>
    </row>
    <row r="605" spans="1:28" ht="16" x14ac:dyDescent="0.2">
      <c r="A605" s="263"/>
      <c r="B605" s="263"/>
      <c r="C605" s="309"/>
      <c r="D605" s="263"/>
      <c r="E605" s="263"/>
      <c r="F605" s="263"/>
      <c r="G605" s="263"/>
      <c r="H605" s="263"/>
      <c r="I605" s="263"/>
      <c r="J605" s="263"/>
      <c r="K605" s="263"/>
      <c r="L605" s="263"/>
      <c r="M605" s="263"/>
      <c r="N605" s="263"/>
      <c r="O605" s="263"/>
      <c r="P605" s="263"/>
      <c r="Q605" s="263"/>
      <c r="R605" s="263"/>
      <c r="S605" s="263"/>
      <c r="T605" s="263"/>
      <c r="U605" s="263"/>
      <c r="V605" s="263"/>
      <c r="W605" s="263"/>
      <c r="X605" s="263"/>
      <c r="Y605" s="263"/>
      <c r="Z605" s="263"/>
      <c r="AA605" s="263"/>
      <c r="AB605" s="263"/>
    </row>
    <row r="606" spans="1:28" ht="16" x14ac:dyDescent="0.2">
      <c r="A606" s="263"/>
      <c r="B606" s="263"/>
      <c r="C606" s="309"/>
      <c r="D606" s="263"/>
      <c r="E606" s="263"/>
      <c r="F606" s="263"/>
      <c r="G606" s="263"/>
      <c r="H606" s="263"/>
      <c r="I606" s="263"/>
      <c r="J606" s="263"/>
      <c r="K606" s="263"/>
      <c r="L606" s="263"/>
      <c r="M606" s="263"/>
      <c r="N606" s="263"/>
      <c r="O606" s="263"/>
      <c r="P606" s="263"/>
      <c r="Q606" s="263"/>
      <c r="R606" s="263"/>
      <c r="S606" s="263"/>
      <c r="T606" s="263"/>
      <c r="U606" s="263"/>
      <c r="V606" s="263"/>
      <c r="W606" s="263"/>
      <c r="X606" s="263"/>
      <c r="Y606" s="263"/>
      <c r="Z606" s="263"/>
      <c r="AA606" s="263"/>
      <c r="AB606" s="263"/>
    </row>
    <row r="607" spans="1:28" ht="16" x14ac:dyDescent="0.2">
      <c r="A607" s="263"/>
      <c r="B607" s="263"/>
      <c r="C607" s="309"/>
      <c r="D607" s="263"/>
      <c r="E607" s="263"/>
      <c r="F607" s="263"/>
      <c r="G607" s="263"/>
      <c r="H607" s="263"/>
      <c r="I607" s="263"/>
      <c r="J607" s="263"/>
      <c r="K607" s="263"/>
      <c r="L607" s="263"/>
      <c r="M607" s="263"/>
      <c r="N607" s="263"/>
      <c r="O607" s="263"/>
      <c r="P607" s="263"/>
      <c r="Q607" s="263"/>
      <c r="R607" s="263"/>
      <c r="S607" s="263"/>
      <c r="T607" s="263"/>
      <c r="U607" s="263"/>
      <c r="V607" s="263"/>
      <c r="W607" s="263"/>
      <c r="X607" s="263"/>
      <c r="Y607" s="263"/>
      <c r="Z607" s="263"/>
      <c r="AA607" s="263"/>
      <c r="AB607" s="263"/>
    </row>
    <row r="608" spans="1:28" ht="16" x14ac:dyDescent="0.2">
      <c r="A608" s="263"/>
      <c r="B608" s="263"/>
      <c r="C608" s="309"/>
      <c r="D608" s="263"/>
      <c r="E608" s="263"/>
      <c r="F608" s="263"/>
      <c r="G608" s="263"/>
      <c r="H608" s="263"/>
      <c r="I608" s="263"/>
      <c r="J608" s="263"/>
      <c r="K608" s="263"/>
      <c r="L608" s="263"/>
      <c r="M608" s="263"/>
      <c r="N608" s="263"/>
      <c r="O608" s="263"/>
      <c r="P608" s="263"/>
      <c r="Q608" s="263"/>
      <c r="R608" s="263"/>
      <c r="S608" s="263"/>
      <c r="T608" s="263"/>
      <c r="U608" s="263"/>
      <c r="V608" s="263"/>
      <c r="W608" s="263"/>
      <c r="X608" s="263"/>
      <c r="Y608" s="263"/>
      <c r="Z608" s="263"/>
      <c r="AA608" s="263"/>
      <c r="AB608" s="263"/>
    </row>
    <row r="609" spans="1:28" ht="16" x14ac:dyDescent="0.2">
      <c r="A609" s="263"/>
      <c r="B609" s="263"/>
      <c r="C609" s="309"/>
      <c r="D609" s="263"/>
      <c r="E609" s="263"/>
      <c r="F609" s="263"/>
      <c r="G609" s="263"/>
      <c r="H609" s="263"/>
      <c r="I609" s="263"/>
      <c r="J609" s="263"/>
      <c r="K609" s="263"/>
      <c r="L609" s="263"/>
      <c r="M609" s="263"/>
      <c r="N609" s="263"/>
      <c r="O609" s="263"/>
      <c r="P609" s="263"/>
      <c r="Q609" s="263"/>
      <c r="R609" s="263"/>
      <c r="S609" s="263"/>
      <c r="T609" s="263"/>
      <c r="U609" s="263"/>
      <c r="V609" s="263"/>
      <c r="W609" s="263"/>
      <c r="X609" s="263"/>
      <c r="Y609" s="263"/>
      <c r="Z609" s="263"/>
      <c r="AA609" s="263"/>
      <c r="AB609" s="263"/>
    </row>
    <row r="610" spans="1:28" ht="16" x14ac:dyDescent="0.2">
      <c r="A610" s="263"/>
      <c r="B610" s="263"/>
      <c r="C610" s="309"/>
      <c r="D610" s="263"/>
      <c r="E610" s="263"/>
      <c r="F610" s="263"/>
      <c r="G610" s="263"/>
      <c r="H610" s="263"/>
      <c r="I610" s="263"/>
      <c r="J610" s="263"/>
      <c r="K610" s="263"/>
      <c r="L610" s="263"/>
      <c r="M610" s="263"/>
      <c r="N610" s="263"/>
      <c r="O610" s="263"/>
      <c r="P610" s="263"/>
      <c r="Q610" s="263"/>
      <c r="R610" s="263"/>
      <c r="S610" s="263"/>
      <c r="T610" s="263"/>
      <c r="U610" s="263"/>
      <c r="V610" s="263"/>
      <c r="W610" s="263"/>
      <c r="X610" s="263"/>
      <c r="Y610" s="263"/>
      <c r="Z610" s="263"/>
      <c r="AA610" s="263"/>
      <c r="AB610" s="263"/>
    </row>
    <row r="611" spans="1:28" ht="16" x14ac:dyDescent="0.2">
      <c r="A611" s="263"/>
      <c r="B611" s="263"/>
      <c r="C611" s="309"/>
      <c r="D611" s="263"/>
      <c r="E611" s="263"/>
      <c r="F611" s="263"/>
      <c r="G611" s="263"/>
      <c r="H611" s="263"/>
      <c r="I611" s="263"/>
      <c r="J611" s="263"/>
      <c r="K611" s="263"/>
      <c r="L611" s="263"/>
      <c r="M611" s="263"/>
      <c r="N611" s="263"/>
      <c r="O611" s="263"/>
      <c r="P611" s="263"/>
      <c r="Q611" s="263"/>
      <c r="R611" s="263"/>
      <c r="S611" s="263"/>
      <c r="T611" s="263"/>
      <c r="U611" s="263"/>
      <c r="V611" s="263"/>
      <c r="W611" s="263"/>
      <c r="X611" s="263"/>
      <c r="Y611" s="263"/>
      <c r="Z611" s="263"/>
      <c r="AA611" s="263"/>
      <c r="AB611" s="263"/>
    </row>
    <row r="612" spans="1:28" ht="16" x14ac:dyDescent="0.2">
      <c r="A612" s="263"/>
      <c r="B612" s="263"/>
      <c r="C612" s="309"/>
      <c r="D612" s="263"/>
      <c r="E612" s="263"/>
      <c r="F612" s="263"/>
      <c r="G612" s="263"/>
      <c r="H612" s="263"/>
      <c r="I612" s="263"/>
      <c r="J612" s="263"/>
      <c r="K612" s="263"/>
      <c r="L612" s="263"/>
      <c r="M612" s="263"/>
      <c r="N612" s="263"/>
      <c r="O612" s="263"/>
      <c r="P612" s="263"/>
      <c r="Q612" s="263"/>
      <c r="R612" s="263"/>
      <c r="S612" s="263"/>
      <c r="T612" s="263"/>
      <c r="U612" s="263"/>
      <c r="V612" s="263"/>
      <c r="W612" s="263"/>
      <c r="X612" s="263"/>
      <c r="Y612" s="263"/>
      <c r="Z612" s="263"/>
      <c r="AA612" s="263"/>
      <c r="AB612" s="263"/>
    </row>
    <row r="613" spans="1:28" ht="16" x14ac:dyDescent="0.2">
      <c r="A613" s="263"/>
      <c r="B613" s="263"/>
      <c r="C613" s="309"/>
      <c r="D613" s="263"/>
      <c r="E613" s="263"/>
      <c r="F613" s="263"/>
      <c r="G613" s="263"/>
      <c r="H613" s="263"/>
      <c r="I613" s="263"/>
      <c r="J613" s="263"/>
      <c r="K613" s="263"/>
      <c r="L613" s="263"/>
      <c r="M613" s="263"/>
      <c r="N613" s="263"/>
      <c r="O613" s="263"/>
      <c r="P613" s="263"/>
      <c r="Q613" s="263"/>
      <c r="R613" s="263"/>
      <c r="S613" s="263"/>
      <c r="T613" s="263"/>
      <c r="U613" s="263"/>
      <c r="V613" s="263"/>
      <c r="W613" s="263"/>
      <c r="X613" s="263"/>
      <c r="Y613" s="263"/>
      <c r="Z613" s="263"/>
      <c r="AA613" s="263"/>
      <c r="AB613" s="263"/>
    </row>
    <row r="614" spans="1:28" ht="16" x14ac:dyDescent="0.2">
      <c r="A614" s="263"/>
      <c r="B614" s="263"/>
      <c r="C614" s="309"/>
      <c r="D614" s="263"/>
      <c r="E614" s="263"/>
      <c r="F614" s="263"/>
      <c r="G614" s="263"/>
      <c r="H614" s="263"/>
      <c r="I614" s="263"/>
      <c r="J614" s="263"/>
      <c r="K614" s="263"/>
      <c r="L614" s="263"/>
      <c r="M614" s="263"/>
      <c r="N614" s="263"/>
      <c r="O614" s="263"/>
      <c r="P614" s="263"/>
      <c r="Q614" s="263"/>
      <c r="R614" s="263"/>
      <c r="S614" s="263"/>
      <c r="T614" s="263"/>
      <c r="U614" s="263"/>
      <c r="V614" s="263"/>
      <c r="W614" s="263"/>
      <c r="X614" s="263"/>
      <c r="Y614" s="263"/>
      <c r="Z614" s="263"/>
      <c r="AA614" s="263"/>
      <c r="AB614" s="263"/>
    </row>
    <row r="615" spans="1:28" ht="16" x14ac:dyDescent="0.2">
      <c r="A615" s="263"/>
      <c r="B615" s="263"/>
      <c r="C615" s="309"/>
      <c r="D615" s="263"/>
      <c r="E615" s="263"/>
      <c r="F615" s="263"/>
      <c r="G615" s="263"/>
      <c r="H615" s="263"/>
      <c r="I615" s="263"/>
      <c r="J615" s="263"/>
      <c r="K615" s="263"/>
      <c r="L615" s="263"/>
      <c r="M615" s="263"/>
      <c r="N615" s="263"/>
      <c r="O615" s="263"/>
      <c r="P615" s="263"/>
      <c r="Q615" s="263"/>
      <c r="R615" s="263"/>
      <c r="S615" s="263"/>
      <c r="T615" s="263"/>
      <c r="U615" s="263"/>
      <c r="V615" s="263"/>
      <c r="W615" s="263"/>
      <c r="X615" s="263"/>
      <c r="Y615" s="263"/>
      <c r="Z615" s="263"/>
      <c r="AA615" s="263"/>
      <c r="AB615" s="263"/>
    </row>
    <row r="616" spans="1:28" ht="16" x14ac:dyDescent="0.2">
      <c r="A616" s="263"/>
      <c r="B616" s="263"/>
      <c r="C616" s="309"/>
      <c r="D616" s="263"/>
      <c r="E616" s="263"/>
      <c r="F616" s="263"/>
      <c r="G616" s="263"/>
      <c r="H616" s="263"/>
      <c r="I616" s="263"/>
      <c r="J616" s="263"/>
      <c r="K616" s="263"/>
      <c r="L616" s="263"/>
      <c r="M616" s="263"/>
      <c r="N616" s="263"/>
      <c r="O616" s="263"/>
      <c r="P616" s="263"/>
      <c r="Q616" s="263"/>
      <c r="R616" s="263"/>
      <c r="S616" s="263"/>
      <c r="T616" s="263"/>
      <c r="U616" s="263"/>
      <c r="V616" s="263"/>
      <c r="W616" s="263"/>
      <c r="X616" s="263"/>
      <c r="Y616" s="263"/>
      <c r="Z616" s="263"/>
      <c r="AA616" s="263"/>
      <c r="AB616" s="263"/>
    </row>
    <row r="617" spans="1:28" ht="16" x14ac:dyDescent="0.2">
      <c r="A617" s="263"/>
      <c r="B617" s="263"/>
      <c r="C617" s="309"/>
      <c r="D617" s="263"/>
      <c r="E617" s="263"/>
      <c r="F617" s="263"/>
      <c r="G617" s="263"/>
      <c r="H617" s="263"/>
      <c r="I617" s="263"/>
      <c r="J617" s="263"/>
      <c r="K617" s="263"/>
      <c r="L617" s="263"/>
      <c r="M617" s="263"/>
      <c r="N617" s="263"/>
      <c r="O617" s="263"/>
      <c r="P617" s="263"/>
      <c r="Q617" s="263"/>
      <c r="R617" s="263"/>
      <c r="S617" s="263"/>
      <c r="T617" s="263"/>
      <c r="U617" s="263"/>
      <c r="V617" s="263"/>
      <c r="W617" s="263"/>
      <c r="X617" s="263"/>
      <c r="Y617" s="263"/>
      <c r="Z617" s="263"/>
      <c r="AA617" s="263"/>
      <c r="AB617" s="263"/>
    </row>
    <row r="618" spans="1:28" ht="16" x14ac:dyDescent="0.2">
      <c r="A618" s="263"/>
      <c r="B618" s="263"/>
      <c r="C618" s="309"/>
      <c r="D618" s="263"/>
      <c r="E618" s="263"/>
      <c r="F618" s="263"/>
      <c r="G618" s="263"/>
      <c r="H618" s="263"/>
      <c r="I618" s="263"/>
      <c r="J618" s="263"/>
      <c r="K618" s="263"/>
      <c r="L618" s="263"/>
      <c r="M618" s="263"/>
      <c r="N618" s="263"/>
      <c r="O618" s="263"/>
      <c r="P618" s="263"/>
      <c r="Q618" s="263"/>
      <c r="R618" s="263"/>
      <c r="S618" s="263"/>
      <c r="T618" s="263"/>
      <c r="U618" s="263"/>
      <c r="V618" s="263"/>
      <c r="W618" s="263"/>
      <c r="X618" s="263"/>
      <c r="Y618" s="263"/>
      <c r="Z618" s="263"/>
      <c r="AA618" s="263"/>
      <c r="AB618" s="263"/>
    </row>
    <row r="619" spans="1:28" ht="16" x14ac:dyDescent="0.2">
      <c r="A619" s="263"/>
      <c r="B619" s="263"/>
      <c r="C619" s="309"/>
      <c r="D619" s="263"/>
      <c r="E619" s="263"/>
      <c r="F619" s="263"/>
      <c r="G619" s="263"/>
      <c r="H619" s="263"/>
      <c r="I619" s="263"/>
      <c r="J619" s="263"/>
      <c r="K619" s="263"/>
      <c r="L619" s="263"/>
      <c r="M619" s="263"/>
      <c r="N619" s="263"/>
      <c r="O619" s="263"/>
      <c r="P619" s="263"/>
      <c r="Q619" s="263"/>
      <c r="R619" s="263"/>
      <c r="S619" s="263"/>
      <c r="T619" s="263"/>
      <c r="U619" s="263"/>
      <c r="V619" s="263"/>
      <c r="W619" s="263"/>
      <c r="X619" s="263"/>
      <c r="Y619" s="263"/>
      <c r="Z619" s="263"/>
      <c r="AA619" s="263"/>
      <c r="AB619" s="263"/>
    </row>
    <row r="620" spans="1:28" ht="16" x14ac:dyDescent="0.2">
      <c r="A620" s="263"/>
      <c r="B620" s="263"/>
      <c r="C620" s="309"/>
      <c r="D620" s="263"/>
      <c r="E620" s="263"/>
      <c r="F620" s="263"/>
      <c r="G620" s="263"/>
      <c r="H620" s="263"/>
      <c r="I620" s="263"/>
      <c r="J620" s="263"/>
      <c r="K620" s="263"/>
      <c r="L620" s="263"/>
      <c r="M620" s="263"/>
      <c r="N620" s="263"/>
      <c r="O620" s="263"/>
      <c r="P620" s="263"/>
      <c r="Q620" s="263"/>
      <c r="R620" s="263"/>
      <c r="S620" s="263"/>
      <c r="T620" s="263"/>
      <c r="U620" s="263"/>
      <c r="V620" s="263"/>
      <c r="W620" s="263"/>
      <c r="X620" s="263"/>
      <c r="Y620" s="263"/>
      <c r="Z620" s="263"/>
      <c r="AA620" s="263"/>
      <c r="AB620" s="263"/>
    </row>
    <row r="621" spans="1:28" ht="16" x14ac:dyDescent="0.2">
      <c r="A621" s="263"/>
      <c r="B621" s="263"/>
      <c r="C621" s="309"/>
      <c r="D621" s="263"/>
      <c r="E621" s="263"/>
      <c r="F621" s="263"/>
      <c r="G621" s="263"/>
      <c r="H621" s="263"/>
      <c r="I621" s="263"/>
      <c r="J621" s="263"/>
      <c r="K621" s="263"/>
      <c r="L621" s="263"/>
      <c r="M621" s="263"/>
      <c r="N621" s="263"/>
      <c r="O621" s="263"/>
      <c r="P621" s="263"/>
      <c r="Q621" s="263"/>
      <c r="R621" s="263"/>
      <c r="S621" s="263"/>
      <c r="T621" s="263"/>
      <c r="U621" s="263"/>
      <c r="V621" s="263"/>
      <c r="W621" s="263"/>
      <c r="X621" s="263"/>
      <c r="Y621" s="263"/>
      <c r="Z621" s="263"/>
      <c r="AA621" s="263"/>
      <c r="AB621" s="263"/>
    </row>
    <row r="622" spans="1:28" ht="16" x14ac:dyDescent="0.2">
      <c r="A622" s="263"/>
      <c r="B622" s="263"/>
      <c r="C622" s="309"/>
      <c r="D622" s="263"/>
      <c r="E622" s="263"/>
      <c r="F622" s="263"/>
      <c r="G622" s="263"/>
      <c r="H622" s="263"/>
      <c r="I622" s="263"/>
      <c r="J622" s="263"/>
      <c r="K622" s="263"/>
      <c r="L622" s="263"/>
      <c r="M622" s="263"/>
      <c r="N622" s="263"/>
      <c r="O622" s="263"/>
      <c r="P622" s="263"/>
      <c r="Q622" s="263"/>
      <c r="R622" s="263"/>
      <c r="S622" s="263"/>
      <c r="T622" s="263"/>
      <c r="U622" s="263"/>
      <c r="V622" s="263"/>
      <c r="W622" s="263"/>
      <c r="X622" s="263"/>
      <c r="Y622" s="263"/>
      <c r="Z622" s="263"/>
      <c r="AA622" s="263"/>
      <c r="AB622" s="263"/>
    </row>
    <row r="623" spans="1:28" ht="16" x14ac:dyDescent="0.2">
      <c r="A623" s="263"/>
      <c r="B623" s="263"/>
      <c r="C623" s="309"/>
      <c r="D623" s="263"/>
      <c r="E623" s="263"/>
      <c r="F623" s="263"/>
      <c r="G623" s="263"/>
      <c r="H623" s="263"/>
      <c r="I623" s="263"/>
      <c r="J623" s="263"/>
      <c r="K623" s="263"/>
      <c r="L623" s="263"/>
      <c r="M623" s="263"/>
      <c r="N623" s="263"/>
      <c r="O623" s="263"/>
      <c r="P623" s="263"/>
      <c r="Q623" s="263"/>
      <c r="R623" s="263"/>
      <c r="S623" s="263"/>
      <c r="T623" s="263"/>
      <c r="U623" s="263"/>
      <c r="V623" s="263"/>
      <c r="W623" s="263"/>
      <c r="X623" s="263"/>
      <c r="Y623" s="263"/>
      <c r="Z623" s="263"/>
      <c r="AA623" s="263"/>
      <c r="AB623" s="263"/>
    </row>
    <row r="624" spans="1:28" ht="16" x14ac:dyDescent="0.2">
      <c r="A624" s="263"/>
      <c r="B624" s="263"/>
      <c r="C624" s="309"/>
      <c r="D624" s="263"/>
      <c r="E624" s="263"/>
      <c r="F624" s="263"/>
      <c r="G624" s="263"/>
      <c r="H624" s="263"/>
      <c r="I624" s="263"/>
      <c r="J624" s="263"/>
      <c r="K624" s="263"/>
      <c r="L624" s="263"/>
      <c r="M624" s="263"/>
      <c r="N624" s="263"/>
      <c r="O624" s="263"/>
      <c r="P624" s="263"/>
      <c r="Q624" s="263"/>
      <c r="R624" s="263"/>
      <c r="S624" s="263"/>
      <c r="T624" s="263"/>
      <c r="U624" s="263"/>
      <c r="V624" s="263"/>
      <c r="W624" s="263"/>
      <c r="X624" s="263"/>
      <c r="Y624" s="263"/>
      <c r="Z624" s="263"/>
      <c r="AA624" s="263"/>
      <c r="AB624" s="263"/>
    </row>
    <row r="625" spans="1:28" ht="16" x14ac:dyDescent="0.2">
      <c r="A625" s="263"/>
      <c r="B625" s="263"/>
      <c r="C625" s="309"/>
      <c r="D625" s="263"/>
      <c r="E625" s="263"/>
      <c r="F625" s="263"/>
      <c r="G625" s="263"/>
      <c r="H625" s="263"/>
      <c r="I625" s="263"/>
      <c r="J625" s="263"/>
      <c r="K625" s="263"/>
      <c r="L625" s="263"/>
      <c r="M625" s="263"/>
      <c r="N625" s="263"/>
      <c r="O625" s="263"/>
      <c r="P625" s="263"/>
      <c r="Q625" s="263"/>
      <c r="R625" s="263"/>
      <c r="S625" s="263"/>
      <c r="T625" s="263"/>
      <c r="U625" s="263"/>
      <c r="V625" s="263"/>
      <c r="W625" s="263"/>
      <c r="X625" s="263"/>
      <c r="Y625" s="263"/>
      <c r="Z625" s="263"/>
      <c r="AA625" s="263"/>
      <c r="AB625" s="263"/>
    </row>
    <row r="626" spans="1:28" ht="16" x14ac:dyDescent="0.2">
      <c r="A626" s="263"/>
      <c r="B626" s="263"/>
      <c r="C626" s="309"/>
      <c r="D626" s="263"/>
      <c r="E626" s="263"/>
      <c r="F626" s="263"/>
      <c r="G626" s="263"/>
      <c r="H626" s="263"/>
      <c r="I626" s="263"/>
      <c r="J626" s="263"/>
      <c r="K626" s="263"/>
      <c r="L626" s="263"/>
      <c r="M626" s="263"/>
      <c r="N626" s="263"/>
      <c r="O626" s="263"/>
      <c r="P626" s="263"/>
      <c r="Q626" s="263"/>
      <c r="R626" s="263"/>
      <c r="S626" s="263"/>
      <c r="T626" s="263"/>
      <c r="U626" s="263"/>
      <c r="V626" s="263"/>
      <c r="W626" s="263"/>
      <c r="X626" s="263"/>
      <c r="Y626" s="263"/>
      <c r="Z626" s="263"/>
      <c r="AA626" s="263"/>
      <c r="AB626" s="263"/>
    </row>
    <row r="627" spans="1:28" ht="16" x14ac:dyDescent="0.2">
      <c r="A627" s="263"/>
      <c r="B627" s="263"/>
      <c r="C627" s="309"/>
      <c r="D627" s="263"/>
      <c r="E627" s="263"/>
      <c r="F627" s="263"/>
      <c r="G627" s="263"/>
      <c r="H627" s="263"/>
      <c r="I627" s="263"/>
      <c r="J627" s="263"/>
      <c r="K627" s="263"/>
      <c r="L627" s="263"/>
      <c r="M627" s="263"/>
      <c r="N627" s="263"/>
      <c r="O627" s="263"/>
      <c r="P627" s="263"/>
      <c r="Q627" s="263"/>
      <c r="R627" s="263"/>
      <c r="S627" s="263"/>
      <c r="T627" s="263"/>
      <c r="U627" s="263"/>
      <c r="V627" s="263"/>
      <c r="W627" s="263"/>
      <c r="X627" s="263"/>
      <c r="Y627" s="263"/>
      <c r="Z627" s="263"/>
      <c r="AA627" s="263"/>
      <c r="AB627" s="263"/>
    </row>
    <row r="628" spans="1:28" ht="16" x14ac:dyDescent="0.2">
      <c r="A628" s="263"/>
      <c r="B628" s="263"/>
      <c r="C628" s="309"/>
      <c r="D628" s="263"/>
      <c r="E628" s="263"/>
      <c r="F628" s="263"/>
      <c r="G628" s="263"/>
      <c r="H628" s="263"/>
      <c r="I628" s="263"/>
      <c r="J628" s="263"/>
      <c r="K628" s="263"/>
      <c r="L628" s="263"/>
      <c r="M628" s="263"/>
      <c r="N628" s="263"/>
      <c r="O628" s="263"/>
      <c r="P628" s="263"/>
      <c r="Q628" s="263"/>
      <c r="R628" s="263"/>
      <c r="S628" s="263"/>
      <c r="T628" s="263"/>
      <c r="U628" s="263"/>
      <c r="V628" s="263"/>
      <c r="W628" s="263"/>
      <c r="X628" s="263"/>
      <c r="Y628" s="263"/>
      <c r="Z628" s="263"/>
      <c r="AA628" s="263"/>
      <c r="AB628" s="263"/>
    </row>
    <row r="629" spans="1:28" ht="16" x14ac:dyDescent="0.2">
      <c r="A629" s="263"/>
      <c r="B629" s="263"/>
      <c r="C629" s="309"/>
      <c r="D629" s="263"/>
      <c r="E629" s="263"/>
      <c r="F629" s="263"/>
      <c r="G629" s="263"/>
      <c r="H629" s="263"/>
      <c r="I629" s="263"/>
      <c r="J629" s="263"/>
      <c r="K629" s="263"/>
      <c r="L629" s="263"/>
      <c r="M629" s="263"/>
      <c r="N629" s="263"/>
      <c r="O629" s="263"/>
      <c r="P629" s="263"/>
      <c r="Q629" s="263"/>
      <c r="R629" s="263"/>
      <c r="S629" s="263"/>
      <c r="T629" s="263"/>
      <c r="U629" s="263"/>
      <c r="V629" s="263"/>
      <c r="W629" s="263"/>
      <c r="X629" s="263"/>
      <c r="Y629" s="263"/>
      <c r="Z629" s="263"/>
      <c r="AA629" s="263"/>
      <c r="AB629" s="263"/>
    </row>
    <row r="630" spans="1:28" ht="16" x14ac:dyDescent="0.2">
      <c r="A630" s="263"/>
      <c r="B630" s="263"/>
      <c r="C630" s="309"/>
      <c r="D630" s="263"/>
      <c r="E630" s="263"/>
      <c r="F630" s="263"/>
      <c r="G630" s="263"/>
      <c r="H630" s="263"/>
      <c r="I630" s="263"/>
      <c r="J630" s="263"/>
      <c r="K630" s="263"/>
      <c r="L630" s="263"/>
      <c r="M630" s="263"/>
      <c r="N630" s="263"/>
      <c r="O630" s="263"/>
      <c r="P630" s="263"/>
      <c r="Q630" s="263"/>
      <c r="R630" s="263"/>
      <c r="S630" s="263"/>
      <c r="T630" s="263"/>
      <c r="U630" s="263"/>
      <c r="V630" s="263"/>
      <c r="W630" s="263"/>
      <c r="X630" s="263"/>
      <c r="Y630" s="263"/>
      <c r="Z630" s="263"/>
      <c r="AA630" s="263"/>
      <c r="AB630" s="263"/>
    </row>
    <row r="631" spans="1:28" ht="16" x14ac:dyDescent="0.2">
      <c r="A631" s="263"/>
      <c r="B631" s="263"/>
      <c r="C631" s="309"/>
      <c r="D631" s="263"/>
      <c r="E631" s="263"/>
      <c r="F631" s="263"/>
      <c r="G631" s="263"/>
      <c r="H631" s="263"/>
      <c r="I631" s="263"/>
      <c r="J631" s="263"/>
      <c r="K631" s="263"/>
      <c r="L631" s="263"/>
      <c r="M631" s="263"/>
      <c r="N631" s="263"/>
      <c r="O631" s="263"/>
      <c r="P631" s="263"/>
      <c r="Q631" s="263"/>
      <c r="R631" s="263"/>
      <c r="S631" s="263"/>
      <c r="T631" s="263"/>
      <c r="U631" s="263"/>
      <c r="V631" s="263"/>
      <c r="W631" s="263"/>
      <c r="X631" s="263"/>
      <c r="Y631" s="263"/>
      <c r="Z631" s="263"/>
      <c r="AA631" s="263"/>
      <c r="AB631" s="263"/>
    </row>
    <row r="632" spans="1:28" ht="16" x14ac:dyDescent="0.2">
      <c r="A632" s="263"/>
      <c r="B632" s="263"/>
      <c r="C632" s="309"/>
      <c r="D632" s="263"/>
      <c r="E632" s="263"/>
      <c r="F632" s="263"/>
      <c r="G632" s="263"/>
      <c r="H632" s="263"/>
      <c r="I632" s="263"/>
      <c r="J632" s="263"/>
      <c r="K632" s="263"/>
      <c r="L632" s="263"/>
      <c r="M632" s="263"/>
      <c r="N632" s="263"/>
      <c r="O632" s="263"/>
      <c r="P632" s="263"/>
      <c r="Q632" s="263"/>
      <c r="R632" s="263"/>
      <c r="S632" s="263"/>
      <c r="T632" s="263"/>
      <c r="U632" s="263"/>
      <c r="V632" s="263"/>
      <c r="W632" s="263"/>
      <c r="X632" s="263"/>
      <c r="Y632" s="263"/>
      <c r="Z632" s="263"/>
      <c r="AA632" s="263"/>
      <c r="AB632" s="263"/>
    </row>
    <row r="633" spans="1:28" ht="16" x14ac:dyDescent="0.2">
      <c r="A633" s="263"/>
      <c r="B633" s="263"/>
      <c r="C633" s="309"/>
      <c r="D633" s="263"/>
      <c r="E633" s="263"/>
      <c r="F633" s="263"/>
      <c r="G633" s="263"/>
      <c r="H633" s="263"/>
      <c r="I633" s="263"/>
      <c r="J633" s="263"/>
      <c r="K633" s="263"/>
      <c r="L633" s="263"/>
      <c r="M633" s="263"/>
      <c r="N633" s="263"/>
      <c r="O633" s="263"/>
      <c r="P633" s="263"/>
      <c r="Q633" s="263"/>
      <c r="R633" s="263"/>
      <c r="S633" s="263"/>
      <c r="T633" s="263"/>
      <c r="U633" s="263"/>
      <c r="V633" s="263"/>
      <c r="W633" s="263"/>
      <c r="X633" s="263"/>
      <c r="Y633" s="263"/>
      <c r="Z633" s="263"/>
      <c r="AA633" s="263"/>
      <c r="AB633" s="263"/>
    </row>
    <row r="634" spans="1:28" ht="16" x14ac:dyDescent="0.2">
      <c r="A634" s="263"/>
      <c r="B634" s="263"/>
      <c r="C634" s="309"/>
      <c r="D634" s="263"/>
      <c r="E634" s="263"/>
      <c r="F634" s="263"/>
      <c r="G634" s="263"/>
      <c r="H634" s="263"/>
      <c r="I634" s="263"/>
      <c r="J634" s="263"/>
      <c r="K634" s="263"/>
      <c r="L634" s="263"/>
      <c r="M634" s="263"/>
      <c r="N634" s="263"/>
      <c r="O634" s="263"/>
      <c r="P634" s="263"/>
      <c r="Q634" s="263"/>
      <c r="R634" s="263"/>
      <c r="S634" s="263"/>
      <c r="T634" s="263"/>
      <c r="U634" s="263"/>
      <c r="V634" s="263"/>
      <c r="W634" s="263"/>
      <c r="X634" s="263"/>
      <c r="Y634" s="263"/>
      <c r="Z634" s="263"/>
      <c r="AA634" s="263"/>
      <c r="AB634" s="263"/>
    </row>
    <row r="635" spans="1:28" ht="16" x14ac:dyDescent="0.2">
      <c r="A635" s="263"/>
      <c r="B635" s="263"/>
      <c r="C635" s="309"/>
      <c r="D635" s="263"/>
      <c r="E635" s="263"/>
      <c r="F635" s="263"/>
      <c r="G635" s="263"/>
      <c r="H635" s="263"/>
      <c r="I635" s="263"/>
      <c r="J635" s="263"/>
      <c r="K635" s="263"/>
      <c r="L635" s="263"/>
      <c r="M635" s="263"/>
      <c r="N635" s="263"/>
      <c r="O635" s="263"/>
      <c r="P635" s="263"/>
      <c r="Q635" s="263"/>
      <c r="R635" s="263"/>
      <c r="S635" s="263"/>
      <c r="T635" s="263"/>
      <c r="U635" s="263"/>
      <c r="V635" s="263"/>
      <c r="W635" s="263"/>
      <c r="X635" s="263"/>
      <c r="Y635" s="263"/>
      <c r="Z635" s="263"/>
      <c r="AA635" s="263"/>
      <c r="AB635" s="263"/>
    </row>
    <row r="636" spans="1:28" ht="16" x14ac:dyDescent="0.2">
      <c r="A636" s="263"/>
      <c r="B636" s="263"/>
      <c r="C636" s="309"/>
      <c r="D636" s="263"/>
      <c r="E636" s="263"/>
      <c r="F636" s="263"/>
      <c r="G636" s="263"/>
      <c r="H636" s="263"/>
      <c r="I636" s="263"/>
      <c r="J636" s="263"/>
      <c r="K636" s="263"/>
      <c r="L636" s="263"/>
      <c r="M636" s="263"/>
      <c r="N636" s="263"/>
      <c r="O636" s="263"/>
      <c r="P636" s="263"/>
      <c r="Q636" s="263"/>
      <c r="R636" s="263"/>
      <c r="S636" s="263"/>
      <c r="T636" s="263"/>
      <c r="U636" s="263"/>
      <c r="V636" s="263"/>
      <c r="W636" s="263"/>
      <c r="X636" s="263"/>
      <c r="Y636" s="263"/>
      <c r="Z636" s="263"/>
      <c r="AA636" s="263"/>
      <c r="AB636" s="263"/>
    </row>
    <row r="637" spans="1:28" ht="16" x14ac:dyDescent="0.2">
      <c r="A637" s="263"/>
      <c r="B637" s="263"/>
      <c r="C637" s="309"/>
      <c r="D637" s="263"/>
      <c r="E637" s="263"/>
      <c r="F637" s="263"/>
      <c r="G637" s="263"/>
      <c r="H637" s="263"/>
      <c r="I637" s="263"/>
      <c r="J637" s="263"/>
      <c r="K637" s="263"/>
      <c r="L637" s="263"/>
      <c r="M637" s="263"/>
      <c r="N637" s="263"/>
      <c r="O637" s="263"/>
      <c r="P637" s="263"/>
      <c r="Q637" s="263"/>
      <c r="R637" s="263"/>
      <c r="S637" s="263"/>
      <c r="T637" s="263"/>
      <c r="U637" s="263"/>
      <c r="V637" s="263"/>
      <c r="W637" s="263"/>
      <c r="X637" s="263"/>
      <c r="Y637" s="263"/>
      <c r="Z637" s="263"/>
      <c r="AA637" s="263"/>
      <c r="AB637" s="263"/>
    </row>
    <row r="638" spans="1:28" ht="16" x14ac:dyDescent="0.2">
      <c r="A638" s="263"/>
      <c r="B638" s="263"/>
      <c r="C638" s="309"/>
      <c r="D638" s="263"/>
      <c r="E638" s="263"/>
      <c r="F638" s="263"/>
      <c r="G638" s="263"/>
      <c r="H638" s="263"/>
      <c r="I638" s="263"/>
      <c r="J638" s="263"/>
      <c r="K638" s="263"/>
      <c r="L638" s="263"/>
      <c r="M638" s="263"/>
      <c r="N638" s="263"/>
      <c r="O638" s="263"/>
      <c r="P638" s="263"/>
      <c r="Q638" s="263"/>
      <c r="R638" s="263"/>
      <c r="S638" s="263"/>
      <c r="T638" s="263"/>
      <c r="U638" s="263"/>
      <c r="V638" s="263"/>
      <c r="W638" s="263"/>
      <c r="X638" s="263"/>
      <c r="Y638" s="263"/>
      <c r="Z638" s="263"/>
      <c r="AA638" s="263"/>
      <c r="AB638" s="263"/>
    </row>
    <row r="639" spans="1:28" ht="16" x14ac:dyDescent="0.2">
      <c r="A639" s="263"/>
      <c r="B639" s="263"/>
      <c r="C639" s="309"/>
      <c r="D639" s="263"/>
      <c r="E639" s="263"/>
      <c r="F639" s="263"/>
      <c r="G639" s="263"/>
      <c r="H639" s="263"/>
      <c r="I639" s="263"/>
      <c r="J639" s="263"/>
      <c r="K639" s="263"/>
      <c r="L639" s="263"/>
      <c r="M639" s="263"/>
      <c r="N639" s="263"/>
      <c r="O639" s="263"/>
      <c r="P639" s="263"/>
      <c r="Q639" s="263"/>
      <c r="R639" s="263"/>
      <c r="S639" s="263"/>
      <c r="T639" s="263"/>
      <c r="U639" s="263"/>
      <c r="V639" s="263"/>
      <c r="W639" s="263"/>
      <c r="X639" s="263"/>
      <c r="Y639" s="263"/>
      <c r="Z639" s="263"/>
      <c r="AA639" s="263"/>
      <c r="AB639" s="263"/>
    </row>
    <row r="640" spans="1:28" ht="16" x14ac:dyDescent="0.2">
      <c r="A640" s="263"/>
      <c r="B640" s="263"/>
      <c r="C640" s="309"/>
      <c r="D640" s="263"/>
      <c r="E640" s="263"/>
      <c r="F640" s="263"/>
      <c r="G640" s="263"/>
      <c r="H640" s="263"/>
      <c r="I640" s="263"/>
      <c r="J640" s="263"/>
      <c r="K640" s="263"/>
      <c r="L640" s="263"/>
      <c r="M640" s="263"/>
      <c r="N640" s="263"/>
      <c r="O640" s="263"/>
      <c r="P640" s="263"/>
      <c r="Q640" s="263"/>
      <c r="R640" s="263"/>
      <c r="S640" s="263"/>
      <c r="T640" s="263"/>
      <c r="U640" s="263"/>
      <c r="V640" s="263"/>
      <c r="W640" s="263"/>
      <c r="X640" s="263"/>
      <c r="Y640" s="263"/>
      <c r="Z640" s="263"/>
      <c r="AA640" s="263"/>
      <c r="AB640" s="263"/>
    </row>
    <row r="641" spans="1:28" ht="16" x14ac:dyDescent="0.2">
      <c r="A641" s="263"/>
      <c r="B641" s="263"/>
      <c r="C641" s="309"/>
      <c r="D641" s="263"/>
      <c r="E641" s="263"/>
      <c r="F641" s="263"/>
      <c r="G641" s="263"/>
      <c r="H641" s="263"/>
      <c r="I641" s="263"/>
      <c r="J641" s="263"/>
      <c r="K641" s="263"/>
      <c r="L641" s="263"/>
      <c r="M641" s="263"/>
      <c r="N641" s="263"/>
      <c r="O641" s="263"/>
      <c r="P641" s="263"/>
      <c r="Q641" s="263"/>
      <c r="R641" s="263"/>
      <c r="S641" s="263"/>
      <c r="T641" s="263"/>
      <c r="U641" s="263"/>
      <c r="V641" s="263"/>
      <c r="W641" s="263"/>
      <c r="X641" s="263"/>
      <c r="Y641" s="263"/>
      <c r="Z641" s="263"/>
      <c r="AA641" s="263"/>
      <c r="AB641" s="263"/>
    </row>
    <row r="642" spans="1:28" ht="16" x14ac:dyDescent="0.2">
      <c r="A642" s="263"/>
      <c r="B642" s="263"/>
      <c r="C642" s="309"/>
      <c r="D642" s="263"/>
      <c r="E642" s="263"/>
      <c r="F642" s="263"/>
      <c r="G642" s="263"/>
      <c r="H642" s="263"/>
      <c r="I642" s="263"/>
      <c r="J642" s="263"/>
      <c r="K642" s="263"/>
      <c r="L642" s="263"/>
      <c r="M642" s="263"/>
      <c r="N642" s="263"/>
      <c r="O642" s="263"/>
      <c r="P642" s="263"/>
      <c r="Q642" s="263"/>
      <c r="R642" s="263"/>
      <c r="S642" s="263"/>
      <c r="T642" s="263"/>
      <c r="U642" s="263"/>
      <c r="V642" s="263"/>
      <c r="W642" s="263"/>
      <c r="X642" s="263"/>
      <c r="Y642" s="263"/>
      <c r="Z642" s="263"/>
      <c r="AA642" s="263"/>
      <c r="AB642" s="263"/>
    </row>
    <row r="643" spans="1:28" ht="16" x14ac:dyDescent="0.2">
      <c r="A643" s="263"/>
      <c r="B643" s="263"/>
      <c r="C643" s="309"/>
      <c r="D643" s="263"/>
      <c r="E643" s="263"/>
      <c r="F643" s="263"/>
      <c r="G643" s="263"/>
      <c r="H643" s="263"/>
      <c r="I643" s="263"/>
      <c r="J643" s="263"/>
      <c r="K643" s="263"/>
      <c r="L643" s="263"/>
      <c r="M643" s="263"/>
      <c r="N643" s="263"/>
      <c r="O643" s="263"/>
      <c r="P643" s="263"/>
      <c r="Q643" s="263"/>
      <c r="R643" s="263"/>
      <c r="S643" s="263"/>
      <c r="T643" s="263"/>
      <c r="U643" s="263"/>
      <c r="V643" s="263"/>
      <c r="W643" s="263"/>
      <c r="X643" s="263"/>
      <c r="Y643" s="263"/>
      <c r="Z643" s="263"/>
      <c r="AA643" s="263"/>
      <c r="AB643" s="263"/>
    </row>
    <row r="644" spans="1:28" ht="16" x14ac:dyDescent="0.2">
      <c r="A644" s="263"/>
      <c r="B644" s="263"/>
      <c r="C644" s="309"/>
      <c r="D644" s="263"/>
      <c r="E644" s="263"/>
      <c r="F644" s="263"/>
      <c r="G644" s="263"/>
      <c r="H644" s="263"/>
      <c r="I644" s="263"/>
      <c r="J644" s="263"/>
      <c r="K644" s="263"/>
      <c r="L644" s="263"/>
      <c r="M644" s="263"/>
      <c r="N644" s="263"/>
      <c r="O644" s="263"/>
      <c r="P644" s="263"/>
      <c r="Q644" s="263"/>
      <c r="R644" s="263"/>
      <c r="S644" s="263"/>
      <c r="T644" s="263"/>
      <c r="U644" s="263"/>
      <c r="V644" s="263"/>
      <c r="W644" s="263"/>
      <c r="X644" s="263"/>
      <c r="Y644" s="263"/>
      <c r="Z644" s="263"/>
      <c r="AA644" s="263"/>
      <c r="AB644" s="263"/>
    </row>
    <row r="645" spans="1:28" ht="16" x14ac:dyDescent="0.2">
      <c r="A645" s="263"/>
      <c r="B645" s="263"/>
      <c r="C645" s="309"/>
      <c r="D645" s="263"/>
      <c r="E645" s="263"/>
      <c r="F645" s="263"/>
      <c r="G645" s="263"/>
      <c r="H645" s="263"/>
      <c r="I645" s="263"/>
      <c r="J645" s="263"/>
      <c r="K645" s="263"/>
      <c r="L645" s="263"/>
      <c r="M645" s="263"/>
      <c r="N645" s="263"/>
      <c r="O645" s="263"/>
      <c r="P645" s="263"/>
      <c r="Q645" s="263"/>
      <c r="R645" s="263"/>
      <c r="S645" s="263"/>
      <c r="T645" s="263"/>
      <c r="U645" s="263"/>
      <c r="V645" s="263"/>
      <c r="W645" s="263"/>
      <c r="X645" s="263"/>
      <c r="Y645" s="263"/>
      <c r="Z645" s="263"/>
      <c r="AA645" s="263"/>
      <c r="AB645" s="263"/>
    </row>
    <row r="646" spans="1:28" ht="16" x14ac:dyDescent="0.2">
      <c r="A646" s="263"/>
      <c r="B646" s="263"/>
      <c r="C646" s="309"/>
      <c r="D646" s="263"/>
      <c r="E646" s="263"/>
      <c r="F646" s="263"/>
      <c r="G646" s="263"/>
      <c r="H646" s="263"/>
      <c r="I646" s="263"/>
      <c r="J646" s="263"/>
      <c r="K646" s="263"/>
      <c r="L646" s="263"/>
      <c r="M646" s="263"/>
      <c r="N646" s="263"/>
      <c r="O646" s="263"/>
      <c r="P646" s="263"/>
      <c r="Q646" s="263"/>
      <c r="R646" s="263"/>
      <c r="S646" s="263"/>
      <c r="T646" s="263"/>
      <c r="U646" s="263"/>
      <c r="V646" s="263"/>
      <c r="W646" s="263"/>
      <c r="X646" s="263"/>
      <c r="Y646" s="263"/>
      <c r="Z646" s="263"/>
      <c r="AA646" s="263"/>
      <c r="AB646" s="263"/>
    </row>
    <row r="647" spans="1:28" ht="16" x14ac:dyDescent="0.2">
      <c r="A647" s="263"/>
      <c r="B647" s="263"/>
      <c r="C647" s="309"/>
      <c r="D647" s="263"/>
      <c r="E647" s="263"/>
      <c r="F647" s="263"/>
      <c r="G647" s="263"/>
      <c r="H647" s="263"/>
      <c r="I647" s="263"/>
      <c r="J647" s="263"/>
      <c r="K647" s="263"/>
      <c r="L647" s="263"/>
      <c r="M647" s="263"/>
      <c r="N647" s="263"/>
      <c r="O647" s="263"/>
      <c r="P647" s="263"/>
      <c r="Q647" s="263"/>
      <c r="R647" s="263"/>
      <c r="S647" s="263"/>
      <c r="T647" s="263"/>
      <c r="U647" s="263"/>
      <c r="V647" s="263"/>
      <c r="W647" s="263"/>
      <c r="X647" s="263"/>
      <c r="Y647" s="263"/>
      <c r="Z647" s="263"/>
      <c r="AA647" s="263"/>
      <c r="AB647" s="263"/>
    </row>
    <row r="648" spans="1:28" ht="16" x14ac:dyDescent="0.2">
      <c r="A648" s="263"/>
      <c r="B648" s="263"/>
      <c r="C648" s="309"/>
      <c r="D648" s="263"/>
      <c r="E648" s="263"/>
      <c r="F648" s="263"/>
      <c r="G648" s="263"/>
      <c r="H648" s="263"/>
      <c r="I648" s="263"/>
      <c r="J648" s="263"/>
      <c r="K648" s="263"/>
      <c r="L648" s="263"/>
      <c r="M648" s="263"/>
      <c r="N648" s="263"/>
      <c r="O648" s="263"/>
      <c r="P648" s="263"/>
      <c r="Q648" s="263"/>
      <c r="R648" s="263"/>
      <c r="S648" s="263"/>
      <c r="T648" s="263"/>
      <c r="U648" s="263"/>
      <c r="V648" s="263"/>
      <c r="W648" s="263"/>
      <c r="X648" s="263"/>
      <c r="Y648" s="263"/>
      <c r="Z648" s="263"/>
      <c r="AA648" s="263"/>
      <c r="AB648" s="263"/>
    </row>
    <row r="649" spans="1:28" ht="16" x14ac:dyDescent="0.2">
      <c r="A649" s="263"/>
      <c r="B649" s="263"/>
      <c r="C649" s="309"/>
      <c r="D649" s="263"/>
      <c r="E649" s="263"/>
      <c r="F649" s="263"/>
      <c r="G649" s="263"/>
      <c r="H649" s="263"/>
      <c r="I649" s="263"/>
      <c r="J649" s="263"/>
      <c r="K649" s="263"/>
      <c r="L649" s="263"/>
      <c r="M649" s="263"/>
      <c r="N649" s="263"/>
      <c r="O649" s="263"/>
      <c r="P649" s="263"/>
      <c r="Q649" s="263"/>
      <c r="R649" s="263"/>
      <c r="S649" s="263"/>
      <c r="T649" s="263"/>
      <c r="U649" s="263"/>
      <c r="V649" s="263"/>
      <c r="W649" s="263"/>
      <c r="X649" s="263"/>
      <c r="Y649" s="263"/>
      <c r="Z649" s="263"/>
      <c r="AA649" s="263"/>
      <c r="AB649" s="263"/>
    </row>
    <row r="650" spans="1:28" ht="16" x14ac:dyDescent="0.2">
      <c r="A650" s="263"/>
      <c r="B650" s="263"/>
      <c r="C650" s="309"/>
      <c r="D650" s="263"/>
      <c r="E650" s="263"/>
      <c r="F650" s="263"/>
      <c r="G650" s="263"/>
      <c r="H650" s="263"/>
      <c r="I650" s="263"/>
      <c r="J650" s="263"/>
      <c r="K650" s="263"/>
      <c r="L650" s="263"/>
      <c r="M650" s="263"/>
      <c r="N650" s="263"/>
      <c r="O650" s="263"/>
      <c r="P650" s="263"/>
      <c r="Q650" s="263"/>
      <c r="R650" s="263"/>
      <c r="S650" s="263"/>
      <c r="T650" s="263"/>
      <c r="U650" s="263"/>
      <c r="V650" s="263"/>
      <c r="W650" s="263"/>
      <c r="X650" s="263"/>
      <c r="Y650" s="263"/>
      <c r="Z650" s="263"/>
      <c r="AA650" s="263"/>
      <c r="AB650" s="263"/>
    </row>
    <row r="651" spans="1:28" ht="16" x14ac:dyDescent="0.2">
      <c r="A651" s="263"/>
      <c r="B651" s="263"/>
      <c r="C651" s="309"/>
      <c r="D651" s="263"/>
      <c r="E651" s="263"/>
      <c r="F651" s="263"/>
      <c r="G651" s="263"/>
      <c r="H651" s="263"/>
      <c r="I651" s="263"/>
      <c r="J651" s="263"/>
      <c r="K651" s="263"/>
      <c r="L651" s="263"/>
      <c r="M651" s="263"/>
      <c r="N651" s="263"/>
      <c r="O651" s="263"/>
      <c r="P651" s="263"/>
      <c r="Q651" s="263"/>
      <c r="R651" s="263"/>
      <c r="S651" s="263"/>
      <c r="T651" s="263"/>
      <c r="U651" s="263"/>
      <c r="V651" s="263"/>
      <c r="W651" s="263"/>
      <c r="X651" s="263"/>
      <c r="Y651" s="263"/>
      <c r="Z651" s="263"/>
      <c r="AA651" s="263"/>
      <c r="AB651" s="263"/>
    </row>
    <row r="652" spans="1:28" ht="16" x14ac:dyDescent="0.2">
      <c r="A652" s="263"/>
      <c r="B652" s="263"/>
      <c r="C652" s="309"/>
      <c r="D652" s="263"/>
      <c r="E652" s="263"/>
      <c r="F652" s="263"/>
      <c r="G652" s="263"/>
      <c r="H652" s="263"/>
      <c r="I652" s="263"/>
      <c r="J652" s="263"/>
      <c r="K652" s="263"/>
      <c r="L652" s="263"/>
      <c r="M652" s="263"/>
      <c r="N652" s="263"/>
      <c r="O652" s="263"/>
      <c r="P652" s="263"/>
      <c r="Q652" s="263"/>
      <c r="R652" s="263"/>
      <c r="S652" s="263"/>
      <c r="T652" s="263"/>
      <c r="U652" s="263"/>
      <c r="V652" s="263"/>
      <c r="W652" s="263"/>
      <c r="X652" s="263"/>
      <c r="Y652" s="263"/>
      <c r="Z652" s="263"/>
      <c r="AA652" s="263"/>
      <c r="AB652" s="263"/>
    </row>
    <row r="653" spans="1:28" ht="16" x14ac:dyDescent="0.2">
      <c r="A653" s="263"/>
      <c r="B653" s="263"/>
      <c r="C653" s="309"/>
      <c r="D653" s="263"/>
      <c r="E653" s="263"/>
      <c r="F653" s="263"/>
      <c r="G653" s="263"/>
      <c r="H653" s="263"/>
      <c r="I653" s="263"/>
      <c r="J653" s="263"/>
      <c r="K653" s="263"/>
      <c r="L653" s="263"/>
      <c r="M653" s="263"/>
      <c r="N653" s="263"/>
      <c r="O653" s="263"/>
      <c r="P653" s="263"/>
      <c r="Q653" s="263"/>
      <c r="R653" s="263"/>
      <c r="S653" s="263"/>
      <c r="T653" s="263"/>
      <c r="U653" s="263"/>
      <c r="V653" s="263"/>
      <c r="W653" s="263"/>
      <c r="X653" s="263"/>
      <c r="Y653" s="263"/>
      <c r="Z653" s="263"/>
      <c r="AA653" s="263"/>
      <c r="AB653" s="263"/>
    </row>
    <row r="654" spans="1:28" ht="16" x14ac:dyDescent="0.2">
      <c r="A654" s="263"/>
      <c r="B654" s="263"/>
      <c r="C654" s="309"/>
      <c r="D654" s="263"/>
      <c r="E654" s="263"/>
      <c r="F654" s="263"/>
      <c r="G654" s="263"/>
      <c r="H654" s="263"/>
      <c r="I654" s="263"/>
      <c r="J654" s="263"/>
      <c r="K654" s="263"/>
      <c r="L654" s="263"/>
      <c r="M654" s="263"/>
      <c r="N654" s="263"/>
      <c r="O654" s="263"/>
      <c r="P654" s="263"/>
      <c r="Q654" s="263"/>
      <c r="R654" s="263"/>
      <c r="S654" s="263"/>
      <c r="T654" s="263"/>
      <c r="U654" s="263"/>
      <c r="V654" s="263"/>
      <c r="W654" s="263"/>
      <c r="X654" s="263"/>
      <c r="Y654" s="263"/>
      <c r="Z654" s="263"/>
      <c r="AA654" s="263"/>
      <c r="AB654" s="263"/>
    </row>
    <row r="655" spans="1:28" ht="16" x14ac:dyDescent="0.2">
      <c r="A655" s="263"/>
      <c r="B655" s="263"/>
      <c r="C655" s="309"/>
      <c r="D655" s="263"/>
      <c r="E655" s="263"/>
      <c r="F655" s="263"/>
      <c r="G655" s="263"/>
      <c r="H655" s="263"/>
      <c r="I655" s="263"/>
      <c r="J655" s="263"/>
      <c r="K655" s="263"/>
      <c r="L655" s="263"/>
      <c r="M655" s="263"/>
      <c r="N655" s="263"/>
      <c r="O655" s="263"/>
      <c r="P655" s="263"/>
      <c r="Q655" s="263"/>
      <c r="R655" s="263"/>
      <c r="S655" s="263"/>
      <c r="T655" s="263"/>
      <c r="U655" s="263"/>
      <c r="V655" s="263"/>
      <c r="W655" s="263"/>
      <c r="X655" s="263"/>
      <c r="Y655" s="263"/>
      <c r="Z655" s="263"/>
      <c r="AA655" s="263"/>
      <c r="AB655" s="263"/>
    </row>
    <row r="656" spans="1:28" ht="16" x14ac:dyDescent="0.2">
      <c r="A656" s="263"/>
      <c r="B656" s="263"/>
      <c r="C656" s="309"/>
      <c r="D656" s="263"/>
      <c r="E656" s="263"/>
      <c r="F656" s="263"/>
      <c r="G656" s="263"/>
      <c r="H656" s="263"/>
      <c r="I656" s="263"/>
      <c r="J656" s="263"/>
      <c r="K656" s="263"/>
      <c r="L656" s="263"/>
      <c r="M656" s="263"/>
      <c r="N656" s="263"/>
      <c r="O656" s="263"/>
      <c r="P656" s="263"/>
      <c r="Q656" s="263"/>
      <c r="R656" s="263"/>
      <c r="S656" s="263"/>
      <c r="T656" s="263"/>
      <c r="U656" s="263"/>
      <c r="V656" s="263"/>
      <c r="W656" s="263"/>
      <c r="X656" s="263"/>
      <c r="Y656" s="263"/>
      <c r="Z656" s="263"/>
      <c r="AA656" s="263"/>
      <c r="AB656" s="263"/>
    </row>
    <row r="657" spans="1:28" ht="16" x14ac:dyDescent="0.2">
      <c r="A657" s="263"/>
      <c r="B657" s="263"/>
      <c r="C657" s="309"/>
      <c r="D657" s="263"/>
      <c r="E657" s="263"/>
      <c r="F657" s="263"/>
      <c r="G657" s="263"/>
      <c r="H657" s="263"/>
      <c r="I657" s="263"/>
      <c r="J657" s="263"/>
      <c r="K657" s="263"/>
      <c r="L657" s="263"/>
      <c r="M657" s="263"/>
      <c r="N657" s="263"/>
      <c r="O657" s="263"/>
      <c r="P657" s="263"/>
      <c r="Q657" s="263"/>
      <c r="R657" s="263"/>
      <c r="S657" s="263"/>
      <c r="T657" s="263"/>
      <c r="U657" s="263"/>
      <c r="V657" s="263"/>
      <c r="W657" s="263"/>
      <c r="X657" s="263"/>
      <c r="Y657" s="263"/>
      <c r="Z657" s="263"/>
      <c r="AA657" s="263"/>
      <c r="AB657" s="263"/>
    </row>
    <row r="658" spans="1:28" ht="16" x14ac:dyDescent="0.2">
      <c r="A658" s="263"/>
      <c r="B658" s="263"/>
      <c r="C658" s="309"/>
      <c r="D658" s="263"/>
      <c r="E658" s="263"/>
      <c r="F658" s="263"/>
      <c r="G658" s="263"/>
      <c r="H658" s="263"/>
      <c r="I658" s="263"/>
      <c r="J658" s="263"/>
      <c r="K658" s="263"/>
      <c r="L658" s="263"/>
      <c r="M658" s="263"/>
      <c r="N658" s="263"/>
      <c r="O658" s="263"/>
      <c r="P658" s="263"/>
      <c r="Q658" s="263"/>
      <c r="R658" s="263"/>
      <c r="S658" s="263"/>
      <c r="T658" s="263"/>
      <c r="U658" s="263"/>
      <c r="V658" s="263"/>
      <c r="W658" s="263"/>
      <c r="X658" s="263"/>
      <c r="Y658" s="263"/>
      <c r="Z658" s="263"/>
      <c r="AA658" s="263"/>
      <c r="AB658" s="263"/>
    </row>
    <row r="659" spans="1:28" ht="16" x14ac:dyDescent="0.2">
      <c r="A659" s="263"/>
      <c r="B659" s="263"/>
      <c r="C659" s="309"/>
      <c r="D659" s="263"/>
      <c r="E659" s="263"/>
      <c r="F659" s="263"/>
      <c r="G659" s="263"/>
      <c r="H659" s="263"/>
      <c r="I659" s="263"/>
      <c r="J659" s="263"/>
      <c r="K659" s="263"/>
      <c r="L659" s="263"/>
      <c r="M659" s="263"/>
      <c r="N659" s="263"/>
      <c r="O659" s="263"/>
      <c r="P659" s="263"/>
      <c r="Q659" s="263"/>
      <c r="R659" s="263"/>
      <c r="S659" s="263"/>
      <c r="T659" s="263"/>
      <c r="U659" s="263"/>
      <c r="V659" s="263"/>
      <c r="W659" s="263"/>
      <c r="X659" s="263"/>
      <c r="Y659" s="263"/>
      <c r="Z659" s="263"/>
      <c r="AA659" s="263"/>
      <c r="AB659" s="263"/>
    </row>
    <row r="660" spans="1:28" ht="16" x14ac:dyDescent="0.2">
      <c r="A660" s="263"/>
      <c r="B660" s="263"/>
      <c r="C660" s="309"/>
      <c r="D660" s="263"/>
      <c r="E660" s="263"/>
      <c r="F660" s="263"/>
      <c r="G660" s="263"/>
      <c r="H660" s="263"/>
      <c r="I660" s="263"/>
      <c r="J660" s="263"/>
      <c r="K660" s="263"/>
      <c r="L660" s="263"/>
      <c r="M660" s="263"/>
      <c r="N660" s="263"/>
      <c r="O660" s="263"/>
      <c r="P660" s="263"/>
      <c r="Q660" s="263"/>
      <c r="R660" s="263"/>
      <c r="S660" s="263"/>
      <c r="T660" s="263"/>
      <c r="U660" s="263"/>
      <c r="V660" s="263"/>
      <c r="W660" s="263"/>
      <c r="X660" s="263"/>
      <c r="Y660" s="263"/>
      <c r="Z660" s="263"/>
      <c r="AA660" s="263"/>
      <c r="AB660" s="263"/>
    </row>
    <row r="661" spans="1:28" ht="16" x14ac:dyDescent="0.2">
      <c r="A661" s="263"/>
      <c r="B661" s="263"/>
      <c r="C661" s="309"/>
      <c r="D661" s="263"/>
      <c r="E661" s="263"/>
      <c r="F661" s="263"/>
      <c r="G661" s="263"/>
      <c r="H661" s="263"/>
      <c r="I661" s="263"/>
      <c r="J661" s="263"/>
      <c r="K661" s="263"/>
      <c r="L661" s="263"/>
      <c r="M661" s="263"/>
      <c r="N661" s="263"/>
      <c r="O661" s="263"/>
      <c r="P661" s="263"/>
      <c r="Q661" s="263"/>
      <c r="R661" s="263"/>
      <c r="S661" s="263"/>
      <c r="T661" s="263"/>
      <c r="U661" s="263"/>
      <c r="V661" s="263"/>
      <c r="W661" s="263"/>
      <c r="X661" s="263"/>
      <c r="Y661" s="263"/>
      <c r="Z661" s="263"/>
      <c r="AA661" s="263"/>
      <c r="AB661" s="263"/>
    </row>
    <row r="662" spans="1:28" ht="16" x14ac:dyDescent="0.2">
      <c r="A662" s="263"/>
      <c r="B662" s="263"/>
      <c r="C662" s="309"/>
      <c r="D662" s="263"/>
      <c r="E662" s="263"/>
      <c r="F662" s="263"/>
      <c r="G662" s="263"/>
      <c r="H662" s="263"/>
      <c r="I662" s="263"/>
      <c r="J662" s="263"/>
      <c r="K662" s="263"/>
      <c r="L662" s="263"/>
      <c r="M662" s="263"/>
      <c r="N662" s="263"/>
      <c r="O662" s="263"/>
      <c r="P662" s="263"/>
      <c r="Q662" s="263"/>
      <c r="R662" s="263"/>
      <c r="S662" s="263"/>
      <c r="T662" s="263"/>
      <c r="U662" s="263"/>
      <c r="V662" s="263"/>
      <c r="W662" s="263"/>
      <c r="X662" s="263"/>
      <c r="Y662" s="263"/>
      <c r="Z662" s="263"/>
      <c r="AA662" s="263"/>
      <c r="AB662" s="263"/>
    </row>
    <row r="663" spans="1:28" ht="16" x14ac:dyDescent="0.2">
      <c r="A663" s="263"/>
      <c r="B663" s="263"/>
      <c r="C663" s="309"/>
      <c r="D663" s="263"/>
      <c r="E663" s="263"/>
      <c r="F663" s="263"/>
      <c r="G663" s="263"/>
      <c r="H663" s="263"/>
      <c r="I663" s="263"/>
      <c r="J663" s="263"/>
      <c r="K663" s="263"/>
      <c r="L663" s="263"/>
      <c r="M663" s="263"/>
      <c r="N663" s="263"/>
      <c r="O663" s="263"/>
      <c r="P663" s="263"/>
      <c r="Q663" s="263"/>
      <c r="R663" s="263"/>
      <c r="S663" s="263"/>
      <c r="T663" s="263"/>
      <c r="U663" s="263"/>
      <c r="V663" s="263"/>
      <c r="W663" s="263"/>
      <c r="X663" s="263"/>
      <c r="Y663" s="263"/>
      <c r="Z663" s="263"/>
      <c r="AA663" s="263"/>
      <c r="AB663" s="263"/>
    </row>
    <row r="664" spans="1:28" ht="16" x14ac:dyDescent="0.2">
      <c r="A664" s="263"/>
      <c r="B664" s="263"/>
      <c r="C664" s="309"/>
      <c r="D664" s="263"/>
      <c r="E664" s="263"/>
      <c r="F664" s="263"/>
      <c r="G664" s="263"/>
      <c r="H664" s="263"/>
      <c r="I664" s="263"/>
      <c r="J664" s="263"/>
      <c r="K664" s="263"/>
      <c r="L664" s="263"/>
      <c r="M664" s="263"/>
      <c r="N664" s="263"/>
      <c r="O664" s="263"/>
      <c r="P664" s="263"/>
      <c r="Q664" s="263"/>
      <c r="R664" s="263"/>
      <c r="S664" s="263"/>
      <c r="T664" s="263"/>
      <c r="U664" s="263"/>
      <c r="V664" s="263"/>
      <c r="W664" s="263"/>
      <c r="X664" s="263"/>
      <c r="Y664" s="263"/>
      <c r="Z664" s="263"/>
      <c r="AA664" s="263"/>
      <c r="AB664" s="263"/>
    </row>
    <row r="665" spans="1:28" ht="16" x14ac:dyDescent="0.2">
      <c r="A665" s="263"/>
      <c r="B665" s="263"/>
      <c r="C665" s="309"/>
      <c r="D665" s="263"/>
      <c r="E665" s="263"/>
      <c r="F665" s="263"/>
      <c r="G665" s="263"/>
      <c r="H665" s="263"/>
      <c r="I665" s="263"/>
      <c r="J665" s="263"/>
      <c r="K665" s="263"/>
      <c r="L665" s="263"/>
      <c r="M665" s="263"/>
      <c r="N665" s="263"/>
      <c r="O665" s="263"/>
      <c r="P665" s="263"/>
      <c r="Q665" s="263"/>
      <c r="R665" s="263"/>
      <c r="S665" s="263"/>
      <c r="T665" s="263"/>
      <c r="U665" s="263"/>
      <c r="V665" s="263"/>
      <c r="W665" s="263"/>
      <c r="X665" s="263"/>
      <c r="Y665" s="263"/>
      <c r="Z665" s="263"/>
      <c r="AA665" s="263"/>
      <c r="AB665" s="263"/>
    </row>
    <row r="666" spans="1:28" ht="16" x14ac:dyDescent="0.2">
      <c r="A666" s="263"/>
      <c r="B666" s="263"/>
      <c r="C666" s="309"/>
      <c r="D666" s="263"/>
      <c r="E666" s="263"/>
      <c r="F666" s="263"/>
      <c r="G666" s="263"/>
      <c r="H666" s="263"/>
      <c r="I666" s="263"/>
      <c r="J666" s="263"/>
      <c r="K666" s="263"/>
      <c r="L666" s="263"/>
      <c r="M666" s="263"/>
      <c r="N666" s="263"/>
      <c r="O666" s="263"/>
      <c r="P666" s="263"/>
      <c r="Q666" s="263"/>
      <c r="R666" s="263"/>
      <c r="S666" s="263"/>
      <c r="T666" s="263"/>
      <c r="U666" s="263"/>
      <c r="V666" s="263"/>
      <c r="W666" s="263"/>
      <c r="X666" s="263"/>
      <c r="Y666" s="263"/>
      <c r="Z666" s="263"/>
      <c r="AA666" s="263"/>
      <c r="AB666" s="263"/>
    </row>
    <row r="667" spans="1:28" ht="16" x14ac:dyDescent="0.2">
      <c r="A667" s="263"/>
      <c r="B667" s="263"/>
      <c r="C667" s="309"/>
      <c r="D667" s="263"/>
      <c r="E667" s="263"/>
      <c r="F667" s="263"/>
      <c r="G667" s="263"/>
      <c r="H667" s="263"/>
      <c r="I667" s="263"/>
      <c r="J667" s="263"/>
      <c r="K667" s="263"/>
      <c r="L667" s="263"/>
      <c r="M667" s="263"/>
      <c r="N667" s="263"/>
      <c r="O667" s="263"/>
      <c r="P667" s="263"/>
      <c r="Q667" s="263"/>
      <c r="R667" s="263"/>
      <c r="S667" s="263"/>
      <c r="T667" s="263"/>
      <c r="U667" s="263"/>
      <c r="V667" s="263"/>
      <c r="W667" s="263"/>
      <c r="X667" s="263"/>
      <c r="Y667" s="263"/>
      <c r="Z667" s="263"/>
      <c r="AA667" s="263"/>
      <c r="AB667" s="263"/>
    </row>
    <row r="668" spans="1:28" ht="16" x14ac:dyDescent="0.2">
      <c r="A668" s="263"/>
      <c r="B668" s="263"/>
      <c r="C668" s="309"/>
      <c r="D668" s="263"/>
      <c r="E668" s="263"/>
      <c r="F668" s="263"/>
      <c r="G668" s="263"/>
      <c r="H668" s="263"/>
      <c r="I668" s="263"/>
      <c r="J668" s="263"/>
      <c r="K668" s="263"/>
      <c r="L668" s="263"/>
      <c r="M668" s="263"/>
      <c r="N668" s="263"/>
      <c r="O668" s="263"/>
      <c r="P668" s="263"/>
      <c r="Q668" s="263"/>
      <c r="R668" s="263"/>
      <c r="S668" s="263"/>
      <c r="T668" s="263"/>
      <c r="U668" s="263"/>
      <c r="V668" s="263"/>
      <c r="W668" s="263"/>
      <c r="X668" s="263"/>
      <c r="Y668" s="263"/>
      <c r="Z668" s="263"/>
      <c r="AA668" s="263"/>
      <c r="AB668" s="263"/>
    </row>
    <row r="669" spans="1:28" ht="16" x14ac:dyDescent="0.2">
      <c r="A669" s="263"/>
      <c r="B669" s="263"/>
      <c r="C669" s="309"/>
      <c r="D669" s="263"/>
      <c r="E669" s="263"/>
      <c r="F669" s="263"/>
      <c r="G669" s="263"/>
      <c r="H669" s="263"/>
      <c r="I669" s="263"/>
      <c r="J669" s="263"/>
      <c r="K669" s="263"/>
      <c r="L669" s="263"/>
      <c r="M669" s="263"/>
      <c r="N669" s="263"/>
      <c r="O669" s="263"/>
      <c r="P669" s="263"/>
      <c r="Q669" s="263"/>
      <c r="R669" s="263"/>
      <c r="S669" s="263"/>
      <c r="T669" s="263"/>
      <c r="U669" s="263"/>
      <c r="V669" s="263"/>
      <c r="W669" s="263"/>
      <c r="X669" s="263"/>
      <c r="Y669" s="263"/>
      <c r="Z669" s="263"/>
      <c r="AA669" s="263"/>
      <c r="AB669" s="263"/>
    </row>
    <row r="670" spans="1:28" ht="16" x14ac:dyDescent="0.2">
      <c r="A670" s="263"/>
      <c r="B670" s="263"/>
      <c r="C670" s="309"/>
      <c r="D670" s="263"/>
      <c r="E670" s="263"/>
      <c r="F670" s="263"/>
      <c r="G670" s="263"/>
      <c r="H670" s="263"/>
      <c r="I670" s="263"/>
      <c r="J670" s="263"/>
      <c r="K670" s="263"/>
      <c r="L670" s="263"/>
      <c r="M670" s="263"/>
      <c r="N670" s="263"/>
      <c r="O670" s="263"/>
      <c r="P670" s="263"/>
      <c r="Q670" s="263"/>
      <c r="R670" s="263"/>
      <c r="S670" s="263"/>
      <c r="T670" s="263"/>
      <c r="U670" s="263"/>
      <c r="V670" s="263"/>
      <c r="W670" s="263"/>
      <c r="X670" s="263"/>
      <c r="Y670" s="263"/>
      <c r="Z670" s="263"/>
      <c r="AA670" s="263"/>
      <c r="AB670" s="263"/>
    </row>
    <row r="671" spans="1:28" ht="16" x14ac:dyDescent="0.2">
      <c r="A671" s="263"/>
      <c r="B671" s="263"/>
      <c r="C671" s="309"/>
      <c r="D671" s="263"/>
      <c r="E671" s="263"/>
      <c r="F671" s="263"/>
      <c r="G671" s="263"/>
      <c r="H671" s="263"/>
      <c r="I671" s="263"/>
      <c r="J671" s="263"/>
      <c r="K671" s="263"/>
      <c r="L671" s="263"/>
      <c r="M671" s="263"/>
      <c r="N671" s="263"/>
      <c r="O671" s="263"/>
      <c r="P671" s="263"/>
      <c r="Q671" s="263"/>
      <c r="R671" s="263"/>
      <c r="S671" s="263"/>
      <c r="T671" s="263"/>
      <c r="U671" s="263"/>
      <c r="V671" s="263"/>
      <c r="W671" s="263"/>
      <c r="X671" s="263"/>
      <c r="Y671" s="263"/>
      <c r="Z671" s="263"/>
      <c r="AA671" s="263"/>
      <c r="AB671" s="263"/>
    </row>
    <row r="672" spans="1:28" ht="16" x14ac:dyDescent="0.2">
      <c r="A672" s="263"/>
      <c r="B672" s="263"/>
      <c r="C672" s="309"/>
      <c r="D672" s="263"/>
      <c r="E672" s="263"/>
      <c r="F672" s="263"/>
      <c r="G672" s="263"/>
      <c r="H672" s="263"/>
      <c r="I672" s="263"/>
      <c r="J672" s="263"/>
      <c r="K672" s="263"/>
      <c r="L672" s="263"/>
      <c r="M672" s="263"/>
      <c r="N672" s="263"/>
      <c r="O672" s="263"/>
      <c r="P672" s="263"/>
      <c r="Q672" s="263"/>
      <c r="R672" s="263"/>
      <c r="S672" s="263"/>
      <c r="T672" s="263"/>
      <c r="U672" s="263"/>
      <c r="V672" s="263"/>
      <c r="W672" s="263"/>
      <c r="X672" s="263"/>
      <c r="Y672" s="263"/>
      <c r="Z672" s="263"/>
      <c r="AA672" s="263"/>
      <c r="AB672" s="263"/>
    </row>
    <row r="673" spans="1:28" ht="16" x14ac:dyDescent="0.2">
      <c r="A673" s="263"/>
      <c r="B673" s="263"/>
      <c r="C673" s="309"/>
      <c r="D673" s="263"/>
      <c r="E673" s="263"/>
      <c r="F673" s="263"/>
      <c r="G673" s="263"/>
      <c r="H673" s="263"/>
      <c r="I673" s="263"/>
      <c r="J673" s="263"/>
      <c r="K673" s="263"/>
      <c r="L673" s="263"/>
      <c r="M673" s="263"/>
      <c r="N673" s="263"/>
      <c r="O673" s="263"/>
      <c r="P673" s="263"/>
      <c r="Q673" s="263"/>
      <c r="R673" s="263"/>
      <c r="S673" s="263"/>
      <c r="T673" s="263"/>
      <c r="U673" s="263"/>
      <c r="V673" s="263"/>
      <c r="W673" s="263"/>
      <c r="X673" s="263"/>
      <c r="Y673" s="263"/>
      <c r="Z673" s="263"/>
      <c r="AA673" s="263"/>
      <c r="AB673" s="263"/>
    </row>
    <row r="674" spans="1:28" ht="16" x14ac:dyDescent="0.2">
      <c r="A674" s="263"/>
      <c r="B674" s="263"/>
      <c r="C674" s="309"/>
      <c r="D674" s="263"/>
      <c r="E674" s="263"/>
      <c r="F674" s="263"/>
      <c r="G674" s="263"/>
      <c r="H674" s="263"/>
      <c r="I674" s="263"/>
      <c r="J674" s="263"/>
      <c r="K674" s="263"/>
      <c r="L674" s="263"/>
      <c r="M674" s="263"/>
      <c r="N674" s="263"/>
      <c r="O674" s="263"/>
      <c r="P674" s="263"/>
      <c r="Q674" s="263"/>
      <c r="R674" s="263"/>
      <c r="S674" s="263"/>
      <c r="T674" s="263"/>
      <c r="U674" s="263"/>
      <c r="V674" s="263"/>
      <c r="W674" s="263"/>
      <c r="X674" s="263"/>
      <c r="Y674" s="263"/>
      <c r="Z674" s="263"/>
      <c r="AA674" s="263"/>
      <c r="AB674" s="263"/>
    </row>
    <row r="675" spans="1:28" ht="16" x14ac:dyDescent="0.2">
      <c r="A675" s="263"/>
      <c r="B675" s="263"/>
      <c r="C675" s="309"/>
      <c r="D675" s="263"/>
      <c r="E675" s="263"/>
      <c r="F675" s="263"/>
      <c r="G675" s="263"/>
      <c r="H675" s="263"/>
      <c r="I675" s="263"/>
      <c r="J675" s="263"/>
      <c r="K675" s="263"/>
      <c r="L675" s="263"/>
      <c r="M675" s="263"/>
      <c r="N675" s="263"/>
      <c r="O675" s="263"/>
      <c r="P675" s="263"/>
      <c r="Q675" s="263"/>
      <c r="R675" s="263"/>
      <c r="S675" s="263"/>
      <c r="T675" s="263"/>
      <c r="U675" s="263"/>
      <c r="V675" s="263"/>
      <c r="W675" s="263"/>
      <c r="X675" s="263"/>
      <c r="Y675" s="263"/>
      <c r="Z675" s="263"/>
      <c r="AA675" s="263"/>
      <c r="AB675" s="263"/>
    </row>
    <row r="676" spans="1:28" ht="16" x14ac:dyDescent="0.2">
      <c r="A676" s="263"/>
      <c r="B676" s="263"/>
      <c r="C676" s="309"/>
      <c r="D676" s="263"/>
      <c r="E676" s="263"/>
      <c r="F676" s="263"/>
      <c r="G676" s="263"/>
      <c r="H676" s="263"/>
      <c r="I676" s="263"/>
      <c r="J676" s="263"/>
      <c r="K676" s="263"/>
      <c r="L676" s="263"/>
      <c r="M676" s="263"/>
      <c r="N676" s="263"/>
      <c r="O676" s="263"/>
      <c r="P676" s="263"/>
      <c r="Q676" s="263"/>
      <c r="R676" s="263"/>
      <c r="S676" s="263"/>
      <c r="T676" s="263"/>
      <c r="U676" s="263"/>
      <c r="V676" s="263"/>
      <c r="W676" s="263"/>
      <c r="X676" s="263"/>
      <c r="Y676" s="263"/>
      <c r="Z676" s="263"/>
      <c r="AA676" s="263"/>
      <c r="AB676" s="263"/>
    </row>
    <row r="677" spans="1:28" ht="16" x14ac:dyDescent="0.2">
      <c r="A677" s="263"/>
      <c r="B677" s="263"/>
      <c r="C677" s="309"/>
      <c r="D677" s="263"/>
      <c r="E677" s="263"/>
      <c r="F677" s="263"/>
      <c r="G677" s="263"/>
      <c r="H677" s="263"/>
      <c r="I677" s="263"/>
      <c r="J677" s="263"/>
      <c r="K677" s="263"/>
      <c r="L677" s="263"/>
      <c r="M677" s="263"/>
      <c r="N677" s="263"/>
      <c r="O677" s="263"/>
      <c r="P677" s="263"/>
      <c r="Q677" s="263"/>
      <c r="R677" s="263"/>
      <c r="S677" s="263"/>
      <c r="T677" s="263"/>
      <c r="U677" s="263"/>
      <c r="V677" s="263"/>
      <c r="W677" s="263"/>
      <c r="X677" s="263"/>
      <c r="Y677" s="263"/>
      <c r="Z677" s="263"/>
      <c r="AA677" s="263"/>
      <c r="AB677" s="263"/>
    </row>
    <row r="678" spans="1:28" ht="16" x14ac:dyDescent="0.2">
      <c r="A678" s="263"/>
      <c r="B678" s="263"/>
      <c r="C678" s="309"/>
      <c r="D678" s="263"/>
      <c r="E678" s="263"/>
      <c r="F678" s="263"/>
      <c r="G678" s="263"/>
      <c r="H678" s="263"/>
      <c r="I678" s="263"/>
      <c r="J678" s="263"/>
      <c r="K678" s="263"/>
      <c r="L678" s="263"/>
      <c r="M678" s="263"/>
      <c r="N678" s="263"/>
      <c r="O678" s="263"/>
      <c r="P678" s="263"/>
      <c r="Q678" s="263"/>
      <c r="R678" s="263"/>
      <c r="S678" s="263"/>
      <c r="T678" s="263"/>
      <c r="U678" s="263"/>
      <c r="V678" s="263"/>
      <c r="W678" s="263"/>
      <c r="X678" s="263"/>
      <c r="Y678" s="263"/>
      <c r="Z678" s="263"/>
      <c r="AA678" s="263"/>
      <c r="AB678" s="263"/>
    </row>
    <row r="679" spans="1:28" ht="16" x14ac:dyDescent="0.2">
      <c r="A679" s="263"/>
      <c r="B679" s="263"/>
      <c r="C679" s="309"/>
      <c r="D679" s="263"/>
      <c r="E679" s="263"/>
      <c r="F679" s="263"/>
      <c r="G679" s="263"/>
      <c r="H679" s="263"/>
      <c r="I679" s="263"/>
      <c r="J679" s="263"/>
      <c r="K679" s="263"/>
      <c r="L679" s="263"/>
      <c r="M679" s="263"/>
      <c r="N679" s="263"/>
      <c r="O679" s="263"/>
      <c r="P679" s="263"/>
      <c r="Q679" s="263"/>
      <c r="R679" s="263"/>
      <c r="S679" s="263"/>
      <c r="T679" s="263"/>
      <c r="U679" s="263"/>
      <c r="V679" s="263"/>
      <c r="W679" s="263"/>
      <c r="X679" s="263"/>
      <c r="Y679" s="263"/>
      <c r="Z679" s="263"/>
      <c r="AA679" s="263"/>
      <c r="AB679" s="263"/>
    </row>
    <row r="680" spans="1:28" ht="16" x14ac:dyDescent="0.2">
      <c r="A680" s="263"/>
      <c r="B680" s="263"/>
      <c r="C680" s="309"/>
      <c r="D680" s="263"/>
      <c r="E680" s="263"/>
      <c r="F680" s="263"/>
      <c r="G680" s="263"/>
      <c r="H680" s="263"/>
      <c r="I680" s="263"/>
      <c r="J680" s="263"/>
      <c r="K680" s="263"/>
      <c r="L680" s="263"/>
      <c r="M680" s="263"/>
      <c r="N680" s="263"/>
      <c r="O680" s="263"/>
      <c r="P680" s="263"/>
      <c r="Q680" s="263"/>
      <c r="R680" s="263"/>
      <c r="S680" s="263"/>
      <c r="T680" s="263"/>
      <c r="U680" s="263"/>
      <c r="V680" s="263"/>
      <c r="W680" s="263"/>
      <c r="X680" s="263"/>
      <c r="Y680" s="263"/>
      <c r="Z680" s="263"/>
      <c r="AA680" s="263"/>
      <c r="AB680" s="263"/>
    </row>
    <row r="681" spans="1:28" ht="16" x14ac:dyDescent="0.2">
      <c r="A681" s="263"/>
      <c r="B681" s="263"/>
      <c r="C681" s="309"/>
      <c r="D681" s="263"/>
      <c r="E681" s="263"/>
      <c r="F681" s="263"/>
      <c r="G681" s="263"/>
      <c r="H681" s="263"/>
      <c r="I681" s="263"/>
      <c r="J681" s="263"/>
      <c r="K681" s="263"/>
      <c r="L681" s="263"/>
      <c r="M681" s="263"/>
      <c r="N681" s="263"/>
      <c r="O681" s="263"/>
      <c r="P681" s="263"/>
      <c r="Q681" s="263"/>
      <c r="R681" s="263"/>
      <c r="S681" s="263"/>
      <c r="T681" s="263"/>
      <c r="U681" s="263"/>
      <c r="V681" s="263"/>
      <c r="W681" s="263"/>
      <c r="X681" s="263"/>
      <c r="Y681" s="263"/>
      <c r="Z681" s="263"/>
      <c r="AA681" s="263"/>
      <c r="AB681" s="263"/>
    </row>
    <row r="682" spans="1:28" ht="16" x14ac:dyDescent="0.2">
      <c r="A682" s="263"/>
      <c r="B682" s="263"/>
      <c r="C682" s="309"/>
      <c r="D682" s="263"/>
      <c r="E682" s="263"/>
      <c r="F682" s="263"/>
      <c r="G682" s="263"/>
      <c r="H682" s="263"/>
      <c r="I682" s="263"/>
      <c r="J682" s="263"/>
      <c r="K682" s="263"/>
      <c r="L682" s="263"/>
      <c r="M682" s="263"/>
      <c r="N682" s="263"/>
      <c r="O682" s="263"/>
      <c r="P682" s="263"/>
      <c r="Q682" s="263"/>
      <c r="R682" s="263"/>
      <c r="S682" s="263"/>
      <c r="T682" s="263"/>
      <c r="U682" s="263"/>
      <c r="V682" s="263"/>
      <c r="W682" s="263"/>
      <c r="X682" s="263"/>
      <c r="Y682" s="263"/>
      <c r="Z682" s="263"/>
      <c r="AA682" s="263"/>
      <c r="AB682" s="263"/>
    </row>
    <row r="683" spans="1:28" ht="16" x14ac:dyDescent="0.2">
      <c r="A683" s="263"/>
      <c r="B683" s="263"/>
      <c r="C683" s="309"/>
      <c r="D683" s="263"/>
      <c r="E683" s="263"/>
      <c r="F683" s="263"/>
      <c r="G683" s="263"/>
      <c r="H683" s="263"/>
      <c r="I683" s="263"/>
      <c r="J683" s="263"/>
      <c r="K683" s="263"/>
      <c r="L683" s="263"/>
      <c r="M683" s="263"/>
      <c r="N683" s="263"/>
      <c r="O683" s="263"/>
      <c r="P683" s="263"/>
      <c r="Q683" s="263"/>
      <c r="R683" s="263"/>
      <c r="S683" s="263"/>
      <c r="T683" s="263"/>
      <c r="U683" s="263"/>
      <c r="V683" s="263"/>
      <c r="W683" s="263"/>
      <c r="X683" s="263"/>
      <c r="Y683" s="263"/>
      <c r="Z683" s="263"/>
      <c r="AA683" s="263"/>
      <c r="AB683" s="263"/>
    </row>
    <row r="684" spans="1:28" ht="16" x14ac:dyDescent="0.2">
      <c r="A684" s="263"/>
      <c r="B684" s="263"/>
      <c r="C684" s="309"/>
      <c r="D684" s="263"/>
      <c r="E684" s="263"/>
      <c r="F684" s="263"/>
      <c r="G684" s="263"/>
      <c r="H684" s="263"/>
      <c r="I684" s="263"/>
      <c r="J684" s="263"/>
      <c r="K684" s="263"/>
      <c r="L684" s="263"/>
      <c r="M684" s="263"/>
      <c r="N684" s="263"/>
      <c r="O684" s="263"/>
      <c r="P684" s="263"/>
      <c r="Q684" s="263"/>
      <c r="R684" s="263"/>
      <c r="S684" s="263"/>
      <c r="T684" s="263"/>
      <c r="U684" s="263"/>
      <c r="V684" s="263"/>
      <c r="W684" s="263"/>
      <c r="X684" s="263"/>
      <c r="Y684" s="263"/>
      <c r="Z684" s="263"/>
      <c r="AA684" s="263"/>
      <c r="AB684" s="263"/>
    </row>
    <row r="685" spans="1:28" ht="16" x14ac:dyDescent="0.2">
      <c r="A685" s="263"/>
      <c r="B685" s="263"/>
      <c r="C685" s="309"/>
      <c r="D685" s="263"/>
      <c r="E685" s="263"/>
      <c r="F685" s="263"/>
      <c r="G685" s="263"/>
      <c r="H685" s="263"/>
      <c r="I685" s="263"/>
      <c r="J685" s="263"/>
      <c r="K685" s="263"/>
      <c r="L685" s="263"/>
      <c r="M685" s="263"/>
      <c r="N685" s="263"/>
      <c r="O685" s="263"/>
      <c r="P685" s="263"/>
      <c r="Q685" s="263"/>
      <c r="R685" s="263"/>
      <c r="S685" s="263"/>
      <c r="T685" s="263"/>
      <c r="U685" s="263"/>
      <c r="V685" s="263"/>
      <c r="W685" s="263"/>
      <c r="X685" s="263"/>
      <c r="Y685" s="263"/>
      <c r="Z685" s="263"/>
      <c r="AA685" s="263"/>
      <c r="AB685" s="263"/>
    </row>
    <row r="686" spans="1:28" ht="16" x14ac:dyDescent="0.2">
      <c r="A686" s="263"/>
      <c r="B686" s="263"/>
      <c r="C686" s="309"/>
      <c r="D686" s="263"/>
      <c r="E686" s="263"/>
      <c r="F686" s="263"/>
      <c r="G686" s="263"/>
      <c r="H686" s="263"/>
      <c r="I686" s="263"/>
      <c r="J686" s="263"/>
      <c r="K686" s="263"/>
      <c r="L686" s="263"/>
      <c r="M686" s="263"/>
      <c r="N686" s="263"/>
      <c r="O686" s="263"/>
      <c r="P686" s="263"/>
      <c r="Q686" s="263"/>
      <c r="R686" s="263"/>
      <c r="S686" s="263"/>
      <c r="T686" s="263"/>
      <c r="U686" s="263"/>
      <c r="V686" s="263"/>
      <c r="W686" s="263"/>
      <c r="X686" s="263"/>
      <c r="Y686" s="263"/>
      <c r="Z686" s="263"/>
      <c r="AA686" s="263"/>
      <c r="AB686" s="263"/>
    </row>
    <row r="687" spans="1:28" ht="16" x14ac:dyDescent="0.2">
      <c r="A687" s="263"/>
      <c r="B687" s="263"/>
      <c r="C687" s="309"/>
      <c r="D687" s="263"/>
      <c r="E687" s="263"/>
      <c r="F687" s="263"/>
      <c r="G687" s="263"/>
      <c r="H687" s="263"/>
      <c r="I687" s="263"/>
      <c r="J687" s="263"/>
      <c r="K687" s="263"/>
      <c r="L687" s="263"/>
      <c r="M687" s="263"/>
      <c r="N687" s="263"/>
      <c r="O687" s="263"/>
      <c r="P687" s="263"/>
      <c r="Q687" s="263"/>
      <c r="R687" s="263"/>
      <c r="S687" s="263"/>
      <c r="T687" s="263"/>
      <c r="U687" s="263"/>
      <c r="V687" s="263"/>
      <c r="W687" s="263"/>
      <c r="X687" s="263"/>
      <c r="Y687" s="263"/>
      <c r="Z687" s="263"/>
      <c r="AA687" s="263"/>
      <c r="AB687" s="263"/>
    </row>
    <row r="688" spans="1:28" ht="16" x14ac:dyDescent="0.2">
      <c r="A688" s="263"/>
      <c r="B688" s="263"/>
      <c r="C688" s="309"/>
      <c r="D688" s="263"/>
      <c r="E688" s="263"/>
      <c r="F688" s="263"/>
      <c r="G688" s="263"/>
      <c r="H688" s="263"/>
      <c r="I688" s="263"/>
      <c r="J688" s="263"/>
      <c r="K688" s="263"/>
      <c r="L688" s="263"/>
      <c r="M688" s="263"/>
      <c r="N688" s="263"/>
      <c r="O688" s="263"/>
      <c r="P688" s="263"/>
      <c r="Q688" s="263"/>
      <c r="R688" s="263"/>
      <c r="S688" s="263"/>
      <c r="T688" s="263"/>
      <c r="U688" s="263"/>
      <c r="V688" s="263"/>
      <c r="W688" s="263"/>
      <c r="X688" s="263"/>
      <c r="Y688" s="263"/>
      <c r="Z688" s="263"/>
      <c r="AA688" s="263"/>
      <c r="AB688" s="263"/>
    </row>
    <row r="689" spans="1:28" ht="16" x14ac:dyDescent="0.2">
      <c r="A689" s="263"/>
      <c r="B689" s="263"/>
      <c r="C689" s="309"/>
      <c r="D689" s="263"/>
      <c r="E689" s="263"/>
      <c r="F689" s="263"/>
      <c r="G689" s="263"/>
      <c r="H689" s="263"/>
      <c r="I689" s="263"/>
      <c r="J689" s="263"/>
      <c r="K689" s="263"/>
      <c r="L689" s="263"/>
      <c r="M689" s="263"/>
      <c r="N689" s="263"/>
      <c r="O689" s="263"/>
      <c r="P689" s="263"/>
      <c r="Q689" s="263"/>
      <c r="R689" s="263"/>
      <c r="S689" s="263"/>
      <c r="T689" s="263"/>
      <c r="U689" s="263"/>
      <c r="V689" s="263"/>
      <c r="W689" s="263"/>
      <c r="X689" s="263"/>
      <c r="Y689" s="263"/>
      <c r="Z689" s="263"/>
      <c r="AA689" s="263"/>
      <c r="AB689" s="263"/>
    </row>
    <row r="690" spans="1:28" ht="16" x14ac:dyDescent="0.2">
      <c r="A690" s="263"/>
      <c r="B690" s="263"/>
      <c r="C690" s="309"/>
      <c r="D690" s="263"/>
      <c r="E690" s="263"/>
      <c r="F690" s="263"/>
      <c r="G690" s="263"/>
      <c r="H690" s="263"/>
      <c r="I690" s="263"/>
      <c r="J690" s="263"/>
      <c r="K690" s="263"/>
      <c r="L690" s="263"/>
      <c r="M690" s="263"/>
      <c r="N690" s="263"/>
      <c r="O690" s="263"/>
      <c r="P690" s="263"/>
      <c r="Q690" s="263"/>
      <c r="R690" s="263"/>
      <c r="S690" s="263"/>
      <c r="T690" s="263"/>
      <c r="U690" s="263"/>
      <c r="V690" s="263"/>
      <c r="W690" s="263"/>
      <c r="X690" s="263"/>
      <c r="Y690" s="263"/>
      <c r="Z690" s="263"/>
      <c r="AA690" s="263"/>
      <c r="AB690" s="263"/>
    </row>
    <row r="691" spans="1:28" ht="16" x14ac:dyDescent="0.2">
      <c r="A691" s="263"/>
      <c r="B691" s="263"/>
      <c r="C691" s="309"/>
      <c r="D691" s="263"/>
      <c r="E691" s="263"/>
      <c r="F691" s="263"/>
      <c r="G691" s="263"/>
      <c r="H691" s="263"/>
      <c r="I691" s="263"/>
      <c r="J691" s="263"/>
      <c r="K691" s="263"/>
      <c r="L691" s="263"/>
      <c r="M691" s="263"/>
      <c r="N691" s="263"/>
      <c r="O691" s="263"/>
      <c r="P691" s="263"/>
      <c r="Q691" s="263"/>
      <c r="R691" s="263"/>
      <c r="S691" s="263"/>
      <c r="T691" s="263"/>
      <c r="U691" s="263"/>
      <c r="V691" s="263"/>
      <c r="W691" s="263"/>
      <c r="X691" s="263"/>
      <c r="Y691" s="263"/>
      <c r="Z691" s="263"/>
      <c r="AA691" s="263"/>
      <c r="AB691" s="263"/>
    </row>
    <row r="692" spans="1:28" ht="16" x14ac:dyDescent="0.2">
      <c r="A692" s="263"/>
      <c r="B692" s="263"/>
      <c r="C692" s="309"/>
      <c r="D692" s="263"/>
      <c r="E692" s="263"/>
      <c r="F692" s="263"/>
      <c r="G692" s="263"/>
      <c r="H692" s="263"/>
      <c r="I692" s="263"/>
      <c r="J692" s="263"/>
      <c r="K692" s="263"/>
      <c r="L692" s="263"/>
      <c r="M692" s="263"/>
      <c r="N692" s="263"/>
      <c r="O692" s="263"/>
      <c r="P692" s="263"/>
      <c r="Q692" s="263"/>
      <c r="R692" s="263"/>
      <c r="S692" s="263"/>
      <c r="T692" s="263"/>
      <c r="U692" s="263"/>
      <c r="V692" s="263"/>
      <c r="W692" s="263"/>
      <c r="X692" s="263"/>
      <c r="Y692" s="263"/>
      <c r="Z692" s="263"/>
      <c r="AA692" s="263"/>
      <c r="AB692" s="263"/>
    </row>
    <row r="693" spans="1:28" ht="16" x14ac:dyDescent="0.2">
      <c r="A693" s="263"/>
      <c r="B693" s="263"/>
      <c r="C693" s="309"/>
      <c r="D693" s="263"/>
      <c r="E693" s="263"/>
      <c r="F693" s="263"/>
      <c r="G693" s="263"/>
      <c r="H693" s="263"/>
      <c r="I693" s="263"/>
      <c r="J693" s="263"/>
      <c r="K693" s="263"/>
      <c r="L693" s="263"/>
      <c r="M693" s="263"/>
      <c r="N693" s="263"/>
      <c r="O693" s="263"/>
      <c r="P693" s="263"/>
      <c r="Q693" s="263"/>
      <c r="R693" s="263"/>
      <c r="S693" s="263"/>
      <c r="T693" s="263"/>
      <c r="U693" s="263"/>
      <c r="V693" s="263"/>
      <c r="W693" s="263"/>
      <c r="X693" s="263"/>
      <c r="Y693" s="263"/>
      <c r="Z693" s="263"/>
      <c r="AA693" s="263"/>
      <c r="AB693" s="263"/>
    </row>
    <row r="694" spans="1:28" ht="16" x14ac:dyDescent="0.2">
      <c r="A694" s="263"/>
      <c r="B694" s="263"/>
      <c r="C694" s="309"/>
      <c r="D694" s="263"/>
      <c r="E694" s="263"/>
      <c r="F694" s="263"/>
      <c r="G694" s="263"/>
      <c r="H694" s="263"/>
      <c r="I694" s="263"/>
      <c r="J694" s="263"/>
      <c r="K694" s="263"/>
      <c r="L694" s="263"/>
      <c r="M694" s="263"/>
      <c r="N694" s="263"/>
      <c r="O694" s="263"/>
      <c r="P694" s="263"/>
      <c r="Q694" s="263"/>
      <c r="R694" s="263"/>
      <c r="S694" s="263"/>
      <c r="T694" s="263"/>
      <c r="U694" s="263"/>
      <c r="V694" s="263"/>
      <c r="W694" s="263"/>
      <c r="X694" s="263"/>
      <c r="Y694" s="263"/>
      <c r="Z694" s="263"/>
      <c r="AA694" s="263"/>
      <c r="AB694" s="263"/>
    </row>
    <row r="695" spans="1:28" ht="16" x14ac:dyDescent="0.2">
      <c r="A695" s="263"/>
      <c r="B695" s="263"/>
      <c r="C695" s="309"/>
      <c r="D695" s="263"/>
      <c r="E695" s="263"/>
      <c r="F695" s="263"/>
      <c r="G695" s="263"/>
      <c r="H695" s="263"/>
      <c r="I695" s="263"/>
      <c r="J695" s="263"/>
      <c r="K695" s="263"/>
      <c r="L695" s="263"/>
      <c r="M695" s="263"/>
      <c r="N695" s="263"/>
      <c r="O695" s="263"/>
      <c r="P695" s="263"/>
      <c r="Q695" s="263"/>
      <c r="R695" s="263"/>
      <c r="S695" s="263"/>
      <c r="T695" s="263"/>
      <c r="U695" s="263"/>
      <c r="V695" s="263"/>
      <c r="W695" s="263"/>
      <c r="X695" s="263"/>
      <c r="Y695" s="263"/>
      <c r="Z695" s="263"/>
      <c r="AA695" s="263"/>
      <c r="AB695" s="263"/>
    </row>
    <row r="696" spans="1:28" ht="16" x14ac:dyDescent="0.2">
      <c r="A696" s="263"/>
      <c r="B696" s="263"/>
      <c r="C696" s="309"/>
      <c r="D696" s="263"/>
      <c r="E696" s="263"/>
      <c r="F696" s="263"/>
      <c r="G696" s="263"/>
      <c r="H696" s="263"/>
      <c r="I696" s="263"/>
      <c r="J696" s="263"/>
      <c r="K696" s="263"/>
      <c r="L696" s="263"/>
      <c r="M696" s="263"/>
      <c r="N696" s="263"/>
      <c r="O696" s="263"/>
      <c r="P696" s="263"/>
      <c r="Q696" s="263"/>
      <c r="R696" s="263"/>
      <c r="S696" s="263"/>
      <c r="T696" s="263"/>
      <c r="U696" s="263"/>
      <c r="V696" s="263"/>
      <c r="W696" s="263"/>
      <c r="X696" s="263"/>
      <c r="Y696" s="263"/>
      <c r="Z696" s="263"/>
      <c r="AA696" s="263"/>
      <c r="AB696" s="263"/>
    </row>
    <row r="697" spans="1:28" ht="16" x14ac:dyDescent="0.2">
      <c r="A697" s="263"/>
      <c r="B697" s="263"/>
      <c r="C697" s="309"/>
      <c r="D697" s="263"/>
      <c r="E697" s="263"/>
      <c r="F697" s="263"/>
      <c r="G697" s="263"/>
      <c r="H697" s="263"/>
      <c r="I697" s="263"/>
      <c r="J697" s="263"/>
      <c r="K697" s="263"/>
      <c r="L697" s="263"/>
      <c r="M697" s="263"/>
      <c r="N697" s="263"/>
      <c r="O697" s="263"/>
      <c r="P697" s="263"/>
      <c r="Q697" s="263"/>
      <c r="R697" s="263"/>
      <c r="S697" s="263"/>
      <c r="T697" s="263"/>
      <c r="U697" s="263"/>
      <c r="V697" s="263"/>
      <c r="W697" s="263"/>
      <c r="X697" s="263"/>
      <c r="Y697" s="263"/>
      <c r="Z697" s="263"/>
      <c r="AA697" s="263"/>
      <c r="AB697" s="263"/>
    </row>
    <row r="698" spans="1:28" ht="16" x14ac:dyDescent="0.2">
      <c r="A698" s="263"/>
      <c r="B698" s="263"/>
      <c r="C698" s="309"/>
      <c r="D698" s="263"/>
      <c r="E698" s="263"/>
      <c r="F698" s="263"/>
      <c r="G698" s="263"/>
      <c r="H698" s="263"/>
      <c r="I698" s="263"/>
      <c r="J698" s="263"/>
      <c r="K698" s="263"/>
      <c r="L698" s="263"/>
      <c r="M698" s="263"/>
      <c r="N698" s="263"/>
      <c r="O698" s="263"/>
      <c r="P698" s="263"/>
      <c r="Q698" s="263"/>
      <c r="R698" s="263"/>
      <c r="S698" s="263"/>
      <c r="T698" s="263"/>
      <c r="U698" s="263"/>
      <c r="V698" s="263"/>
      <c r="W698" s="263"/>
      <c r="X698" s="263"/>
      <c r="Y698" s="263"/>
      <c r="Z698" s="263"/>
      <c r="AA698" s="263"/>
      <c r="AB698" s="263"/>
    </row>
    <row r="699" spans="1:28" ht="16" x14ac:dyDescent="0.2">
      <c r="A699" s="263"/>
      <c r="B699" s="263"/>
      <c r="C699" s="309"/>
      <c r="D699" s="263"/>
      <c r="E699" s="263"/>
      <c r="F699" s="263"/>
      <c r="G699" s="263"/>
      <c r="H699" s="263"/>
      <c r="I699" s="263"/>
      <c r="J699" s="263"/>
      <c r="K699" s="263"/>
      <c r="L699" s="263"/>
      <c r="M699" s="263"/>
      <c r="N699" s="263"/>
      <c r="O699" s="263"/>
      <c r="P699" s="263"/>
      <c r="Q699" s="263"/>
      <c r="R699" s="263"/>
      <c r="S699" s="263"/>
      <c r="T699" s="263"/>
      <c r="U699" s="263"/>
      <c r="V699" s="263"/>
      <c r="W699" s="263"/>
      <c r="X699" s="263"/>
      <c r="Y699" s="263"/>
      <c r="Z699" s="263"/>
      <c r="AA699" s="263"/>
      <c r="AB699" s="263"/>
    </row>
    <row r="700" spans="1:28" ht="16" x14ac:dyDescent="0.2">
      <c r="A700" s="263"/>
      <c r="B700" s="263"/>
      <c r="C700" s="309"/>
      <c r="D700" s="263"/>
      <c r="E700" s="263"/>
      <c r="F700" s="263"/>
      <c r="G700" s="263"/>
      <c r="H700" s="263"/>
      <c r="I700" s="263"/>
      <c r="J700" s="263"/>
      <c r="K700" s="263"/>
      <c r="L700" s="263"/>
      <c r="M700" s="263"/>
      <c r="N700" s="263"/>
      <c r="O700" s="263"/>
      <c r="P700" s="263"/>
      <c r="Q700" s="263"/>
      <c r="R700" s="263"/>
      <c r="S700" s="263"/>
      <c r="T700" s="263"/>
      <c r="U700" s="263"/>
      <c r="V700" s="263"/>
      <c r="W700" s="263"/>
      <c r="X700" s="263"/>
      <c r="Y700" s="263"/>
      <c r="Z700" s="263"/>
      <c r="AA700" s="263"/>
      <c r="AB700" s="263"/>
    </row>
    <row r="701" spans="1:28" ht="16" x14ac:dyDescent="0.2">
      <c r="A701" s="263"/>
      <c r="B701" s="263"/>
      <c r="C701" s="309"/>
      <c r="D701" s="263"/>
      <c r="E701" s="263"/>
      <c r="F701" s="263"/>
      <c r="G701" s="263"/>
      <c r="H701" s="263"/>
      <c r="I701" s="263"/>
      <c r="J701" s="263"/>
      <c r="K701" s="263"/>
      <c r="L701" s="263"/>
      <c r="M701" s="263"/>
      <c r="N701" s="263"/>
      <c r="O701" s="263"/>
      <c r="P701" s="263"/>
      <c r="Q701" s="263"/>
      <c r="R701" s="263"/>
      <c r="S701" s="263"/>
      <c r="T701" s="263"/>
      <c r="U701" s="263"/>
      <c r="V701" s="263"/>
      <c r="W701" s="263"/>
      <c r="X701" s="263"/>
      <c r="Y701" s="263"/>
      <c r="Z701" s="263"/>
      <c r="AA701" s="263"/>
      <c r="AB701" s="263"/>
    </row>
    <row r="702" spans="1:28" ht="16" x14ac:dyDescent="0.2">
      <c r="A702" s="263"/>
      <c r="B702" s="263"/>
      <c r="C702" s="309"/>
      <c r="D702" s="263"/>
      <c r="E702" s="263"/>
      <c r="F702" s="263"/>
      <c r="G702" s="263"/>
      <c r="H702" s="263"/>
      <c r="I702" s="263"/>
      <c r="J702" s="263"/>
      <c r="K702" s="263"/>
      <c r="L702" s="263"/>
      <c r="M702" s="263"/>
      <c r="N702" s="263"/>
      <c r="O702" s="263"/>
      <c r="P702" s="263"/>
      <c r="Q702" s="263"/>
      <c r="R702" s="263"/>
      <c r="S702" s="263"/>
      <c r="T702" s="263"/>
      <c r="U702" s="263"/>
      <c r="V702" s="263"/>
      <c r="W702" s="263"/>
      <c r="X702" s="263"/>
      <c r="Y702" s="263"/>
      <c r="Z702" s="263"/>
      <c r="AA702" s="263"/>
      <c r="AB702" s="263"/>
    </row>
    <row r="703" spans="1:28" ht="16" x14ac:dyDescent="0.2">
      <c r="A703" s="263"/>
      <c r="B703" s="263"/>
      <c r="C703" s="309"/>
      <c r="D703" s="263"/>
      <c r="E703" s="263"/>
      <c r="F703" s="263"/>
      <c r="G703" s="263"/>
      <c r="H703" s="263"/>
      <c r="I703" s="263"/>
      <c r="J703" s="263"/>
      <c r="K703" s="263"/>
      <c r="L703" s="263"/>
      <c r="M703" s="263"/>
      <c r="N703" s="263"/>
      <c r="O703" s="263"/>
      <c r="P703" s="263"/>
      <c r="Q703" s="263"/>
      <c r="R703" s="263"/>
      <c r="S703" s="263"/>
      <c r="T703" s="263"/>
      <c r="U703" s="263"/>
      <c r="V703" s="263"/>
      <c r="W703" s="263"/>
      <c r="X703" s="263"/>
      <c r="Y703" s="263"/>
      <c r="Z703" s="263"/>
      <c r="AA703" s="263"/>
      <c r="AB703" s="263"/>
    </row>
    <row r="704" spans="1:28" ht="16" x14ac:dyDescent="0.2">
      <c r="A704" s="263"/>
      <c r="B704" s="263"/>
      <c r="C704" s="309"/>
      <c r="D704" s="263"/>
      <c r="E704" s="263"/>
      <c r="F704" s="263"/>
      <c r="G704" s="263"/>
      <c r="H704" s="263"/>
      <c r="I704" s="263"/>
      <c r="J704" s="263"/>
      <c r="K704" s="263"/>
      <c r="L704" s="263"/>
      <c r="M704" s="263"/>
      <c r="N704" s="263"/>
      <c r="O704" s="263"/>
      <c r="P704" s="263"/>
      <c r="Q704" s="263"/>
      <c r="R704" s="263"/>
      <c r="S704" s="263"/>
      <c r="T704" s="263"/>
      <c r="U704" s="263"/>
      <c r="V704" s="263"/>
      <c r="W704" s="263"/>
      <c r="X704" s="263"/>
      <c r="Y704" s="263"/>
      <c r="Z704" s="263"/>
      <c r="AA704" s="263"/>
      <c r="AB704" s="263"/>
    </row>
    <row r="705" spans="1:28" ht="16" x14ac:dyDescent="0.2">
      <c r="A705" s="263"/>
      <c r="B705" s="263"/>
      <c r="C705" s="309"/>
      <c r="D705" s="263"/>
      <c r="E705" s="263"/>
      <c r="F705" s="263"/>
      <c r="G705" s="263"/>
      <c r="H705" s="263"/>
      <c r="I705" s="263"/>
      <c r="J705" s="263"/>
      <c r="K705" s="263"/>
      <c r="L705" s="263"/>
      <c r="M705" s="263"/>
      <c r="N705" s="263"/>
      <c r="O705" s="263"/>
      <c r="P705" s="263"/>
      <c r="Q705" s="263"/>
      <c r="R705" s="263"/>
      <c r="S705" s="263"/>
      <c r="T705" s="263"/>
      <c r="U705" s="263"/>
      <c r="V705" s="263"/>
      <c r="W705" s="263"/>
      <c r="X705" s="263"/>
      <c r="Y705" s="263"/>
      <c r="Z705" s="263"/>
      <c r="AA705" s="263"/>
      <c r="AB705" s="263"/>
    </row>
    <row r="706" spans="1:28" ht="16" x14ac:dyDescent="0.2">
      <c r="A706" s="263"/>
      <c r="B706" s="263"/>
      <c r="C706" s="309"/>
      <c r="D706" s="263"/>
      <c r="E706" s="263"/>
      <c r="F706" s="263"/>
      <c r="G706" s="263"/>
      <c r="H706" s="263"/>
      <c r="I706" s="263"/>
      <c r="J706" s="263"/>
      <c r="K706" s="263"/>
      <c r="L706" s="263"/>
      <c r="M706" s="263"/>
      <c r="N706" s="263"/>
      <c r="O706" s="263"/>
      <c r="P706" s="263"/>
      <c r="Q706" s="263"/>
      <c r="R706" s="263"/>
      <c r="S706" s="263"/>
      <c r="T706" s="263"/>
      <c r="U706" s="263"/>
      <c r="V706" s="263"/>
      <c r="W706" s="263"/>
      <c r="X706" s="263"/>
      <c r="Y706" s="263"/>
      <c r="Z706" s="263"/>
      <c r="AA706" s="263"/>
      <c r="AB706" s="263"/>
    </row>
    <row r="707" spans="1:28" ht="16" x14ac:dyDescent="0.2">
      <c r="A707" s="263"/>
      <c r="B707" s="263"/>
      <c r="C707" s="309"/>
      <c r="D707" s="263"/>
      <c r="E707" s="263"/>
      <c r="F707" s="263"/>
      <c r="G707" s="263"/>
      <c r="H707" s="263"/>
      <c r="I707" s="263"/>
      <c r="J707" s="263"/>
      <c r="K707" s="263"/>
      <c r="L707" s="263"/>
      <c r="M707" s="263"/>
      <c r="N707" s="263"/>
      <c r="O707" s="263"/>
      <c r="P707" s="263"/>
      <c r="Q707" s="263"/>
      <c r="R707" s="263"/>
      <c r="S707" s="263"/>
      <c r="T707" s="263"/>
      <c r="U707" s="263"/>
      <c r="V707" s="263"/>
      <c r="W707" s="263"/>
      <c r="X707" s="263"/>
      <c r="Y707" s="263"/>
      <c r="Z707" s="263"/>
      <c r="AA707" s="263"/>
      <c r="AB707" s="263"/>
    </row>
    <row r="708" spans="1:28" ht="16" x14ac:dyDescent="0.2">
      <c r="A708" s="263"/>
      <c r="B708" s="263"/>
      <c r="C708" s="309"/>
      <c r="D708" s="263"/>
      <c r="E708" s="263"/>
      <c r="F708" s="263"/>
      <c r="G708" s="263"/>
      <c r="H708" s="263"/>
      <c r="I708" s="263"/>
      <c r="J708" s="263"/>
      <c r="K708" s="263"/>
      <c r="L708" s="263"/>
      <c r="M708" s="263"/>
      <c r="N708" s="263"/>
      <c r="O708" s="263"/>
      <c r="P708" s="263"/>
      <c r="Q708" s="263"/>
      <c r="R708" s="263"/>
      <c r="S708" s="263"/>
      <c r="T708" s="263"/>
      <c r="U708" s="263"/>
      <c r="V708" s="263"/>
      <c r="W708" s="263"/>
      <c r="X708" s="263"/>
      <c r="Y708" s="263"/>
      <c r="Z708" s="263"/>
      <c r="AA708" s="263"/>
      <c r="AB708" s="263"/>
    </row>
    <row r="709" spans="1:28" ht="16" x14ac:dyDescent="0.2">
      <c r="A709" s="263"/>
      <c r="B709" s="263"/>
      <c r="C709" s="309"/>
      <c r="D709" s="263"/>
      <c r="E709" s="263"/>
      <c r="F709" s="263"/>
      <c r="G709" s="263"/>
      <c r="H709" s="263"/>
      <c r="I709" s="263"/>
      <c r="J709" s="263"/>
      <c r="K709" s="263"/>
      <c r="L709" s="263"/>
      <c r="M709" s="263"/>
      <c r="N709" s="263"/>
      <c r="O709" s="263"/>
      <c r="P709" s="263"/>
      <c r="Q709" s="263"/>
      <c r="R709" s="263"/>
      <c r="S709" s="263"/>
      <c r="T709" s="263"/>
      <c r="U709" s="263"/>
      <c r="V709" s="263"/>
      <c r="W709" s="263"/>
      <c r="X709" s="263"/>
      <c r="Y709" s="263"/>
      <c r="Z709" s="263"/>
      <c r="AA709" s="263"/>
      <c r="AB709" s="263"/>
    </row>
    <row r="710" spans="1:28" ht="16" x14ac:dyDescent="0.2">
      <c r="A710" s="263"/>
      <c r="B710" s="263"/>
      <c r="C710" s="309"/>
      <c r="D710" s="263"/>
      <c r="E710" s="263"/>
      <c r="F710" s="263"/>
      <c r="G710" s="263"/>
      <c r="H710" s="263"/>
      <c r="I710" s="263"/>
      <c r="J710" s="263"/>
      <c r="K710" s="263"/>
      <c r="L710" s="263"/>
      <c r="M710" s="263"/>
      <c r="N710" s="263"/>
      <c r="O710" s="263"/>
      <c r="P710" s="263"/>
      <c r="Q710" s="263"/>
      <c r="R710" s="263"/>
      <c r="S710" s="263"/>
      <c r="T710" s="263"/>
      <c r="U710" s="263"/>
      <c r="V710" s="263"/>
      <c r="W710" s="263"/>
      <c r="X710" s="263"/>
      <c r="Y710" s="263"/>
      <c r="Z710" s="263"/>
      <c r="AA710" s="263"/>
      <c r="AB710" s="263"/>
    </row>
    <row r="711" spans="1:28" ht="16" x14ac:dyDescent="0.2">
      <c r="A711" s="263"/>
      <c r="B711" s="263"/>
      <c r="C711" s="309"/>
      <c r="D711" s="263"/>
      <c r="E711" s="263"/>
      <c r="F711" s="263"/>
      <c r="G711" s="263"/>
      <c r="H711" s="263"/>
      <c r="I711" s="263"/>
      <c r="J711" s="263"/>
      <c r="K711" s="263"/>
      <c r="L711" s="263"/>
      <c r="M711" s="263"/>
      <c r="N711" s="263"/>
      <c r="O711" s="263"/>
      <c r="P711" s="263"/>
      <c r="Q711" s="263"/>
      <c r="R711" s="263"/>
      <c r="S711" s="263"/>
      <c r="T711" s="263"/>
      <c r="U711" s="263"/>
      <c r="V711" s="263"/>
      <c r="W711" s="263"/>
      <c r="X711" s="263"/>
      <c r="Y711" s="263"/>
      <c r="Z711" s="263"/>
      <c r="AA711" s="263"/>
      <c r="AB711" s="263"/>
    </row>
    <row r="712" spans="1:28" ht="16" x14ac:dyDescent="0.2">
      <c r="A712" s="263"/>
      <c r="B712" s="263"/>
      <c r="C712" s="309"/>
      <c r="D712" s="263"/>
      <c r="E712" s="263"/>
      <c r="F712" s="263"/>
      <c r="G712" s="263"/>
      <c r="H712" s="263"/>
      <c r="I712" s="263"/>
      <c r="J712" s="263"/>
      <c r="K712" s="263"/>
      <c r="L712" s="263"/>
      <c r="M712" s="263"/>
      <c r="N712" s="263"/>
      <c r="O712" s="263"/>
      <c r="P712" s="263"/>
      <c r="Q712" s="263"/>
      <c r="R712" s="263"/>
      <c r="S712" s="263"/>
      <c r="T712" s="263"/>
      <c r="U712" s="263"/>
      <c r="V712" s="263"/>
      <c r="W712" s="263"/>
      <c r="X712" s="263"/>
      <c r="Y712" s="263"/>
      <c r="Z712" s="263"/>
      <c r="AA712" s="263"/>
      <c r="AB712" s="263"/>
    </row>
    <row r="713" spans="1:28" ht="16" x14ac:dyDescent="0.2">
      <c r="A713" s="263"/>
      <c r="B713" s="263"/>
      <c r="C713" s="309"/>
      <c r="D713" s="263"/>
      <c r="E713" s="263"/>
      <c r="F713" s="263"/>
      <c r="G713" s="263"/>
      <c r="H713" s="263"/>
      <c r="I713" s="263"/>
      <c r="J713" s="263"/>
      <c r="K713" s="263"/>
      <c r="L713" s="263"/>
      <c r="M713" s="263"/>
      <c r="N713" s="263"/>
      <c r="O713" s="263"/>
      <c r="P713" s="263"/>
      <c r="Q713" s="263"/>
      <c r="R713" s="263"/>
      <c r="S713" s="263"/>
      <c r="T713" s="263"/>
      <c r="U713" s="263"/>
      <c r="V713" s="263"/>
      <c r="W713" s="263"/>
      <c r="X713" s="263"/>
      <c r="Y713" s="263"/>
      <c r="Z713" s="263"/>
      <c r="AA713" s="263"/>
      <c r="AB713" s="263"/>
    </row>
    <row r="714" spans="1:28" ht="16" x14ac:dyDescent="0.2">
      <c r="A714" s="263"/>
      <c r="B714" s="263"/>
      <c r="C714" s="309"/>
      <c r="D714" s="263"/>
      <c r="E714" s="263"/>
      <c r="F714" s="263"/>
      <c r="G714" s="263"/>
      <c r="H714" s="263"/>
      <c r="I714" s="263"/>
      <c r="J714" s="263"/>
      <c r="K714" s="263"/>
      <c r="L714" s="263"/>
      <c r="M714" s="263"/>
      <c r="N714" s="263"/>
      <c r="O714" s="263"/>
      <c r="P714" s="263"/>
      <c r="Q714" s="263"/>
      <c r="R714" s="263"/>
      <c r="S714" s="263"/>
      <c r="T714" s="263"/>
      <c r="U714" s="263"/>
      <c r="V714" s="263"/>
      <c r="W714" s="263"/>
      <c r="X714" s="263"/>
      <c r="Y714" s="263"/>
      <c r="Z714" s="263"/>
      <c r="AA714" s="263"/>
      <c r="AB714" s="263"/>
    </row>
    <row r="715" spans="1:28" ht="16" x14ac:dyDescent="0.2">
      <c r="A715" s="263"/>
      <c r="B715" s="263"/>
      <c r="C715" s="309"/>
      <c r="D715" s="263"/>
      <c r="E715" s="263"/>
      <c r="F715" s="263"/>
      <c r="G715" s="263"/>
      <c r="H715" s="263"/>
      <c r="I715" s="263"/>
      <c r="J715" s="263"/>
      <c r="K715" s="263"/>
      <c r="L715" s="263"/>
      <c r="M715" s="263"/>
      <c r="N715" s="263"/>
      <c r="O715" s="263"/>
      <c r="P715" s="263"/>
      <c r="Q715" s="263"/>
      <c r="R715" s="263"/>
      <c r="S715" s="263"/>
      <c r="T715" s="263"/>
      <c r="U715" s="263"/>
      <c r="V715" s="263"/>
      <c r="W715" s="263"/>
      <c r="X715" s="263"/>
      <c r="Y715" s="263"/>
      <c r="Z715" s="263"/>
      <c r="AA715" s="263"/>
      <c r="AB715" s="263"/>
    </row>
    <row r="716" spans="1:28" ht="16" x14ac:dyDescent="0.2">
      <c r="A716" s="263"/>
      <c r="B716" s="263"/>
      <c r="C716" s="309"/>
      <c r="D716" s="263"/>
      <c r="E716" s="263"/>
      <c r="F716" s="263"/>
      <c r="G716" s="263"/>
      <c r="H716" s="263"/>
      <c r="I716" s="263"/>
      <c r="J716" s="263"/>
      <c r="K716" s="263"/>
      <c r="L716" s="263"/>
      <c r="M716" s="263"/>
      <c r="N716" s="263"/>
      <c r="O716" s="263"/>
      <c r="P716" s="263"/>
      <c r="Q716" s="263"/>
      <c r="R716" s="263"/>
      <c r="S716" s="263"/>
      <c r="T716" s="263"/>
      <c r="U716" s="263"/>
      <c r="V716" s="263"/>
      <c r="W716" s="263"/>
      <c r="X716" s="263"/>
      <c r="Y716" s="263"/>
      <c r="Z716" s="263"/>
      <c r="AA716" s="263"/>
      <c r="AB716" s="263"/>
    </row>
    <row r="717" spans="1:28" ht="16" x14ac:dyDescent="0.2">
      <c r="A717" s="263"/>
      <c r="B717" s="263"/>
      <c r="C717" s="309"/>
      <c r="D717" s="263"/>
      <c r="E717" s="263"/>
      <c r="F717" s="263"/>
      <c r="G717" s="263"/>
      <c r="H717" s="263"/>
      <c r="I717" s="263"/>
      <c r="J717" s="263"/>
      <c r="K717" s="263"/>
      <c r="L717" s="263"/>
      <c r="M717" s="263"/>
      <c r="N717" s="263"/>
      <c r="O717" s="263"/>
      <c r="P717" s="263"/>
      <c r="Q717" s="263"/>
      <c r="R717" s="263"/>
      <c r="S717" s="263"/>
      <c r="T717" s="263"/>
      <c r="U717" s="263"/>
      <c r="V717" s="263"/>
      <c r="W717" s="263"/>
      <c r="X717" s="263"/>
      <c r="Y717" s="263"/>
      <c r="Z717" s="263"/>
      <c r="AA717" s="263"/>
      <c r="AB717" s="263"/>
    </row>
    <row r="718" spans="1:28" ht="16" x14ac:dyDescent="0.2">
      <c r="A718" s="263"/>
      <c r="B718" s="263"/>
      <c r="C718" s="309"/>
      <c r="D718" s="263"/>
      <c r="E718" s="263"/>
      <c r="F718" s="263"/>
      <c r="G718" s="263"/>
      <c r="H718" s="263"/>
      <c r="I718" s="263"/>
      <c r="J718" s="263"/>
      <c r="K718" s="263"/>
      <c r="L718" s="263"/>
      <c r="M718" s="263"/>
      <c r="N718" s="263"/>
      <c r="O718" s="263"/>
      <c r="P718" s="263"/>
      <c r="Q718" s="263"/>
      <c r="R718" s="263"/>
      <c r="S718" s="263"/>
      <c r="T718" s="263"/>
      <c r="U718" s="263"/>
      <c r="V718" s="263"/>
      <c r="W718" s="263"/>
      <c r="X718" s="263"/>
      <c r="Y718" s="263"/>
      <c r="Z718" s="263"/>
      <c r="AA718" s="263"/>
      <c r="AB718" s="263"/>
    </row>
    <row r="719" spans="1:28" ht="16" x14ac:dyDescent="0.2">
      <c r="A719" s="263"/>
      <c r="B719" s="263"/>
      <c r="C719" s="309"/>
      <c r="D719" s="263"/>
      <c r="E719" s="263"/>
      <c r="F719" s="263"/>
      <c r="G719" s="263"/>
      <c r="H719" s="263"/>
      <c r="I719" s="263"/>
      <c r="J719" s="263"/>
      <c r="K719" s="263"/>
      <c r="L719" s="263"/>
      <c r="M719" s="263"/>
      <c r="N719" s="263"/>
      <c r="O719" s="263"/>
      <c r="P719" s="263"/>
      <c r="Q719" s="263"/>
      <c r="R719" s="263"/>
      <c r="S719" s="263"/>
      <c r="T719" s="263"/>
      <c r="U719" s="263"/>
      <c r="V719" s="263"/>
      <c r="W719" s="263"/>
      <c r="X719" s="263"/>
      <c r="Y719" s="263"/>
      <c r="Z719" s="263"/>
      <c r="AA719" s="263"/>
      <c r="AB719" s="263"/>
    </row>
    <row r="720" spans="1:28" ht="16" x14ac:dyDescent="0.2">
      <c r="A720" s="263"/>
      <c r="B720" s="263"/>
      <c r="C720" s="309"/>
      <c r="D720" s="263"/>
      <c r="E720" s="263"/>
      <c r="F720" s="263"/>
      <c r="G720" s="263"/>
      <c r="H720" s="263"/>
      <c r="I720" s="263"/>
      <c r="J720" s="263"/>
      <c r="K720" s="263"/>
      <c r="L720" s="263"/>
      <c r="M720" s="263"/>
      <c r="N720" s="263"/>
      <c r="O720" s="263"/>
      <c r="P720" s="263"/>
      <c r="Q720" s="263"/>
      <c r="R720" s="263"/>
      <c r="S720" s="263"/>
      <c r="T720" s="263"/>
      <c r="U720" s="263"/>
      <c r="V720" s="263"/>
      <c r="W720" s="263"/>
      <c r="X720" s="263"/>
      <c r="Y720" s="263"/>
      <c r="Z720" s="263"/>
      <c r="AA720" s="263"/>
      <c r="AB720" s="263"/>
    </row>
    <row r="721" spans="1:28" ht="16" x14ac:dyDescent="0.2">
      <c r="A721" s="263"/>
      <c r="B721" s="263"/>
      <c r="C721" s="309"/>
      <c r="D721" s="263"/>
      <c r="E721" s="263"/>
      <c r="F721" s="263"/>
      <c r="G721" s="263"/>
      <c r="H721" s="263"/>
      <c r="I721" s="263"/>
      <c r="J721" s="263"/>
      <c r="K721" s="263"/>
      <c r="L721" s="263"/>
      <c r="M721" s="263"/>
      <c r="N721" s="263"/>
      <c r="O721" s="263"/>
      <c r="P721" s="263"/>
      <c r="Q721" s="263"/>
      <c r="R721" s="263"/>
      <c r="S721" s="263"/>
      <c r="T721" s="263"/>
      <c r="U721" s="263"/>
      <c r="V721" s="263"/>
      <c r="W721" s="263"/>
      <c r="X721" s="263"/>
      <c r="Y721" s="263"/>
      <c r="Z721" s="263"/>
      <c r="AA721" s="263"/>
      <c r="AB721" s="263"/>
    </row>
    <row r="722" spans="1:28" ht="16" x14ac:dyDescent="0.2">
      <c r="A722" s="263"/>
      <c r="B722" s="263"/>
      <c r="C722" s="309"/>
      <c r="D722" s="263"/>
      <c r="E722" s="263"/>
      <c r="F722" s="263"/>
      <c r="G722" s="263"/>
      <c r="H722" s="263"/>
      <c r="I722" s="263"/>
      <c r="J722" s="263"/>
      <c r="K722" s="263"/>
      <c r="L722" s="263"/>
      <c r="M722" s="263"/>
      <c r="N722" s="263"/>
      <c r="O722" s="263"/>
      <c r="P722" s="263"/>
      <c r="Q722" s="263"/>
      <c r="R722" s="263"/>
      <c r="S722" s="263"/>
      <c r="T722" s="263"/>
      <c r="U722" s="263"/>
      <c r="V722" s="263"/>
      <c r="W722" s="263"/>
      <c r="X722" s="263"/>
      <c r="Y722" s="263"/>
      <c r="Z722" s="263"/>
      <c r="AA722" s="263"/>
      <c r="AB722" s="263"/>
    </row>
    <row r="723" spans="1:28" ht="16" x14ac:dyDescent="0.2">
      <c r="A723" s="263"/>
      <c r="B723" s="263"/>
      <c r="C723" s="309"/>
      <c r="D723" s="263"/>
      <c r="E723" s="263"/>
      <c r="F723" s="263"/>
      <c r="G723" s="263"/>
      <c r="H723" s="263"/>
      <c r="I723" s="263"/>
      <c r="J723" s="263"/>
      <c r="K723" s="263"/>
      <c r="L723" s="263"/>
      <c r="M723" s="263"/>
      <c r="N723" s="263"/>
      <c r="O723" s="263"/>
      <c r="P723" s="263"/>
      <c r="Q723" s="263"/>
      <c r="R723" s="263"/>
      <c r="S723" s="263"/>
      <c r="T723" s="263"/>
      <c r="U723" s="263"/>
      <c r="V723" s="263"/>
      <c r="W723" s="263"/>
      <c r="X723" s="263"/>
      <c r="Y723" s="263"/>
      <c r="Z723" s="263"/>
      <c r="AA723" s="263"/>
      <c r="AB723" s="263"/>
    </row>
    <row r="724" spans="1:28" ht="16" x14ac:dyDescent="0.2">
      <c r="A724" s="263"/>
      <c r="B724" s="263"/>
      <c r="C724" s="309"/>
      <c r="D724" s="263"/>
      <c r="E724" s="263"/>
      <c r="F724" s="263"/>
      <c r="G724" s="263"/>
      <c r="H724" s="263"/>
      <c r="I724" s="263"/>
      <c r="J724" s="263"/>
      <c r="K724" s="263"/>
      <c r="L724" s="263"/>
      <c r="M724" s="263"/>
      <c r="N724" s="263"/>
      <c r="O724" s="263"/>
      <c r="P724" s="263"/>
      <c r="Q724" s="263"/>
      <c r="R724" s="263"/>
      <c r="S724" s="263"/>
      <c r="T724" s="263"/>
      <c r="U724" s="263"/>
      <c r="V724" s="263"/>
      <c r="W724" s="263"/>
      <c r="X724" s="263"/>
      <c r="Y724" s="263"/>
      <c r="Z724" s="263"/>
      <c r="AA724" s="263"/>
      <c r="AB724" s="263"/>
    </row>
    <row r="725" spans="1:28" ht="16" x14ac:dyDescent="0.2">
      <c r="A725" s="263"/>
      <c r="B725" s="263"/>
      <c r="C725" s="309"/>
      <c r="D725" s="263"/>
      <c r="E725" s="263"/>
      <c r="F725" s="263"/>
      <c r="G725" s="263"/>
      <c r="H725" s="263"/>
      <c r="I725" s="263"/>
      <c r="J725" s="263"/>
      <c r="K725" s="263"/>
      <c r="L725" s="263"/>
      <c r="M725" s="263"/>
      <c r="N725" s="263"/>
      <c r="O725" s="263"/>
      <c r="P725" s="263"/>
      <c r="Q725" s="263"/>
      <c r="R725" s="263"/>
      <c r="S725" s="263"/>
      <c r="T725" s="263"/>
      <c r="U725" s="263"/>
      <c r="V725" s="263"/>
      <c r="W725" s="263"/>
      <c r="X725" s="263"/>
      <c r="Y725" s="263"/>
      <c r="Z725" s="263"/>
      <c r="AA725" s="263"/>
      <c r="AB725" s="263"/>
    </row>
    <row r="726" spans="1:28" ht="16" x14ac:dyDescent="0.2">
      <c r="A726" s="263"/>
      <c r="B726" s="263"/>
      <c r="C726" s="309"/>
      <c r="D726" s="263"/>
      <c r="E726" s="263"/>
      <c r="F726" s="263"/>
      <c r="G726" s="263"/>
      <c r="H726" s="263"/>
      <c r="I726" s="263"/>
      <c r="J726" s="263"/>
      <c r="K726" s="263"/>
      <c r="L726" s="263"/>
      <c r="M726" s="263"/>
      <c r="N726" s="263"/>
      <c r="O726" s="263"/>
      <c r="P726" s="263"/>
      <c r="Q726" s="263"/>
      <c r="R726" s="263"/>
      <c r="S726" s="263"/>
      <c r="T726" s="263"/>
      <c r="U726" s="263"/>
      <c r="V726" s="263"/>
      <c r="W726" s="263"/>
      <c r="X726" s="263"/>
      <c r="Y726" s="263"/>
      <c r="Z726" s="263"/>
      <c r="AA726" s="263"/>
      <c r="AB726" s="263"/>
    </row>
    <row r="727" spans="1:28" ht="16" x14ac:dyDescent="0.2">
      <c r="A727" s="263"/>
      <c r="B727" s="263"/>
      <c r="C727" s="309"/>
      <c r="D727" s="263"/>
      <c r="E727" s="263"/>
      <c r="F727" s="263"/>
      <c r="G727" s="263"/>
      <c r="H727" s="263"/>
      <c r="I727" s="263"/>
      <c r="J727" s="263"/>
      <c r="K727" s="263"/>
      <c r="L727" s="263"/>
      <c r="M727" s="263"/>
      <c r="N727" s="263"/>
      <c r="O727" s="263"/>
      <c r="P727" s="263"/>
      <c r="Q727" s="263"/>
      <c r="R727" s="263"/>
      <c r="S727" s="263"/>
      <c r="T727" s="263"/>
      <c r="U727" s="263"/>
      <c r="V727" s="263"/>
      <c r="W727" s="263"/>
      <c r="X727" s="263"/>
      <c r="Y727" s="263"/>
      <c r="Z727" s="263"/>
      <c r="AA727" s="263"/>
      <c r="AB727" s="263"/>
    </row>
    <row r="728" spans="1:28" ht="16" x14ac:dyDescent="0.2">
      <c r="A728" s="263"/>
      <c r="B728" s="263"/>
      <c r="C728" s="309"/>
      <c r="D728" s="263"/>
      <c r="E728" s="263"/>
      <c r="F728" s="263"/>
      <c r="G728" s="263"/>
      <c r="H728" s="263"/>
      <c r="I728" s="263"/>
      <c r="J728" s="263"/>
      <c r="K728" s="263"/>
      <c r="L728" s="263"/>
      <c r="M728" s="263"/>
      <c r="N728" s="263"/>
      <c r="O728" s="263"/>
      <c r="P728" s="263"/>
      <c r="Q728" s="263"/>
      <c r="R728" s="263"/>
      <c r="S728" s="263"/>
      <c r="T728" s="263"/>
      <c r="U728" s="263"/>
      <c r="V728" s="263"/>
      <c r="W728" s="263"/>
      <c r="X728" s="263"/>
      <c r="Y728" s="263"/>
      <c r="Z728" s="263"/>
      <c r="AA728" s="263"/>
      <c r="AB728" s="263"/>
    </row>
    <row r="729" spans="1:28" ht="16" x14ac:dyDescent="0.2">
      <c r="A729" s="263"/>
      <c r="B729" s="263"/>
      <c r="C729" s="309"/>
      <c r="D729" s="263"/>
      <c r="E729" s="263"/>
      <c r="F729" s="263"/>
      <c r="G729" s="263"/>
      <c r="H729" s="263"/>
      <c r="I729" s="263"/>
      <c r="J729" s="263"/>
      <c r="K729" s="263"/>
      <c r="L729" s="263"/>
      <c r="M729" s="263"/>
      <c r="N729" s="263"/>
      <c r="O729" s="263"/>
      <c r="P729" s="263"/>
      <c r="Q729" s="263"/>
      <c r="R729" s="263"/>
      <c r="S729" s="263"/>
      <c r="T729" s="263"/>
      <c r="U729" s="263"/>
      <c r="V729" s="263"/>
      <c r="W729" s="263"/>
      <c r="X729" s="263"/>
      <c r="Y729" s="263"/>
      <c r="Z729" s="263"/>
      <c r="AA729" s="263"/>
      <c r="AB729" s="263"/>
    </row>
    <row r="730" spans="1:28" ht="16" x14ac:dyDescent="0.2">
      <c r="A730" s="263"/>
      <c r="B730" s="263"/>
      <c r="C730" s="309"/>
      <c r="D730" s="263"/>
      <c r="E730" s="263"/>
      <c r="F730" s="263"/>
      <c r="G730" s="263"/>
      <c r="H730" s="263"/>
      <c r="I730" s="263"/>
      <c r="J730" s="263"/>
      <c r="K730" s="263"/>
      <c r="L730" s="263"/>
      <c r="M730" s="263"/>
      <c r="N730" s="263"/>
      <c r="O730" s="263"/>
      <c r="P730" s="263"/>
      <c r="Q730" s="263"/>
      <c r="R730" s="263"/>
      <c r="S730" s="263"/>
      <c r="T730" s="263"/>
      <c r="U730" s="263"/>
      <c r="V730" s="263"/>
      <c r="W730" s="263"/>
      <c r="X730" s="263"/>
      <c r="Y730" s="263"/>
      <c r="Z730" s="263"/>
      <c r="AA730" s="263"/>
      <c r="AB730" s="263"/>
    </row>
    <row r="731" spans="1:28" ht="16" x14ac:dyDescent="0.2">
      <c r="A731" s="263"/>
      <c r="B731" s="263"/>
      <c r="C731" s="309"/>
      <c r="D731" s="263"/>
      <c r="E731" s="263"/>
      <c r="F731" s="263"/>
      <c r="G731" s="263"/>
      <c r="H731" s="263"/>
      <c r="I731" s="263"/>
      <c r="J731" s="263"/>
      <c r="K731" s="263"/>
      <c r="L731" s="263"/>
      <c r="M731" s="263"/>
      <c r="N731" s="263"/>
      <c r="O731" s="263"/>
      <c r="P731" s="263"/>
      <c r="Q731" s="263"/>
      <c r="R731" s="263"/>
      <c r="S731" s="263"/>
      <c r="T731" s="263"/>
      <c r="U731" s="263"/>
      <c r="V731" s="263"/>
      <c r="W731" s="263"/>
      <c r="X731" s="263"/>
      <c r="Y731" s="263"/>
      <c r="Z731" s="263"/>
      <c r="AA731" s="263"/>
      <c r="AB731" s="263"/>
    </row>
    <row r="732" spans="1:28" ht="16" x14ac:dyDescent="0.2">
      <c r="A732" s="263"/>
      <c r="B732" s="263"/>
      <c r="C732" s="309"/>
      <c r="D732" s="263"/>
      <c r="E732" s="263"/>
      <c r="F732" s="263"/>
      <c r="G732" s="263"/>
      <c r="H732" s="263"/>
      <c r="I732" s="263"/>
      <c r="J732" s="263"/>
      <c r="K732" s="263"/>
      <c r="L732" s="263"/>
      <c r="M732" s="263"/>
      <c r="N732" s="263"/>
      <c r="O732" s="263"/>
      <c r="P732" s="263"/>
      <c r="Q732" s="263"/>
      <c r="R732" s="263"/>
      <c r="S732" s="263"/>
      <c r="T732" s="263"/>
      <c r="U732" s="263"/>
      <c r="V732" s="263"/>
      <c r="W732" s="263"/>
      <c r="X732" s="263"/>
      <c r="Y732" s="263"/>
      <c r="Z732" s="263"/>
      <c r="AA732" s="263"/>
      <c r="AB732" s="263"/>
    </row>
    <row r="733" spans="1:28" ht="16" x14ac:dyDescent="0.2">
      <c r="A733" s="263"/>
      <c r="B733" s="263"/>
      <c r="C733" s="309"/>
      <c r="D733" s="263"/>
      <c r="E733" s="263"/>
      <c r="F733" s="263"/>
      <c r="G733" s="263"/>
      <c r="H733" s="263"/>
      <c r="I733" s="263"/>
      <c r="J733" s="263"/>
      <c r="K733" s="263"/>
      <c r="L733" s="263"/>
      <c r="M733" s="263"/>
      <c r="N733" s="263"/>
      <c r="O733" s="263"/>
      <c r="P733" s="263"/>
      <c r="Q733" s="263"/>
      <c r="R733" s="263"/>
      <c r="S733" s="263"/>
      <c r="T733" s="263"/>
      <c r="U733" s="263"/>
      <c r="V733" s="263"/>
      <c r="W733" s="263"/>
      <c r="X733" s="263"/>
      <c r="Y733" s="263"/>
      <c r="Z733" s="263"/>
      <c r="AA733" s="263"/>
      <c r="AB733" s="263"/>
    </row>
    <row r="734" spans="1:28" ht="16" x14ac:dyDescent="0.2">
      <c r="A734" s="263"/>
      <c r="B734" s="263"/>
      <c r="C734" s="309"/>
      <c r="D734" s="263"/>
      <c r="E734" s="263"/>
      <c r="F734" s="263"/>
      <c r="G734" s="263"/>
      <c r="H734" s="263"/>
      <c r="I734" s="263"/>
      <c r="J734" s="263"/>
      <c r="K734" s="263"/>
      <c r="L734" s="263"/>
      <c r="M734" s="263"/>
      <c r="N734" s="263"/>
      <c r="O734" s="263"/>
      <c r="P734" s="263"/>
      <c r="Q734" s="263"/>
      <c r="R734" s="263"/>
      <c r="S734" s="263"/>
      <c r="T734" s="263"/>
      <c r="U734" s="263"/>
      <c r="V734" s="263"/>
      <c r="W734" s="263"/>
      <c r="X734" s="263"/>
      <c r="Y734" s="263"/>
      <c r="Z734" s="263"/>
      <c r="AA734" s="263"/>
      <c r="AB734" s="263"/>
    </row>
    <row r="735" spans="1:28" ht="16" x14ac:dyDescent="0.2">
      <c r="A735" s="263"/>
      <c r="B735" s="263"/>
      <c r="C735" s="309"/>
      <c r="D735" s="263"/>
      <c r="E735" s="263"/>
      <c r="F735" s="263"/>
      <c r="G735" s="263"/>
      <c r="H735" s="263"/>
      <c r="I735" s="263"/>
      <c r="J735" s="263"/>
      <c r="K735" s="263"/>
      <c r="L735" s="263"/>
      <c r="M735" s="263"/>
      <c r="N735" s="263"/>
      <c r="O735" s="263"/>
      <c r="P735" s="263"/>
      <c r="Q735" s="263"/>
      <c r="R735" s="263"/>
      <c r="S735" s="263"/>
      <c r="T735" s="263"/>
      <c r="U735" s="263"/>
      <c r="V735" s="263"/>
      <c r="W735" s="263"/>
      <c r="X735" s="263"/>
      <c r="Y735" s="263"/>
      <c r="Z735" s="263"/>
      <c r="AA735" s="263"/>
      <c r="AB735" s="263"/>
    </row>
    <row r="736" spans="1:28" ht="16" x14ac:dyDescent="0.2">
      <c r="A736" s="263"/>
      <c r="B736" s="263"/>
      <c r="C736" s="309"/>
      <c r="D736" s="263"/>
      <c r="E736" s="263"/>
      <c r="F736" s="263"/>
      <c r="G736" s="263"/>
      <c r="H736" s="263"/>
      <c r="I736" s="263"/>
      <c r="J736" s="263"/>
      <c r="K736" s="263"/>
      <c r="L736" s="263"/>
      <c r="M736" s="263"/>
      <c r="N736" s="263"/>
      <c r="O736" s="263"/>
      <c r="P736" s="263"/>
      <c r="Q736" s="263"/>
      <c r="R736" s="263"/>
      <c r="S736" s="263"/>
      <c r="T736" s="263"/>
      <c r="U736" s="263"/>
      <c r="V736" s="263"/>
      <c r="W736" s="263"/>
      <c r="X736" s="263"/>
      <c r="Y736" s="263"/>
      <c r="Z736" s="263"/>
      <c r="AA736" s="263"/>
      <c r="AB736" s="263"/>
    </row>
    <row r="737" spans="1:28" ht="16" x14ac:dyDescent="0.2">
      <c r="A737" s="263"/>
      <c r="B737" s="263"/>
      <c r="C737" s="309"/>
      <c r="D737" s="263"/>
      <c r="E737" s="263"/>
      <c r="F737" s="263"/>
      <c r="G737" s="263"/>
      <c r="H737" s="263"/>
      <c r="I737" s="263"/>
      <c r="J737" s="263"/>
      <c r="K737" s="263"/>
      <c r="L737" s="263"/>
      <c r="M737" s="263"/>
      <c r="N737" s="263"/>
      <c r="O737" s="263"/>
      <c r="P737" s="263"/>
      <c r="Q737" s="263"/>
      <c r="R737" s="263"/>
      <c r="S737" s="263"/>
      <c r="T737" s="263"/>
      <c r="U737" s="263"/>
      <c r="V737" s="263"/>
      <c r="W737" s="263"/>
      <c r="X737" s="263"/>
      <c r="Y737" s="263"/>
      <c r="Z737" s="263"/>
      <c r="AA737" s="263"/>
      <c r="AB737" s="263"/>
    </row>
    <row r="738" spans="1:28" ht="16" x14ac:dyDescent="0.2">
      <c r="A738" s="263"/>
      <c r="B738" s="263"/>
      <c r="C738" s="309"/>
      <c r="D738" s="263"/>
      <c r="E738" s="263"/>
      <c r="F738" s="263"/>
      <c r="G738" s="263"/>
      <c r="H738" s="263"/>
      <c r="I738" s="263"/>
      <c r="J738" s="263"/>
      <c r="K738" s="263"/>
      <c r="L738" s="263"/>
      <c r="M738" s="263"/>
      <c r="N738" s="263"/>
      <c r="O738" s="263"/>
      <c r="P738" s="263"/>
      <c r="Q738" s="263"/>
      <c r="R738" s="263"/>
      <c r="S738" s="263"/>
      <c r="T738" s="263"/>
      <c r="U738" s="263"/>
      <c r="V738" s="263"/>
      <c r="W738" s="263"/>
      <c r="X738" s="263"/>
      <c r="Y738" s="263"/>
      <c r="Z738" s="263"/>
      <c r="AA738" s="263"/>
      <c r="AB738" s="263"/>
    </row>
    <row r="739" spans="1:28" ht="16" x14ac:dyDescent="0.2">
      <c r="A739" s="263"/>
      <c r="B739" s="263"/>
      <c r="C739" s="309"/>
      <c r="D739" s="263"/>
      <c r="E739" s="263"/>
      <c r="F739" s="263"/>
      <c r="G739" s="263"/>
      <c r="H739" s="263"/>
      <c r="I739" s="263"/>
      <c r="J739" s="263"/>
      <c r="K739" s="263"/>
      <c r="L739" s="263"/>
      <c r="M739" s="263"/>
      <c r="N739" s="263"/>
      <c r="O739" s="263"/>
      <c r="P739" s="263"/>
      <c r="Q739" s="263"/>
      <c r="R739" s="263"/>
      <c r="S739" s="263"/>
      <c r="T739" s="263"/>
      <c r="U739" s="263"/>
      <c r="V739" s="263"/>
      <c r="W739" s="263"/>
      <c r="X739" s="263"/>
      <c r="Y739" s="263"/>
      <c r="Z739" s="263"/>
      <c r="AA739" s="263"/>
      <c r="AB739" s="263"/>
    </row>
    <row r="740" spans="1:28" ht="16" x14ac:dyDescent="0.2">
      <c r="A740" s="263"/>
      <c r="B740" s="263"/>
      <c r="C740" s="309"/>
      <c r="D740" s="263"/>
      <c r="E740" s="263"/>
      <c r="F740" s="263"/>
      <c r="G740" s="263"/>
      <c r="H740" s="263"/>
      <c r="I740" s="263"/>
      <c r="J740" s="263"/>
      <c r="K740" s="263"/>
      <c r="L740" s="263"/>
      <c r="M740" s="263"/>
      <c r="N740" s="263"/>
      <c r="O740" s="263"/>
      <c r="P740" s="263"/>
      <c r="Q740" s="263"/>
      <c r="R740" s="263"/>
      <c r="S740" s="263"/>
      <c r="T740" s="263"/>
      <c r="U740" s="263"/>
      <c r="V740" s="263"/>
      <c r="W740" s="263"/>
      <c r="X740" s="263"/>
      <c r="Y740" s="263"/>
      <c r="Z740" s="263"/>
      <c r="AA740" s="263"/>
      <c r="AB740" s="263"/>
    </row>
    <row r="741" spans="1:28" ht="16" x14ac:dyDescent="0.2">
      <c r="A741" s="263"/>
      <c r="B741" s="263"/>
      <c r="C741" s="309"/>
      <c r="D741" s="263"/>
      <c r="E741" s="263"/>
      <c r="F741" s="263"/>
      <c r="G741" s="263"/>
      <c r="H741" s="263"/>
      <c r="I741" s="263"/>
      <c r="J741" s="263"/>
      <c r="K741" s="263"/>
      <c r="L741" s="263"/>
      <c r="M741" s="263"/>
      <c r="N741" s="263"/>
      <c r="O741" s="263"/>
      <c r="P741" s="263"/>
      <c r="Q741" s="263"/>
      <c r="R741" s="263"/>
      <c r="S741" s="263"/>
      <c r="T741" s="263"/>
      <c r="U741" s="263"/>
      <c r="V741" s="263"/>
      <c r="W741" s="263"/>
      <c r="X741" s="263"/>
      <c r="Y741" s="263"/>
      <c r="Z741" s="263"/>
      <c r="AA741" s="263"/>
      <c r="AB741" s="263"/>
    </row>
    <row r="742" spans="1:28" ht="16" x14ac:dyDescent="0.2">
      <c r="A742" s="263"/>
      <c r="B742" s="263"/>
      <c r="C742" s="309"/>
      <c r="D742" s="263"/>
      <c r="E742" s="263"/>
      <c r="F742" s="263"/>
      <c r="G742" s="263"/>
      <c r="H742" s="263"/>
      <c r="I742" s="263"/>
      <c r="J742" s="263"/>
      <c r="K742" s="263"/>
      <c r="L742" s="263"/>
      <c r="M742" s="263"/>
      <c r="N742" s="263"/>
      <c r="O742" s="263"/>
      <c r="P742" s="263"/>
      <c r="Q742" s="263"/>
      <c r="R742" s="263"/>
      <c r="S742" s="263"/>
      <c r="T742" s="263"/>
      <c r="U742" s="263"/>
      <c r="V742" s="263"/>
      <c r="W742" s="263"/>
      <c r="X742" s="263"/>
      <c r="Y742" s="263"/>
      <c r="Z742" s="263"/>
      <c r="AA742" s="263"/>
      <c r="AB742" s="263"/>
    </row>
    <row r="743" spans="1:28" ht="16" x14ac:dyDescent="0.2">
      <c r="A743" s="263"/>
      <c r="B743" s="263"/>
      <c r="C743" s="309"/>
      <c r="D743" s="263"/>
      <c r="E743" s="263"/>
      <c r="F743" s="263"/>
      <c r="G743" s="263"/>
      <c r="H743" s="263"/>
      <c r="I743" s="263"/>
      <c r="J743" s="263"/>
      <c r="K743" s="263"/>
      <c r="L743" s="263"/>
      <c r="M743" s="263"/>
      <c r="N743" s="263"/>
      <c r="O743" s="263"/>
      <c r="P743" s="263"/>
      <c r="Q743" s="263"/>
      <c r="R743" s="263"/>
      <c r="S743" s="263"/>
      <c r="T743" s="263"/>
      <c r="U743" s="263"/>
      <c r="V743" s="263"/>
      <c r="W743" s="263"/>
      <c r="X743" s="263"/>
      <c r="Y743" s="263"/>
      <c r="Z743" s="263"/>
      <c r="AA743" s="263"/>
      <c r="AB743" s="263"/>
    </row>
    <row r="744" spans="1:28" ht="16" x14ac:dyDescent="0.2">
      <c r="A744" s="263"/>
      <c r="B744" s="263"/>
      <c r="C744" s="309"/>
      <c r="D744" s="263"/>
      <c r="E744" s="263"/>
      <c r="F744" s="263"/>
      <c r="G744" s="263"/>
      <c r="H744" s="263"/>
      <c r="I744" s="263"/>
      <c r="J744" s="263"/>
      <c r="K744" s="263"/>
      <c r="L744" s="263"/>
      <c r="M744" s="263"/>
      <c r="N744" s="263"/>
      <c r="O744" s="263"/>
      <c r="P744" s="263"/>
      <c r="Q744" s="263"/>
      <c r="R744" s="263"/>
      <c r="S744" s="263"/>
      <c r="T744" s="263"/>
      <c r="U744" s="263"/>
      <c r="V744" s="263"/>
      <c r="W744" s="263"/>
      <c r="X744" s="263"/>
      <c r="Y744" s="263"/>
      <c r="Z744" s="263"/>
      <c r="AA744" s="263"/>
      <c r="AB744" s="263"/>
    </row>
    <row r="745" spans="1:28" ht="16" x14ac:dyDescent="0.2">
      <c r="A745" s="263"/>
      <c r="B745" s="263"/>
      <c r="C745" s="309"/>
      <c r="D745" s="263"/>
      <c r="E745" s="263"/>
      <c r="F745" s="263"/>
      <c r="G745" s="263"/>
      <c r="H745" s="263"/>
      <c r="I745" s="263"/>
      <c r="J745" s="263"/>
      <c r="K745" s="263"/>
      <c r="L745" s="263"/>
      <c r="M745" s="263"/>
      <c r="N745" s="263"/>
      <c r="O745" s="263"/>
      <c r="P745" s="263"/>
      <c r="Q745" s="263"/>
      <c r="R745" s="263"/>
      <c r="S745" s="263"/>
      <c r="T745" s="263"/>
      <c r="U745" s="263"/>
      <c r="V745" s="263"/>
      <c r="W745" s="263"/>
      <c r="X745" s="263"/>
      <c r="Y745" s="263"/>
      <c r="Z745" s="263"/>
      <c r="AA745" s="263"/>
      <c r="AB745" s="263"/>
    </row>
    <row r="746" spans="1:28" ht="16" x14ac:dyDescent="0.2">
      <c r="A746" s="263"/>
      <c r="B746" s="263"/>
      <c r="C746" s="309"/>
      <c r="D746" s="263"/>
      <c r="E746" s="263"/>
      <c r="F746" s="263"/>
      <c r="G746" s="263"/>
      <c r="H746" s="263"/>
      <c r="I746" s="263"/>
      <c r="J746" s="263"/>
      <c r="K746" s="263"/>
      <c r="L746" s="263"/>
      <c r="M746" s="263"/>
      <c r="N746" s="263"/>
      <c r="O746" s="263"/>
      <c r="P746" s="263"/>
      <c r="Q746" s="263"/>
      <c r="R746" s="263"/>
      <c r="S746" s="263"/>
      <c r="T746" s="263"/>
      <c r="U746" s="263"/>
      <c r="V746" s="263"/>
      <c r="W746" s="263"/>
      <c r="X746" s="263"/>
      <c r="Y746" s="263"/>
      <c r="Z746" s="263"/>
      <c r="AA746" s="263"/>
      <c r="AB746" s="263"/>
    </row>
    <row r="747" spans="1:28" ht="16" x14ac:dyDescent="0.2">
      <c r="A747" s="263"/>
      <c r="B747" s="263"/>
      <c r="C747" s="309"/>
      <c r="D747" s="263"/>
      <c r="E747" s="263"/>
      <c r="F747" s="263"/>
      <c r="G747" s="263"/>
      <c r="H747" s="263"/>
      <c r="I747" s="263"/>
      <c r="J747" s="263"/>
      <c r="K747" s="263"/>
      <c r="L747" s="263"/>
      <c r="M747" s="263"/>
      <c r="N747" s="263"/>
      <c r="O747" s="263"/>
      <c r="P747" s="263"/>
      <c r="Q747" s="263"/>
      <c r="R747" s="263"/>
      <c r="S747" s="263"/>
      <c r="T747" s="263"/>
      <c r="U747" s="263"/>
      <c r="V747" s="263"/>
      <c r="W747" s="263"/>
      <c r="X747" s="263"/>
      <c r="Y747" s="263"/>
      <c r="Z747" s="263"/>
      <c r="AA747" s="263"/>
      <c r="AB747" s="263"/>
    </row>
    <row r="748" spans="1:28" ht="16" x14ac:dyDescent="0.2">
      <c r="A748" s="263"/>
      <c r="B748" s="263"/>
      <c r="C748" s="309"/>
      <c r="D748" s="263"/>
      <c r="E748" s="263"/>
      <c r="F748" s="263"/>
      <c r="G748" s="263"/>
      <c r="H748" s="263"/>
      <c r="I748" s="263"/>
      <c r="J748" s="263"/>
      <c r="K748" s="263"/>
      <c r="L748" s="263"/>
      <c r="M748" s="263"/>
      <c r="N748" s="263"/>
      <c r="O748" s="263"/>
      <c r="P748" s="263"/>
      <c r="Q748" s="263"/>
      <c r="R748" s="263"/>
      <c r="S748" s="263"/>
      <c r="T748" s="263"/>
      <c r="U748" s="263"/>
      <c r="V748" s="263"/>
      <c r="W748" s="263"/>
      <c r="X748" s="263"/>
      <c r="Y748" s="263"/>
      <c r="Z748" s="263"/>
      <c r="AA748" s="263"/>
      <c r="AB748" s="263"/>
    </row>
    <row r="749" spans="1:28" ht="16" x14ac:dyDescent="0.2">
      <c r="A749" s="263"/>
      <c r="B749" s="263"/>
      <c r="C749" s="309"/>
      <c r="D749" s="263"/>
      <c r="E749" s="263"/>
      <c r="F749" s="263"/>
      <c r="G749" s="263"/>
      <c r="H749" s="263"/>
      <c r="I749" s="263"/>
      <c r="J749" s="263"/>
      <c r="K749" s="263"/>
      <c r="L749" s="263"/>
      <c r="M749" s="263"/>
      <c r="N749" s="263"/>
      <c r="O749" s="263"/>
      <c r="P749" s="263"/>
      <c r="Q749" s="263"/>
      <c r="R749" s="263"/>
      <c r="S749" s="263"/>
      <c r="T749" s="263"/>
      <c r="U749" s="263"/>
      <c r="V749" s="263"/>
      <c r="W749" s="263"/>
      <c r="X749" s="263"/>
      <c r="Y749" s="263"/>
      <c r="Z749" s="263"/>
      <c r="AA749" s="263"/>
      <c r="AB749" s="263"/>
    </row>
    <row r="750" spans="1:28" ht="16" x14ac:dyDescent="0.2">
      <c r="A750" s="263"/>
      <c r="B750" s="263"/>
      <c r="C750" s="309"/>
      <c r="D750" s="263"/>
      <c r="E750" s="263"/>
      <c r="F750" s="263"/>
      <c r="G750" s="263"/>
      <c r="H750" s="263"/>
      <c r="I750" s="263"/>
      <c r="J750" s="263"/>
      <c r="K750" s="263"/>
      <c r="L750" s="263"/>
      <c r="M750" s="263"/>
      <c r="N750" s="263"/>
      <c r="O750" s="263"/>
      <c r="P750" s="263"/>
      <c r="Q750" s="263"/>
      <c r="R750" s="263"/>
      <c r="S750" s="263"/>
      <c r="T750" s="263"/>
      <c r="U750" s="263"/>
      <c r="V750" s="263"/>
      <c r="W750" s="263"/>
      <c r="X750" s="263"/>
      <c r="Y750" s="263"/>
      <c r="Z750" s="263"/>
      <c r="AA750" s="263"/>
      <c r="AB750" s="263"/>
    </row>
    <row r="751" spans="1:28" ht="16" x14ac:dyDescent="0.2">
      <c r="A751" s="263"/>
      <c r="B751" s="263"/>
      <c r="C751" s="309"/>
      <c r="D751" s="263"/>
      <c r="E751" s="263"/>
      <c r="F751" s="263"/>
      <c r="G751" s="263"/>
      <c r="H751" s="263"/>
      <c r="I751" s="263"/>
      <c r="J751" s="263"/>
      <c r="K751" s="263"/>
      <c r="L751" s="263"/>
      <c r="M751" s="263"/>
      <c r="N751" s="263"/>
      <c r="O751" s="263"/>
      <c r="P751" s="263"/>
      <c r="Q751" s="263"/>
      <c r="R751" s="263"/>
      <c r="S751" s="263"/>
      <c r="T751" s="263"/>
      <c r="U751" s="263"/>
      <c r="V751" s="263"/>
      <c r="W751" s="263"/>
      <c r="X751" s="263"/>
      <c r="Y751" s="263"/>
      <c r="Z751" s="263"/>
      <c r="AA751" s="263"/>
      <c r="AB751" s="263"/>
    </row>
    <row r="752" spans="1:28" ht="16" x14ac:dyDescent="0.2">
      <c r="A752" s="263"/>
      <c r="B752" s="263"/>
      <c r="C752" s="309"/>
      <c r="D752" s="263"/>
      <c r="E752" s="263"/>
      <c r="F752" s="263"/>
      <c r="G752" s="263"/>
      <c r="H752" s="263"/>
      <c r="I752" s="263"/>
      <c r="J752" s="263"/>
      <c r="K752" s="263"/>
      <c r="L752" s="263"/>
      <c r="M752" s="263"/>
      <c r="N752" s="263"/>
      <c r="O752" s="263"/>
      <c r="P752" s="263"/>
      <c r="Q752" s="263"/>
      <c r="R752" s="263"/>
      <c r="S752" s="263"/>
      <c r="T752" s="263"/>
      <c r="U752" s="263"/>
      <c r="V752" s="263"/>
      <c r="W752" s="263"/>
      <c r="X752" s="263"/>
      <c r="Y752" s="263"/>
      <c r="Z752" s="263"/>
      <c r="AA752" s="263"/>
      <c r="AB752" s="263"/>
    </row>
    <row r="753" spans="1:28" ht="16" x14ac:dyDescent="0.2">
      <c r="A753" s="263"/>
      <c r="B753" s="263"/>
      <c r="C753" s="309"/>
      <c r="D753" s="263"/>
      <c r="E753" s="263"/>
      <c r="F753" s="263"/>
      <c r="G753" s="263"/>
      <c r="H753" s="263"/>
      <c r="I753" s="263"/>
      <c r="J753" s="263"/>
      <c r="K753" s="263"/>
      <c r="L753" s="263"/>
      <c r="M753" s="263"/>
      <c r="N753" s="263"/>
      <c r="O753" s="263"/>
      <c r="P753" s="263"/>
      <c r="Q753" s="263"/>
      <c r="R753" s="263"/>
      <c r="S753" s="263"/>
      <c r="T753" s="263"/>
      <c r="U753" s="263"/>
      <c r="V753" s="263"/>
      <c r="W753" s="263"/>
      <c r="X753" s="263"/>
      <c r="Y753" s="263"/>
      <c r="Z753" s="263"/>
      <c r="AA753" s="263"/>
      <c r="AB753" s="263"/>
    </row>
    <row r="754" spans="1:28" ht="16" x14ac:dyDescent="0.2">
      <c r="A754" s="263"/>
      <c r="B754" s="263"/>
      <c r="C754" s="309"/>
      <c r="D754" s="263"/>
      <c r="E754" s="263"/>
      <c r="F754" s="263"/>
      <c r="G754" s="263"/>
      <c r="H754" s="263"/>
      <c r="I754" s="263"/>
      <c r="J754" s="263"/>
      <c r="K754" s="263"/>
      <c r="L754" s="263"/>
      <c r="M754" s="263"/>
      <c r="N754" s="263"/>
      <c r="O754" s="263"/>
      <c r="P754" s="263"/>
      <c r="Q754" s="263"/>
      <c r="R754" s="263"/>
      <c r="S754" s="263"/>
      <c r="T754" s="263"/>
      <c r="U754" s="263"/>
      <c r="V754" s="263"/>
      <c r="W754" s="263"/>
      <c r="X754" s="263"/>
      <c r="Y754" s="263"/>
      <c r="Z754" s="263"/>
      <c r="AA754" s="263"/>
      <c r="AB754" s="263"/>
    </row>
    <row r="755" spans="1:28" ht="16" x14ac:dyDescent="0.2">
      <c r="A755" s="263"/>
      <c r="B755" s="263"/>
      <c r="C755" s="309"/>
      <c r="D755" s="263"/>
      <c r="E755" s="263"/>
      <c r="F755" s="263"/>
      <c r="G755" s="263"/>
      <c r="H755" s="263"/>
      <c r="I755" s="263"/>
      <c r="J755" s="263"/>
      <c r="K755" s="263"/>
      <c r="L755" s="263"/>
      <c r="M755" s="263"/>
      <c r="N755" s="263"/>
      <c r="O755" s="263"/>
      <c r="P755" s="263"/>
      <c r="Q755" s="263"/>
      <c r="R755" s="263"/>
      <c r="S755" s="263"/>
      <c r="T755" s="263"/>
      <c r="U755" s="263"/>
      <c r="V755" s="263"/>
      <c r="W755" s="263"/>
      <c r="X755" s="263"/>
      <c r="Y755" s="263"/>
      <c r="Z755" s="263"/>
      <c r="AA755" s="263"/>
      <c r="AB755" s="263"/>
    </row>
    <row r="756" spans="1:28" ht="16" x14ac:dyDescent="0.2">
      <c r="A756" s="263"/>
      <c r="B756" s="263"/>
      <c r="C756" s="309"/>
      <c r="D756" s="263"/>
      <c r="E756" s="263"/>
      <c r="F756" s="263"/>
      <c r="G756" s="263"/>
      <c r="H756" s="263"/>
      <c r="I756" s="263"/>
      <c r="J756" s="263"/>
      <c r="K756" s="263"/>
      <c r="L756" s="263"/>
      <c r="M756" s="263"/>
      <c r="N756" s="263"/>
      <c r="O756" s="263"/>
      <c r="P756" s="263"/>
      <c r="Q756" s="263"/>
      <c r="R756" s="263"/>
      <c r="S756" s="263"/>
      <c r="T756" s="263"/>
      <c r="U756" s="263"/>
      <c r="V756" s="263"/>
      <c r="W756" s="263"/>
      <c r="X756" s="263"/>
      <c r="Y756" s="263"/>
      <c r="Z756" s="263"/>
      <c r="AA756" s="263"/>
      <c r="AB756" s="263"/>
    </row>
    <row r="757" spans="1:28" ht="16" x14ac:dyDescent="0.2">
      <c r="A757" s="263"/>
      <c r="B757" s="263"/>
      <c r="C757" s="309"/>
      <c r="D757" s="263"/>
      <c r="E757" s="263"/>
      <c r="F757" s="263"/>
      <c r="G757" s="263"/>
      <c r="H757" s="263"/>
      <c r="I757" s="263"/>
      <c r="J757" s="263"/>
      <c r="K757" s="263"/>
      <c r="L757" s="263"/>
      <c r="M757" s="263"/>
      <c r="N757" s="263"/>
      <c r="O757" s="263"/>
      <c r="P757" s="263"/>
      <c r="Q757" s="263"/>
      <c r="R757" s="263"/>
      <c r="S757" s="263"/>
      <c r="T757" s="263"/>
      <c r="U757" s="263"/>
      <c r="V757" s="263"/>
      <c r="W757" s="263"/>
      <c r="X757" s="263"/>
      <c r="Y757" s="263"/>
      <c r="Z757" s="263"/>
      <c r="AA757" s="263"/>
      <c r="AB757" s="263"/>
    </row>
    <row r="758" spans="1:28" ht="16" x14ac:dyDescent="0.2">
      <c r="A758" s="263"/>
      <c r="B758" s="263"/>
      <c r="C758" s="309"/>
      <c r="D758" s="263"/>
      <c r="E758" s="263"/>
      <c r="F758" s="263"/>
      <c r="G758" s="263"/>
      <c r="H758" s="263"/>
      <c r="I758" s="263"/>
      <c r="J758" s="263"/>
      <c r="K758" s="263"/>
      <c r="L758" s="263"/>
      <c r="M758" s="263"/>
      <c r="N758" s="263"/>
      <c r="O758" s="263"/>
      <c r="P758" s="263"/>
      <c r="Q758" s="263"/>
      <c r="R758" s="263"/>
      <c r="S758" s="263"/>
      <c r="T758" s="263"/>
      <c r="U758" s="263"/>
      <c r="V758" s="263"/>
      <c r="W758" s="263"/>
      <c r="X758" s="263"/>
      <c r="Y758" s="263"/>
      <c r="Z758" s="263"/>
      <c r="AA758" s="263"/>
      <c r="AB758" s="263"/>
    </row>
    <row r="759" spans="1:28" ht="16" x14ac:dyDescent="0.2">
      <c r="A759" s="263"/>
      <c r="B759" s="263"/>
      <c r="C759" s="309"/>
      <c r="D759" s="263"/>
      <c r="E759" s="263"/>
      <c r="F759" s="263"/>
      <c r="G759" s="263"/>
      <c r="H759" s="263"/>
      <c r="I759" s="263"/>
      <c r="J759" s="263"/>
      <c r="K759" s="263"/>
      <c r="L759" s="263"/>
      <c r="M759" s="263"/>
      <c r="N759" s="263"/>
      <c r="O759" s="263"/>
      <c r="P759" s="263"/>
      <c r="Q759" s="263"/>
      <c r="R759" s="263"/>
      <c r="S759" s="263"/>
      <c r="T759" s="263"/>
      <c r="U759" s="263"/>
      <c r="V759" s="263"/>
      <c r="W759" s="263"/>
      <c r="X759" s="263"/>
      <c r="Y759" s="263"/>
      <c r="Z759" s="263"/>
      <c r="AA759" s="263"/>
      <c r="AB759" s="263"/>
    </row>
    <row r="760" spans="1:28" ht="16" x14ac:dyDescent="0.2">
      <c r="A760" s="263"/>
      <c r="B760" s="263"/>
      <c r="C760" s="309"/>
      <c r="D760" s="263"/>
      <c r="E760" s="263"/>
      <c r="F760" s="263"/>
      <c r="G760" s="263"/>
      <c r="H760" s="263"/>
      <c r="I760" s="263"/>
      <c r="J760" s="263"/>
      <c r="K760" s="263"/>
      <c r="L760" s="263"/>
      <c r="M760" s="263"/>
      <c r="N760" s="263"/>
      <c r="O760" s="263"/>
      <c r="P760" s="263"/>
      <c r="Q760" s="263"/>
      <c r="R760" s="263"/>
      <c r="S760" s="263"/>
      <c r="T760" s="263"/>
      <c r="U760" s="263"/>
      <c r="V760" s="263"/>
      <c r="W760" s="263"/>
      <c r="X760" s="263"/>
      <c r="Y760" s="263"/>
      <c r="Z760" s="263"/>
      <c r="AA760" s="263"/>
      <c r="AB760" s="263"/>
    </row>
    <row r="761" spans="1:28" ht="16" x14ac:dyDescent="0.2">
      <c r="A761" s="263"/>
      <c r="B761" s="263"/>
      <c r="C761" s="309"/>
      <c r="D761" s="263"/>
      <c r="E761" s="263"/>
      <c r="F761" s="263"/>
      <c r="G761" s="263"/>
      <c r="H761" s="263"/>
      <c r="I761" s="263"/>
      <c r="J761" s="263"/>
      <c r="K761" s="263"/>
      <c r="L761" s="263"/>
      <c r="M761" s="263"/>
      <c r="N761" s="263"/>
      <c r="O761" s="263"/>
      <c r="P761" s="263"/>
      <c r="Q761" s="263"/>
      <c r="R761" s="263"/>
      <c r="S761" s="263"/>
      <c r="T761" s="263"/>
      <c r="U761" s="263"/>
      <c r="V761" s="263"/>
      <c r="W761" s="263"/>
      <c r="X761" s="263"/>
      <c r="Y761" s="263"/>
      <c r="Z761" s="263"/>
      <c r="AA761" s="263"/>
      <c r="AB761" s="263"/>
    </row>
    <row r="762" spans="1:28" ht="16" x14ac:dyDescent="0.2">
      <c r="A762" s="263"/>
      <c r="B762" s="263"/>
      <c r="C762" s="309"/>
      <c r="D762" s="263"/>
      <c r="E762" s="263"/>
      <c r="F762" s="263"/>
      <c r="G762" s="263"/>
      <c r="H762" s="263"/>
      <c r="I762" s="263"/>
      <c r="J762" s="263"/>
      <c r="K762" s="263"/>
      <c r="L762" s="263"/>
      <c r="M762" s="263"/>
      <c r="N762" s="263"/>
      <c r="O762" s="263"/>
      <c r="P762" s="263"/>
      <c r="Q762" s="263"/>
      <c r="R762" s="263"/>
      <c r="S762" s="263"/>
      <c r="T762" s="263"/>
      <c r="U762" s="263"/>
      <c r="V762" s="263"/>
      <c r="W762" s="263"/>
      <c r="X762" s="263"/>
      <c r="Y762" s="263"/>
      <c r="Z762" s="263"/>
      <c r="AA762" s="263"/>
      <c r="AB762" s="263"/>
    </row>
    <row r="763" spans="1:28" ht="16" x14ac:dyDescent="0.2">
      <c r="A763" s="263"/>
      <c r="B763" s="263"/>
      <c r="C763" s="309"/>
      <c r="D763" s="263"/>
      <c r="E763" s="263"/>
      <c r="F763" s="263"/>
      <c r="G763" s="263"/>
      <c r="H763" s="263"/>
      <c r="I763" s="263"/>
      <c r="J763" s="263"/>
      <c r="K763" s="263"/>
      <c r="L763" s="263"/>
      <c r="M763" s="263"/>
      <c r="N763" s="263"/>
      <c r="O763" s="263"/>
      <c r="P763" s="263"/>
      <c r="Q763" s="263"/>
      <c r="R763" s="263"/>
      <c r="S763" s="263"/>
      <c r="T763" s="263"/>
      <c r="U763" s="263"/>
      <c r="V763" s="263"/>
      <c r="W763" s="263"/>
      <c r="X763" s="263"/>
      <c r="Y763" s="263"/>
      <c r="Z763" s="263"/>
      <c r="AA763" s="263"/>
      <c r="AB763" s="263"/>
    </row>
    <row r="764" spans="1:28" ht="16" x14ac:dyDescent="0.2">
      <c r="A764" s="263"/>
      <c r="B764" s="263"/>
      <c r="C764" s="309"/>
      <c r="D764" s="263"/>
      <c r="E764" s="263"/>
      <c r="F764" s="263"/>
      <c r="G764" s="263"/>
      <c r="H764" s="263"/>
      <c r="I764" s="263"/>
      <c r="J764" s="263"/>
      <c r="K764" s="263"/>
      <c r="L764" s="263"/>
      <c r="M764" s="263"/>
      <c r="N764" s="263"/>
      <c r="O764" s="263"/>
      <c r="P764" s="263"/>
      <c r="Q764" s="263"/>
      <c r="R764" s="263"/>
      <c r="S764" s="263"/>
      <c r="T764" s="263"/>
      <c r="U764" s="263"/>
      <c r="V764" s="263"/>
      <c r="W764" s="263"/>
      <c r="X764" s="263"/>
      <c r="Y764" s="263"/>
      <c r="Z764" s="263"/>
      <c r="AA764" s="263"/>
      <c r="AB764" s="263"/>
    </row>
    <row r="765" spans="1:28" ht="16" x14ac:dyDescent="0.2">
      <c r="A765" s="263"/>
      <c r="B765" s="263"/>
      <c r="C765" s="309"/>
      <c r="D765" s="263"/>
      <c r="E765" s="263"/>
      <c r="F765" s="263"/>
      <c r="G765" s="263"/>
      <c r="H765" s="263"/>
      <c r="I765" s="263"/>
      <c r="J765" s="263"/>
      <c r="K765" s="263"/>
      <c r="L765" s="263"/>
      <c r="M765" s="263"/>
      <c r="N765" s="263"/>
      <c r="O765" s="263"/>
      <c r="P765" s="263"/>
      <c r="Q765" s="263"/>
      <c r="R765" s="263"/>
      <c r="S765" s="263"/>
      <c r="T765" s="263"/>
      <c r="U765" s="263"/>
      <c r="V765" s="263"/>
      <c r="W765" s="263"/>
      <c r="X765" s="263"/>
      <c r="Y765" s="263"/>
      <c r="Z765" s="263"/>
      <c r="AA765" s="263"/>
      <c r="AB765" s="263"/>
    </row>
    <row r="766" spans="1:28" ht="16" x14ac:dyDescent="0.2">
      <c r="A766" s="263"/>
      <c r="B766" s="263"/>
      <c r="C766" s="309"/>
      <c r="D766" s="263"/>
      <c r="E766" s="263"/>
      <c r="F766" s="263"/>
      <c r="G766" s="263"/>
      <c r="H766" s="263"/>
      <c r="I766" s="263"/>
      <c r="J766" s="263"/>
      <c r="K766" s="263"/>
      <c r="L766" s="263"/>
      <c r="M766" s="263"/>
      <c r="N766" s="263"/>
      <c r="O766" s="263"/>
      <c r="P766" s="263"/>
      <c r="Q766" s="263"/>
      <c r="R766" s="263"/>
      <c r="S766" s="263"/>
      <c r="T766" s="263"/>
      <c r="U766" s="263"/>
      <c r="V766" s="263"/>
      <c r="W766" s="263"/>
      <c r="X766" s="263"/>
      <c r="Y766" s="263"/>
      <c r="Z766" s="263"/>
      <c r="AA766" s="263"/>
      <c r="AB766" s="263"/>
    </row>
    <row r="767" spans="1:28" ht="16" x14ac:dyDescent="0.2">
      <c r="A767" s="263"/>
      <c r="B767" s="263"/>
      <c r="C767" s="309"/>
      <c r="D767" s="263"/>
      <c r="E767" s="263"/>
      <c r="F767" s="263"/>
      <c r="G767" s="263"/>
      <c r="H767" s="263"/>
      <c r="I767" s="263"/>
      <c r="J767" s="263"/>
      <c r="K767" s="263"/>
      <c r="L767" s="263"/>
      <c r="M767" s="263"/>
      <c r="N767" s="263"/>
      <c r="O767" s="263"/>
      <c r="P767" s="263"/>
      <c r="Q767" s="263"/>
      <c r="R767" s="263"/>
      <c r="S767" s="263"/>
      <c r="T767" s="263"/>
      <c r="U767" s="263"/>
      <c r="V767" s="263"/>
      <c r="W767" s="263"/>
      <c r="X767" s="263"/>
      <c r="Y767" s="263"/>
      <c r="Z767" s="263"/>
      <c r="AA767" s="263"/>
      <c r="AB767" s="263"/>
    </row>
    <row r="768" spans="1:28" ht="16" x14ac:dyDescent="0.2">
      <c r="A768" s="263"/>
      <c r="B768" s="263"/>
      <c r="C768" s="309"/>
      <c r="D768" s="263"/>
      <c r="E768" s="263"/>
      <c r="F768" s="263"/>
      <c r="G768" s="263"/>
      <c r="H768" s="263"/>
      <c r="I768" s="263"/>
      <c r="J768" s="263"/>
      <c r="K768" s="263"/>
      <c r="L768" s="263"/>
      <c r="M768" s="263"/>
      <c r="N768" s="263"/>
      <c r="O768" s="263"/>
      <c r="P768" s="263"/>
      <c r="Q768" s="263"/>
      <c r="R768" s="263"/>
      <c r="S768" s="263"/>
      <c r="T768" s="263"/>
      <c r="U768" s="263"/>
      <c r="V768" s="263"/>
      <c r="W768" s="263"/>
      <c r="X768" s="263"/>
      <c r="Y768" s="263"/>
      <c r="Z768" s="263"/>
      <c r="AA768" s="263"/>
      <c r="AB768" s="263"/>
    </row>
    <row r="769" spans="1:28" ht="16" x14ac:dyDescent="0.2">
      <c r="A769" s="263"/>
      <c r="B769" s="263"/>
      <c r="C769" s="309"/>
      <c r="D769" s="263"/>
      <c r="E769" s="263"/>
      <c r="F769" s="263"/>
      <c r="G769" s="263"/>
      <c r="H769" s="263"/>
      <c r="I769" s="263"/>
      <c r="J769" s="263"/>
      <c r="K769" s="263"/>
      <c r="L769" s="263"/>
      <c r="M769" s="263"/>
      <c r="N769" s="263"/>
      <c r="O769" s="263"/>
      <c r="P769" s="263"/>
      <c r="Q769" s="263"/>
      <c r="R769" s="263"/>
      <c r="S769" s="263"/>
      <c r="T769" s="263"/>
      <c r="U769" s="263"/>
      <c r="V769" s="263"/>
      <c r="W769" s="263"/>
      <c r="X769" s="263"/>
      <c r="Y769" s="263"/>
      <c r="Z769" s="263"/>
      <c r="AA769" s="263"/>
      <c r="AB769" s="263"/>
    </row>
    <row r="770" spans="1:28" ht="16" x14ac:dyDescent="0.2">
      <c r="A770" s="263"/>
      <c r="B770" s="263"/>
      <c r="C770" s="309"/>
      <c r="D770" s="263"/>
      <c r="E770" s="263"/>
      <c r="F770" s="263"/>
      <c r="G770" s="263"/>
      <c r="H770" s="263"/>
      <c r="I770" s="263"/>
      <c r="J770" s="263"/>
      <c r="K770" s="263"/>
      <c r="L770" s="263"/>
      <c r="M770" s="263"/>
      <c r="N770" s="263"/>
      <c r="O770" s="263"/>
      <c r="P770" s="263"/>
      <c r="Q770" s="263"/>
      <c r="R770" s="263"/>
      <c r="S770" s="263"/>
      <c r="T770" s="263"/>
      <c r="U770" s="263"/>
      <c r="V770" s="263"/>
      <c r="W770" s="263"/>
      <c r="X770" s="263"/>
      <c r="Y770" s="263"/>
      <c r="Z770" s="263"/>
      <c r="AA770" s="263"/>
      <c r="AB770" s="263"/>
    </row>
    <row r="771" spans="1:28" ht="16" x14ac:dyDescent="0.2">
      <c r="A771" s="263"/>
      <c r="B771" s="263"/>
      <c r="C771" s="309"/>
      <c r="D771" s="263"/>
      <c r="E771" s="263"/>
      <c r="F771" s="263"/>
      <c r="G771" s="263"/>
      <c r="H771" s="263"/>
      <c r="I771" s="263"/>
      <c r="J771" s="263"/>
      <c r="K771" s="263"/>
      <c r="L771" s="263"/>
      <c r="M771" s="263"/>
      <c r="N771" s="263"/>
      <c r="O771" s="263"/>
      <c r="P771" s="263"/>
      <c r="Q771" s="263"/>
      <c r="R771" s="263"/>
      <c r="S771" s="263"/>
      <c r="T771" s="263"/>
      <c r="U771" s="263"/>
      <c r="V771" s="263"/>
      <c r="W771" s="263"/>
      <c r="X771" s="263"/>
      <c r="Y771" s="263"/>
      <c r="Z771" s="263"/>
      <c r="AA771" s="263"/>
      <c r="AB771" s="263"/>
    </row>
    <row r="772" spans="1:28" ht="16" x14ac:dyDescent="0.2">
      <c r="A772" s="263"/>
      <c r="B772" s="263"/>
      <c r="C772" s="309"/>
      <c r="D772" s="263"/>
      <c r="E772" s="263"/>
      <c r="F772" s="263"/>
      <c r="G772" s="263"/>
      <c r="H772" s="263"/>
      <c r="I772" s="263"/>
      <c r="J772" s="263"/>
      <c r="K772" s="263"/>
      <c r="L772" s="263"/>
      <c r="M772" s="263"/>
      <c r="N772" s="263"/>
      <c r="O772" s="263"/>
      <c r="P772" s="263"/>
      <c r="Q772" s="263"/>
      <c r="R772" s="263"/>
      <c r="S772" s="263"/>
      <c r="T772" s="263"/>
      <c r="U772" s="263"/>
      <c r="V772" s="263"/>
      <c r="W772" s="263"/>
      <c r="X772" s="263"/>
      <c r="Y772" s="263"/>
      <c r="Z772" s="263"/>
      <c r="AA772" s="263"/>
      <c r="AB772" s="263"/>
    </row>
    <row r="773" spans="1:28" ht="16" x14ac:dyDescent="0.2">
      <c r="A773" s="263"/>
      <c r="B773" s="263"/>
      <c r="C773" s="309"/>
      <c r="D773" s="263"/>
      <c r="E773" s="263"/>
      <c r="F773" s="263"/>
      <c r="G773" s="263"/>
      <c r="H773" s="263"/>
      <c r="I773" s="263"/>
      <c r="J773" s="263"/>
      <c r="K773" s="263"/>
      <c r="L773" s="263"/>
      <c r="M773" s="263"/>
      <c r="N773" s="263"/>
      <c r="O773" s="263"/>
      <c r="P773" s="263"/>
      <c r="Q773" s="263"/>
      <c r="R773" s="263"/>
      <c r="S773" s="263"/>
      <c r="T773" s="263"/>
      <c r="U773" s="263"/>
      <c r="V773" s="263"/>
      <c r="W773" s="263"/>
      <c r="X773" s="263"/>
      <c r="Y773" s="263"/>
      <c r="Z773" s="263"/>
      <c r="AA773" s="263"/>
      <c r="AB773" s="263"/>
    </row>
    <row r="774" spans="1:28" ht="16" x14ac:dyDescent="0.2">
      <c r="A774" s="263"/>
      <c r="B774" s="263"/>
      <c r="C774" s="309"/>
      <c r="D774" s="263"/>
      <c r="E774" s="263"/>
      <c r="F774" s="263"/>
      <c r="G774" s="263"/>
      <c r="H774" s="263"/>
      <c r="I774" s="263"/>
      <c r="J774" s="263"/>
      <c r="K774" s="263"/>
      <c r="L774" s="263"/>
      <c r="M774" s="263"/>
      <c r="N774" s="263"/>
      <c r="O774" s="263"/>
      <c r="P774" s="263"/>
      <c r="Q774" s="263"/>
      <c r="R774" s="263"/>
      <c r="S774" s="263"/>
      <c r="T774" s="263"/>
      <c r="U774" s="263"/>
      <c r="V774" s="263"/>
      <c r="W774" s="263"/>
      <c r="X774" s="263"/>
      <c r="Y774" s="263"/>
      <c r="Z774" s="263"/>
      <c r="AA774" s="263"/>
      <c r="AB774" s="263"/>
    </row>
    <row r="775" spans="1:28" ht="16" x14ac:dyDescent="0.2">
      <c r="A775" s="263"/>
      <c r="B775" s="263"/>
      <c r="C775" s="309"/>
      <c r="D775" s="263"/>
      <c r="E775" s="263"/>
      <c r="F775" s="263"/>
      <c r="G775" s="263"/>
      <c r="H775" s="263"/>
      <c r="I775" s="263"/>
      <c r="J775" s="263"/>
      <c r="K775" s="263"/>
      <c r="L775" s="263"/>
      <c r="M775" s="263"/>
      <c r="N775" s="263"/>
      <c r="O775" s="263"/>
      <c r="P775" s="263"/>
      <c r="Q775" s="263"/>
      <c r="R775" s="263"/>
      <c r="S775" s="263"/>
      <c r="T775" s="263"/>
      <c r="U775" s="263"/>
      <c r="V775" s="263"/>
      <c r="W775" s="263"/>
      <c r="X775" s="263"/>
      <c r="Y775" s="263"/>
      <c r="Z775" s="263"/>
      <c r="AA775" s="263"/>
      <c r="AB775" s="263"/>
    </row>
    <row r="776" spans="1:28" ht="16" x14ac:dyDescent="0.2">
      <c r="A776" s="263"/>
      <c r="B776" s="263"/>
      <c r="C776" s="309"/>
      <c r="D776" s="263"/>
      <c r="E776" s="263"/>
      <c r="F776" s="263"/>
      <c r="G776" s="263"/>
      <c r="H776" s="263"/>
      <c r="I776" s="263"/>
      <c r="J776" s="263"/>
      <c r="K776" s="263"/>
      <c r="L776" s="263"/>
      <c r="M776" s="263"/>
      <c r="N776" s="263"/>
      <c r="O776" s="263"/>
      <c r="P776" s="263"/>
      <c r="Q776" s="263"/>
      <c r="R776" s="263"/>
      <c r="S776" s="263"/>
      <c r="T776" s="263"/>
      <c r="U776" s="263"/>
      <c r="V776" s="263"/>
      <c r="W776" s="263"/>
      <c r="X776" s="263"/>
      <c r="Y776" s="263"/>
      <c r="Z776" s="263"/>
      <c r="AA776" s="263"/>
      <c r="AB776" s="263"/>
    </row>
    <row r="777" spans="1:28" ht="16" x14ac:dyDescent="0.2">
      <c r="A777" s="263"/>
      <c r="B777" s="263"/>
      <c r="C777" s="309"/>
      <c r="D777" s="263"/>
      <c r="E777" s="263"/>
      <c r="F777" s="263"/>
      <c r="G777" s="263"/>
      <c r="H777" s="263"/>
      <c r="I777" s="263"/>
      <c r="J777" s="263"/>
      <c r="K777" s="263"/>
      <c r="L777" s="263"/>
      <c r="M777" s="263"/>
      <c r="N777" s="263"/>
      <c r="O777" s="263"/>
      <c r="P777" s="263"/>
      <c r="Q777" s="263"/>
      <c r="R777" s="263"/>
      <c r="S777" s="263"/>
      <c r="T777" s="263"/>
      <c r="U777" s="263"/>
      <c r="V777" s="263"/>
      <c r="W777" s="263"/>
      <c r="X777" s="263"/>
      <c r="Y777" s="263"/>
      <c r="Z777" s="263"/>
      <c r="AA777" s="263"/>
      <c r="AB777" s="263"/>
    </row>
    <row r="778" spans="1:28" ht="16" x14ac:dyDescent="0.2">
      <c r="A778" s="263"/>
      <c r="B778" s="263"/>
      <c r="C778" s="309"/>
      <c r="D778" s="263"/>
      <c r="E778" s="263"/>
      <c r="F778" s="263"/>
      <c r="G778" s="263"/>
      <c r="H778" s="263"/>
      <c r="I778" s="263"/>
      <c r="J778" s="263"/>
      <c r="K778" s="263"/>
      <c r="L778" s="263"/>
      <c r="M778" s="263"/>
      <c r="N778" s="263"/>
      <c r="O778" s="263"/>
      <c r="P778" s="263"/>
      <c r="Q778" s="263"/>
      <c r="R778" s="263"/>
      <c r="S778" s="263"/>
      <c r="T778" s="263"/>
      <c r="U778" s="263"/>
      <c r="V778" s="263"/>
      <c r="W778" s="263"/>
      <c r="X778" s="263"/>
      <c r="Y778" s="263"/>
      <c r="Z778" s="263"/>
      <c r="AA778" s="263"/>
      <c r="AB778" s="263"/>
    </row>
    <row r="779" spans="1:28" ht="16" x14ac:dyDescent="0.2">
      <c r="A779" s="263"/>
      <c r="B779" s="263"/>
      <c r="C779" s="309"/>
      <c r="D779" s="263"/>
      <c r="E779" s="263"/>
      <c r="F779" s="263"/>
      <c r="G779" s="263"/>
      <c r="H779" s="263"/>
      <c r="I779" s="263"/>
      <c r="J779" s="263"/>
      <c r="K779" s="263"/>
      <c r="L779" s="263"/>
      <c r="M779" s="263"/>
      <c r="N779" s="263"/>
      <c r="O779" s="263"/>
      <c r="P779" s="263"/>
      <c r="Q779" s="263"/>
      <c r="R779" s="263"/>
      <c r="S779" s="263"/>
      <c r="T779" s="263"/>
      <c r="U779" s="263"/>
      <c r="V779" s="263"/>
      <c r="W779" s="263"/>
      <c r="X779" s="263"/>
      <c r="Y779" s="263"/>
      <c r="Z779" s="263"/>
      <c r="AA779" s="263"/>
      <c r="AB779" s="263"/>
    </row>
    <row r="780" spans="1:28" ht="16" x14ac:dyDescent="0.2">
      <c r="A780" s="263"/>
      <c r="B780" s="263"/>
      <c r="C780" s="309"/>
      <c r="D780" s="263"/>
      <c r="E780" s="263"/>
      <c r="F780" s="263"/>
      <c r="G780" s="263"/>
      <c r="H780" s="263"/>
      <c r="I780" s="263"/>
      <c r="J780" s="263"/>
      <c r="K780" s="263"/>
      <c r="L780" s="263"/>
      <c r="M780" s="263"/>
      <c r="N780" s="263"/>
      <c r="O780" s="263"/>
      <c r="P780" s="263"/>
      <c r="Q780" s="263"/>
      <c r="R780" s="263"/>
      <c r="S780" s="263"/>
      <c r="T780" s="263"/>
      <c r="U780" s="263"/>
      <c r="V780" s="263"/>
      <c r="W780" s="263"/>
      <c r="X780" s="263"/>
      <c r="Y780" s="263"/>
      <c r="Z780" s="263"/>
      <c r="AA780" s="263"/>
      <c r="AB780" s="263"/>
    </row>
    <row r="781" spans="1:28" ht="16" x14ac:dyDescent="0.2">
      <c r="A781" s="263"/>
      <c r="B781" s="263"/>
      <c r="C781" s="309"/>
      <c r="D781" s="263"/>
      <c r="E781" s="263"/>
      <c r="F781" s="263"/>
      <c r="G781" s="263"/>
      <c r="H781" s="263"/>
      <c r="I781" s="263"/>
      <c r="J781" s="263"/>
      <c r="K781" s="263"/>
      <c r="L781" s="263"/>
      <c r="M781" s="263"/>
      <c r="N781" s="263"/>
      <c r="O781" s="263"/>
      <c r="P781" s="263"/>
      <c r="Q781" s="263"/>
      <c r="R781" s="263"/>
      <c r="S781" s="263"/>
      <c r="T781" s="263"/>
      <c r="U781" s="263"/>
      <c r="V781" s="263"/>
      <c r="W781" s="263"/>
      <c r="X781" s="263"/>
      <c r="Y781" s="263"/>
      <c r="Z781" s="263"/>
      <c r="AA781" s="263"/>
      <c r="AB781" s="263"/>
    </row>
    <row r="782" spans="1:28" ht="16" x14ac:dyDescent="0.2">
      <c r="A782" s="263"/>
      <c r="B782" s="263"/>
      <c r="C782" s="309"/>
      <c r="D782" s="263"/>
      <c r="E782" s="263"/>
      <c r="F782" s="263"/>
      <c r="G782" s="263"/>
      <c r="H782" s="263"/>
      <c r="I782" s="263"/>
      <c r="J782" s="263"/>
      <c r="K782" s="263"/>
      <c r="L782" s="263"/>
      <c r="M782" s="263"/>
      <c r="N782" s="263"/>
      <c r="O782" s="263"/>
      <c r="P782" s="263"/>
      <c r="Q782" s="263"/>
      <c r="R782" s="263"/>
      <c r="S782" s="263"/>
      <c r="T782" s="263"/>
      <c r="U782" s="263"/>
      <c r="V782" s="263"/>
      <c r="W782" s="263"/>
      <c r="X782" s="263"/>
      <c r="Y782" s="263"/>
      <c r="Z782" s="263"/>
      <c r="AA782" s="263"/>
      <c r="AB782" s="263"/>
    </row>
    <row r="783" spans="1:28" ht="16" x14ac:dyDescent="0.2">
      <c r="A783" s="263"/>
      <c r="B783" s="263"/>
      <c r="C783" s="309"/>
      <c r="D783" s="263"/>
      <c r="E783" s="263"/>
      <c r="F783" s="263"/>
      <c r="G783" s="263"/>
      <c r="H783" s="263"/>
      <c r="I783" s="263"/>
      <c r="J783" s="263"/>
      <c r="K783" s="263"/>
      <c r="L783" s="263"/>
      <c r="M783" s="263"/>
      <c r="N783" s="263"/>
      <c r="O783" s="263"/>
      <c r="P783" s="263"/>
      <c r="Q783" s="263"/>
      <c r="R783" s="263"/>
      <c r="S783" s="263"/>
      <c r="T783" s="263"/>
      <c r="U783" s="263"/>
      <c r="V783" s="263"/>
      <c r="W783" s="263"/>
      <c r="X783" s="263"/>
      <c r="Y783" s="263"/>
      <c r="Z783" s="263"/>
      <c r="AA783" s="263"/>
      <c r="AB783" s="263"/>
    </row>
    <row r="784" spans="1:28" ht="16" x14ac:dyDescent="0.2">
      <c r="A784" s="263"/>
      <c r="B784" s="263"/>
      <c r="C784" s="309"/>
      <c r="D784" s="263"/>
      <c r="E784" s="263"/>
      <c r="F784" s="263"/>
      <c r="G784" s="263"/>
      <c r="H784" s="263"/>
      <c r="I784" s="263"/>
      <c r="J784" s="263"/>
      <c r="K784" s="263"/>
      <c r="L784" s="263"/>
      <c r="M784" s="263"/>
      <c r="N784" s="263"/>
      <c r="O784" s="263"/>
      <c r="P784" s="263"/>
      <c r="Q784" s="263"/>
      <c r="R784" s="263"/>
      <c r="S784" s="263"/>
      <c r="T784" s="263"/>
      <c r="U784" s="263"/>
      <c r="V784" s="263"/>
      <c r="W784" s="263"/>
      <c r="X784" s="263"/>
      <c r="Y784" s="263"/>
      <c r="Z784" s="263"/>
      <c r="AA784" s="263"/>
      <c r="AB784" s="263"/>
    </row>
    <row r="785" spans="1:28" ht="16" x14ac:dyDescent="0.2">
      <c r="A785" s="263"/>
      <c r="B785" s="263"/>
      <c r="C785" s="309"/>
      <c r="D785" s="263"/>
      <c r="E785" s="263"/>
      <c r="F785" s="263"/>
      <c r="G785" s="263"/>
      <c r="H785" s="263"/>
      <c r="I785" s="263"/>
      <c r="J785" s="263"/>
      <c r="K785" s="263"/>
      <c r="L785" s="263"/>
      <c r="M785" s="263"/>
      <c r="N785" s="263"/>
      <c r="O785" s="263"/>
      <c r="P785" s="263"/>
      <c r="Q785" s="263"/>
      <c r="R785" s="263"/>
      <c r="S785" s="263"/>
      <c r="T785" s="263"/>
      <c r="U785" s="263"/>
      <c r="V785" s="263"/>
      <c r="W785" s="263"/>
      <c r="X785" s="263"/>
      <c r="Y785" s="263"/>
      <c r="Z785" s="263"/>
      <c r="AA785" s="263"/>
      <c r="AB785" s="263"/>
    </row>
    <row r="786" spans="1:28" ht="16" x14ac:dyDescent="0.2">
      <c r="A786" s="263"/>
      <c r="B786" s="263"/>
      <c r="C786" s="309"/>
      <c r="D786" s="263"/>
      <c r="E786" s="263"/>
      <c r="F786" s="263"/>
      <c r="G786" s="263"/>
      <c r="H786" s="263"/>
      <c r="I786" s="263"/>
      <c r="J786" s="263"/>
      <c r="K786" s="263"/>
      <c r="L786" s="263"/>
      <c r="M786" s="263"/>
      <c r="N786" s="263"/>
      <c r="O786" s="263"/>
      <c r="P786" s="263"/>
      <c r="Q786" s="263"/>
      <c r="R786" s="263"/>
      <c r="S786" s="263"/>
      <c r="T786" s="263"/>
      <c r="U786" s="263"/>
      <c r="V786" s="263"/>
      <c r="W786" s="263"/>
      <c r="X786" s="263"/>
      <c r="Y786" s="263"/>
      <c r="Z786" s="263"/>
      <c r="AA786" s="263"/>
      <c r="AB786" s="263"/>
    </row>
    <row r="787" spans="1:28" ht="16" x14ac:dyDescent="0.2">
      <c r="A787" s="263"/>
      <c r="B787" s="263"/>
      <c r="C787" s="309"/>
      <c r="D787" s="263"/>
      <c r="E787" s="263"/>
      <c r="F787" s="263"/>
      <c r="G787" s="263"/>
      <c r="H787" s="263"/>
      <c r="I787" s="263"/>
      <c r="J787" s="263"/>
      <c r="K787" s="263"/>
      <c r="L787" s="263"/>
      <c r="M787" s="263"/>
      <c r="N787" s="263"/>
      <c r="O787" s="263"/>
      <c r="P787" s="263"/>
      <c r="Q787" s="263"/>
      <c r="R787" s="263"/>
      <c r="S787" s="263"/>
      <c r="T787" s="263"/>
      <c r="U787" s="263"/>
      <c r="V787" s="263"/>
      <c r="W787" s="263"/>
      <c r="X787" s="263"/>
      <c r="Y787" s="263"/>
      <c r="Z787" s="263"/>
      <c r="AA787" s="263"/>
      <c r="AB787" s="263"/>
    </row>
    <row r="788" spans="1:28" ht="16" x14ac:dyDescent="0.2">
      <c r="A788" s="263"/>
      <c r="B788" s="263"/>
      <c r="C788" s="309"/>
      <c r="D788" s="263"/>
      <c r="E788" s="263"/>
      <c r="F788" s="263"/>
      <c r="G788" s="263"/>
      <c r="H788" s="263"/>
      <c r="I788" s="263"/>
      <c r="J788" s="263"/>
      <c r="K788" s="263"/>
      <c r="L788" s="263"/>
      <c r="M788" s="263"/>
      <c r="N788" s="263"/>
      <c r="O788" s="263"/>
      <c r="P788" s="263"/>
      <c r="Q788" s="263"/>
      <c r="R788" s="263"/>
      <c r="S788" s="263"/>
      <c r="T788" s="263"/>
      <c r="U788" s="263"/>
      <c r="V788" s="263"/>
      <c r="W788" s="263"/>
      <c r="X788" s="263"/>
      <c r="Y788" s="263"/>
      <c r="Z788" s="263"/>
      <c r="AA788" s="263"/>
      <c r="AB788" s="263"/>
    </row>
    <row r="789" spans="1:28" ht="16" x14ac:dyDescent="0.2">
      <c r="A789" s="263"/>
      <c r="B789" s="263"/>
      <c r="C789" s="309"/>
      <c r="D789" s="263"/>
      <c r="E789" s="263"/>
      <c r="F789" s="263"/>
      <c r="G789" s="263"/>
      <c r="H789" s="263"/>
      <c r="I789" s="263"/>
      <c r="J789" s="263"/>
      <c r="K789" s="263"/>
      <c r="L789" s="263"/>
      <c r="M789" s="263"/>
      <c r="N789" s="263"/>
      <c r="O789" s="263"/>
      <c r="P789" s="263"/>
      <c r="Q789" s="263"/>
      <c r="R789" s="263"/>
      <c r="S789" s="263"/>
      <c r="T789" s="263"/>
      <c r="U789" s="263"/>
      <c r="V789" s="263"/>
      <c r="W789" s="263"/>
      <c r="X789" s="263"/>
      <c r="Y789" s="263"/>
      <c r="Z789" s="263"/>
      <c r="AA789" s="263"/>
      <c r="AB789" s="263"/>
    </row>
    <row r="790" spans="1:28" ht="16" x14ac:dyDescent="0.2">
      <c r="A790" s="263"/>
      <c r="B790" s="263"/>
      <c r="C790" s="309"/>
      <c r="D790" s="263"/>
      <c r="E790" s="263"/>
      <c r="F790" s="263"/>
      <c r="G790" s="263"/>
      <c r="H790" s="263"/>
      <c r="I790" s="263"/>
      <c r="J790" s="263"/>
      <c r="K790" s="263"/>
      <c r="L790" s="263"/>
      <c r="M790" s="263"/>
      <c r="N790" s="263"/>
      <c r="O790" s="263"/>
      <c r="P790" s="263"/>
      <c r="Q790" s="263"/>
      <c r="R790" s="263"/>
      <c r="S790" s="263"/>
      <c r="T790" s="263"/>
      <c r="U790" s="263"/>
      <c r="V790" s="263"/>
      <c r="W790" s="263"/>
      <c r="X790" s="263"/>
      <c r="Y790" s="263"/>
      <c r="Z790" s="263"/>
      <c r="AA790" s="263"/>
      <c r="AB790" s="263"/>
    </row>
    <row r="791" spans="1:28" ht="16" x14ac:dyDescent="0.2">
      <c r="A791" s="263"/>
      <c r="B791" s="263"/>
      <c r="C791" s="309"/>
      <c r="D791" s="263"/>
      <c r="E791" s="263"/>
      <c r="F791" s="263"/>
      <c r="G791" s="263"/>
      <c r="H791" s="263"/>
      <c r="I791" s="263"/>
      <c r="J791" s="263"/>
      <c r="K791" s="263"/>
      <c r="L791" s="263"/>
      <c r="M791" s="263"/>
      <c r="N791" s="263"/>
      <c r="O791" s="263"/>
      <c r="P791" s="263"/>
      <c r="Q791" s="263"/>
      <c r="R791" s="263"/>
      <c r="S791" s="263"/>
      <c r="T791" s="263"/>
      <c r="U791" s="263"/>
      <c r="V791" s="263"/>
      <c r="W791" s="263"/>
      <c r="X791" s="263"/>
      <c r="Y791" s="263"/>
      <c r="Z791" s="263"/>
      <c r="AA791" s="263"/>
      <c r="AB791" s="263"/>
    </row>
    <row r="792" spans="1:28" ht="16" x14ac:dyDescent="0.2">
      <c r="A792" s="263"/>
      <c r="B792" s="263"/>
      <c r="C792" s="309"/>
      <c r="D792" s="263"/>
      <c r="E792" s="263"/>
      <c r="F792" s="263"/>
      <c r="G792" s="263"/>
      <c r="H792" s="263"/>
      <c r="I792" s="263"/>
      <c r="J792" s="263"/>
      <c r="K792" s="263"/>
      <c r="L792" s="263"/>
      <c r="M792" s="263"/>
      <c r="N792" s="263"/>
      <c r="O792" s="263"/>
      <c r="P792" s="263"/>
      <c r="Q792" s="263"/>
      <c r="R792" s="263"/>
      <c r="S792" s="263"/>
      <c r="T792" s="263"/>
      <c r="U792" s="263"/>
      <c r="V792" s="263"/>
      <c r="W792" s="263"/>
      <c r="X792" s="263"/>
      <c r="Y792" s="263"/>
      <c r="Z792" s="263"/>
      <c r="AA792" s="263"/>
      <c r="AB792" s="263"/>
    </row>
    <row r="793" spans="1:28" ht="16" x14ac:dyDescent="0.2">
      <c r="A793" s="263"/>
      <c r="B793" s="263"/>
      <c r="C793" s="309"/>
      <c r="D793" s="263"/>
      <c r="E793" s="263"/>
      <c r="F793" s="263"/>
      <c r="G793" s="263"/>
      <c r="H793" s="263"/>
      <c r="I793" s="263"/>
      <c r="J793" s="263"/>
      <c r="K793" s="263"/>
      <c r="L793" s="263"/>
      <c r="M793" s="263"/>
      <c r="N793" s="263"/>
      <c r="O793" s="263"/>
      <c r="P793" s="263"/>
      <c r="Q793" s="263"/>
      <c r="R793" s="263"/>
      <c r="S793" s="263"/>
      <c r="T793" s="263"/>
      <c r="U793" s="263"/>
      <c r="V793" s="263"/>
      <c r="W793" s="263"/>
      <c r="X793" s="263"/>
      <c r="Y793" s="263"/>
      <c r="Z793" s="263"/>
      <c r="AA793" s="263"/>
      <c r="AB793" s="263"/>
    </row>
    <row r="794" spans="1:28" ht="16" x14ac:dyDescent="0.2">
      <c r="A794" s="263"/>
      <c r="B794" s="263"/>
      <c r="C794" s="309"/>
      <c r="D794" s="263"/>
      <c r="E794" s="263"/>
      <c r="F794" s="263"/>
      <c r="G794" s="263"/>
      <c r="H794" s="263"/>
      <c r="I794" s="263"/>
      <c r="J794" s="263"/>
      <c r="K794" s="263"/>
      <c r="L794" s="263"/>
      <c r="M794" s="263"/>
      <c r="N794" s="263"/>
      <c r="O794" s="263"/>
      <c r="P794" s="263"/>
      <c r="Q794" s="263"/>
      <c r="R794" s="263"/>
      <c r="S794" s="263"/>
      <c r="T794" s="263"/>
      <c r="U794" s="263"/>
      <c r="V794" s="263"/>
      <c r="W794" s="263"/>
      <c r="X794" s="263"/>
      <c r="Y794" s="263"/>
      <c r="Z794" s="263"/>
      <c r="AA794" s="263"/>
      <c r="AB794" s="263"/>
    </row>
    <row r="795" spans="1:28" ht="16" x14ac:dyDescent="0.2">
      <c r="A795" s="263"/>
      <c r="B795" s="263"/>
      <c r="C795" s="309"/>
      <c r="D795" s="263"/>
      <c r="E795" s="263"/>
      <c r="F795" s="263"/>
      <c r="G795" s="263"/>
      <c r="H795" s="263"/>
      <c r="I795" s="263"/>
      <c r="J795" s="263"/>
      <c r="K795" s="263"/>
      <c r="L795" s="263"/>
      <c r="M795" s="263"/>
      <c r="N795" s="263"/>
      <c r="O795" s="263"/>
      <c r="P795" s="263"/>
      <c r="Q795" s="263"/>
      <c r="R795" s="263"/>
      <c r="S795" s="263"/>
      <c r="T795" s="263"/>
      <c r="U795" s="263"/>
      <c r="V795" s="263"/>
      <c r="W795" s="263"/>
      <c r="X795" s="263"/>
      <c r="Y795" s="263"/>
      <c r="Z795" s="263"/>
      <c r="AA795" s="263"/>
      <c r="AB795" s="263"/>
    </row>
    <row r="796" spans="1:28" ht="16" x14ac:dyDescent="0.2">
      <c r="A796" s="263"/>
      <c r="B796" s="263"/>
      <c r="C796" s="309"/>
      <c r="D796" s="263"/>
      <c r="E796" s="263"/>
      <c r="F796" s="263"/>
      <c r="G796" s="263"/>
      <c r="H796" s="263"/>
      <c r="I796" s="263"/>
      <c r="J796" s="263"/>
      <c r="K796" s="263"/>
      <c r="L796" s="263"/>
      <c r="M796" s="263"/>
      <c r="N796" s="263"/>
      <c r="O796" s="263"/>
      <c r="P796" s="263"/>
      <c r="Q796" s="263"/>
      <c r="R796" s="263"/>
      <c r="S796" s="263"/>
      <c r="T796" s="263"/>
      <c r="U796" s="263"/>
      <c r="V796" s="263"/>
      <c r="W796" s="263"/>
      <c r="X796" s="263"/>
      <c r="Y796" s="263"/>
      <c r="Z796" s="263"/>
      <c r="AA796" s="263"/>
      <c r="AB796" s="263"/>
    </row>
    <row r="797" spans="1:28" ht="16" x14ac:dyDescent="0.2">
      <c r="A797" s="263"/>
      <c r="B797" s="263"/>
      <c r="C797" s="309"/>
      <c r="D797" s="263"/>
      <c r="E797" s="263"/>
      <c r="F797" s="263"/>
      <c r="G797" s="263"/>
      <c r="H797" s="263"/>
      <c r="I797" s="263"/>
      <c r="J797" s="263"/>
      <c r="K797" s="263"/>
      <c r="L797" s="263"/>
      <c r="M797" s="263"/>
      <c r="N797" s="263"/>
      <c r="O797" s="263"/>
      <c r="P797" s="263"/>
      <c r="Q797" s="263"/>
      <c r="R797" s="263"/>
      <c r="S797" s="263"/>
      <c r="T797" s="263"/>
      <c r="U797" s="263"/>
      <c r="V797" s="263"/>
      <c r="W797" s="263"/>
      <c r="X797" s="263"/>
      <c r="Y797" s="263"/>
      <c r="Z797" s="263"/>
      <c r="AA797" s="263"/>
      <c r="AB797" s="263"/>
    </row>
    <row r="798" spans="1:28" ht="16" x14ac:dyDescent="0.2">
      <c r="A798" s="263"/>
      <c r="B798" s="263"/>
      <c r="C798" s="309"/>
      <c r="D798" s="263"/>
      <c r="E798" s="263"/>
      <c r="F798" s="263"/>
      <c r="G798" s="263"/>
      <c r="H798" s="263"/>
      <c r="I798" s="263"/>
      <c r="J798" s="263"/>
      <c r="K798" s="263"/>
      <c r="L798" s="263"/>
      <c r="M798" s="263"/>
      <c r="N798" s="263"/>
      <c r="O798" s="263"/>
      <c r="P798" s="263"/>
      <c r="Q798" s="263"/>
      <c r="R798" s="263"/>
      <c r="S798" s="263"/>
      <c r="T798" s="263"/>
      <c r="U798" s="263"/>
      <c r="V798" s="263"/>
      <c r="W798" s="263"/>
      <c r="X798" s="263"/>
      <c r="Y798" s="263"/>
      <c r="Z798" s="263"/>
      <c r="AA798" s="263"/>
      <c r="AB798" s="263"/>
    </row>
    <row r="799" spans="1:28" ht="16" x14ac:dyDescent="0.2">
      <c r="A799" s="263"/>
      <c r="B799" s="263"/>
      <c r="C799" s="309"/>
      <c r="D799" s="263"/>
      <c r="E799" s="263"/>
      <c r="F799" s="263"/>
      <c r="G799" s="263"/>
      <c r="H799" s="263"/>
      <c r="I799" s="263"/>
      <c r="J799" s="263"/>
      <c r="K799" s="263"/>
      <c r="L799" s="263"/>
      <c r="M799" s="263"/>
      <c r="N799" s="263"/>
      <c r="O799" s="263"/>
      <c r="P799" s="263"/>
      <c r="Q799" s="263"/>
      <c r="R799" s="263"/>
      <c r="S799" s="263"/>
      <c r="T799" s="263"/>
      <c r="U799" s="263"/>
      <c r="V799" s="263"/>
      <c r="W799" s="263"/>
      <c r="X799" s="263"/>
      <c r="Y799" s="263"/>
      <c r="Z799" s="263"/>
      <c r="AA799" s="263"/>
      <c r="AB799" s="263"/>
    </row>
    <row r="800" spans="1:28" ht="16" x14ac:dyDescent="0.2">
      <c r="A800" s="263"/>
      <c r="B800" s="263"/>
      <c r="C800" s="309"/>
      <c r="D800" s="263"/>
      <c r="E800" s="263"/>
      <c r="F800" s="263"/>
      <c r="G800" s="263"/>
      <c r="H800" s="263"/>
      <c r="I800" s="263"/>
      <c r="J800" s="263"/>
      <c r="K800" s="263"/>
      <c r="L800" s="263"/>
      <c r="M800" s="263"/>
      <c r="N800" s="263"/>
      <c r="O800" s="263"/>
      <c r="P800" s="263"/>
      <c r="Q800" s="263"/>
      <c r="R800" s="263"/>
      <c r="S800" s="263"/>
      <c r="T800" s="263"/>
      <c r="U800" s="263"/>
      <c r="V800" s="263"/>
      <c r="W800" s="263"/>
      <c r="X800" s="263"/>
      <c r="Y800" s="263"/>
      <c r="Z800" s="263"/>
      <c r="AA800" s="263"/>
      <c r="AB800" s="263"/>
    </row>
    <row r="801" spans="1:28" ht="16" x14ac:dyDescent="0.2">
      <c r="A801" s="263"/>
      <c r="B801" s="263"/>
      <c r="C801" s="309"/>
      <c r="D801" s="263"/>
      <c r="E801" s="263"/>
      <c r="F801" s="263"/>
      <c r="G801" s="263"/>
      <c r="H801" s="263"/>
      <c r="I801" s="263"/>
      <c r="J801" s="263"/>
      <c r="K801" s="263"/>
      <c r="L801" s="263"/>
      <c r="M801" s="263"/>
      <c r="N801" s="263"/>
      <c r="O801" s="263"/>
      <c r="P801" s="263"/>
      <c r="Q801" s="263"/>
      <c r="R801" s="263"/>
      <c r="S801" s="263"/>
      <c r="T801" s="263"/>
      <c r="U801" s="263"/>
      <c r="V801" s="263"/>
      <c r="W801" s="263"/>
      <c r="X801" s="263"/>
      <c r="Y801" s="263"/>
      <c r="Z801" s="263"/>
      <c r="AA801" s="263"/>
      <c r="AB801" s="263"/>
    </row>
    <row r="802" spans="1:28" ht="16" x14ac:dyDescent="0.2">
      <c r="A802" s="263"/>
      <c r="B802" s="263"/>
      <c r="C802" s="309"/>
      <c r="D802" s="263"/>
      <c r="E802" s="263"/>
      <c r="F802" s="263"/>
      <c r="G802" s="263"/>
      <c r="H802" s="263"/>
      <c r="I802" s="263"/>
      <c r="J802" s="263"/>
      <c r="K802" s="263"/>
      <c r="L802" s="263"/>
      <c r="M802" s="263"/>
      <c r="N802" s="263"/>
      <c r="O802" s="263"/>
      <c r="P802" s="263"/>
      <c r="Q802" s="263"/>
      <c r="R802" s="263"/>
      <c r="S802" s="263"/>
      <c r="T802" s="263"/>
      <c r="U802" s="263"/>
      <c r="V802" s="263"/>
      <c r="W802" s="263"/>
      <c r="X802" s="263"/>
      <c r="Y802" s="263"/>
      <c r="Z802" s="263"/>
      <c r="AA802" s="263"/>
      <c r="AB802" s="263"/>
    </row>
    <row r="803" spans="1:28" ht="16" x14ac:dyDescent="0.2">
      <c r="A803" s="263"/>
      <c r="B803" s="263"/>
      <c r="C803" s="309"/>
      <c r="D803" s="263"/>
      <c r="E803" s="263"/>
      <c r="F803" s="263"/>
      <c r="G803" s="263"/>
      <c r="H803" s="263"/>
      <c r="I803" s="263"/>
      <c r="J803" s="263"/>
      <c r="K803" s="263"/>
      <c r="L803" s="263"/>
      <c r="M803" s="263"/>
      <c r="N803" s="263"/>
      <c r="O803" s="263"/>
      <c r="P803" s="263"/>
      <c r="Q803" s="263"/>
      <c r="R803" s="263"/>
      <c r="S803" s="263"/>
      <c r="T803" s="263"/>
      <c r="U803" s="263"/>
      <c r="V803" s="263"/>
      <c r="W803" s="263"/>
      <c r="X803" s="263"/>
      <c r="Y803" s="263"/>
      <c r="Z803" s="263"/>
      <c r="AA803" s="263"/>
      <c r="AB803" s="263"/>
    </row>
    <row r="804" spans="1:28" ht="16" x14ac:dyDescent="0.2">
      <c r="A804" s="263"/>
      <c r="B804" s="263"/>
      <c r="C804" s="309"/>
      <c r="D804" s="263"/>
      <c r="E804" s="263"/>
      <c r="F804" s="263"/>
      <c r="G804" s="263"/>
      <c r="H804" s="263"/>
      <c r="I804" s="263"/>
      <c r="J804" s="263"/>
      <c r="K804" s="263"/>
      <c r="L804" s="263"/>
      <c r="M804" s="263"/>
      <c r="N804" s="263"/>
      <c r="O804" s="263"/>
      <c r="P804" s="263"/>
      <c r="Q804" s="263"/>
      <c r="R804" s="263"/>
      <c r="S804" s="263"/>
      <c r="T804" s="263"/>
      <c r="U804" s="263"/>
      <c r="V804" s="263"/>
      <c r="W804" s="263"/>
      <c r="X804" s="263"/>
      <c r="Y804" s="263"/>
      <c r="Z804" s="263"/>
      <c r="AA804" s="263"/>
      <c r="AB804" s="263"/>
    </row>
    <row r="805" spans="1:28" ht="16" x14ac:dyDescent="0.2">
      <c r="A805" s="263"/>
      <c r="B805" s="263"/>
      <c r="C805" s="309"/>
      <c r="D805" s="263"/>
      <c r="E805" s="263"/>
      <c r="F805" s="263"/>
      <c r="G805" s="263"/>
      <c r="H805" s="263"/>
      <c r="I805" s="263"/>
      <c r="J805" s="263"/>
      <c r="K805" s="263"/>
      <c r="L805" s="263"/>
      <c r="M805" s="263"/>
      <c r="N805" s="263"/>
      <c r="O805" s="263"/>
      <c r="P805" s="263"/>
      <c r="Q805" s="263"/>
      <c r="R805" s="263"/>
      <c r="S805" s="263"/>
      <c r="T805" s="263"/>
      <c r="U805" s="263"/>
      <c r="V805" s="263"/>
      <c r="W805" s="263"/>
      <c r="X805" s="263"/>
      <c r="Y805" s="263"/>
      <c r="Z805" s="263"/>
      <c r="AA805" s="263"/>
      <c r="AB805" s="263"/>
    </row>
    <row r="806" spans="1:28" ht="16" x14ac:dyDescent="0.2">
      <c r="A806" s="263"/>
      <c r="B806" s="263"/>
      <c r="C806" s="309"/>
      <c r="D806" s="263"/>
      <c r="E806" s="263"/>
      <c r="F806" s="263"/>
      <c r="G806" s="263"/>
      <c r="H806" s="263"/>
      <c r="I806" s="263"/>
      <c r="J806" s="263"/>
      <c r="K806" s="263"/>
      <c r="L806" s="263"/>
      <c r="M806" s="263"/>
      <c r="N806" s="263"/>
      <c r="O806" s="263"/>
      <c r="P806" s="263"/>
      <c r="Q806" s="263"/>
      <c r="R806" s="263"/>
      <c r="S806" s="263"/>
      <c r="T806" s="263"/>
      <c r="U806" s="263"/>
      <c r="V806" s="263"/>
      <c r="W806" s="263"/>
      <c r="X806" s="263"/>
      <c r="Y806" s="263"/>
      <c r="Z806" s="263"/>
      <c r="AA806" s="263"/>
      <c r="AB806" s="263"/>
    </row>
    <row r="807" spans="1:28" ht="16" x14ac:dyDescent="0.2">
      <c r="A807" s="263"/>
      <c r="B807" s="263"/>
      <c r="C807" s="309"/>
      <c r="D807" s="263"/>
      <c r="E807" s="263"/>
      <c r="F807" s="263"/>
      <c r="G807" s="263"/>
      <c r="H807" s="263"/>
      <c r="I807" s="263"/>
      <c r="J807" s="263"/>
      <c r="K807" s="263"/>
      <c r="L807" s="263"/>
      <c r="M807" s="263"/>
      <c r="N807" s="263"/>
      <c r="O807" s="263"/>
      <c r="P807" s="263"/>
      <c r="Q807" s="263"/>
      <c r="R807" s="263"/>
      <c r="S807" s="263"/>
      <c r="T807" s="263"/>
      <c r="U807" s="263"/>
      <c r="V807" s="263"/>
      <c r="W807" s="263"/>
      <c r="X807" s="263"/>
      <c r="Y807" s="263"/>
      <c r="Z807" s="263"/>
      <c r="AA807" s="263"/>
      <c r="AB807" s="263"/>
    </row>
    <row r="808" spans="1:28" ht="16" x14ac:dyDescent="0.2">
      <c r="A808" s="263"/>
      <c r="B808" s="263"/>
      <c r="C808" s="309"/>
      <c r="D808" s="263"/>
      <c r="E808" s="263"/>
      <c r="F808" s="263"/>
      <c r="G808" s="263"/>
      <c r="H808" s="263"/>
      <c r="I808" s="263"/>
      <c r="J808" s="263"/>
      <c r="K808" s="263"/>
      <c r="L808" s="263"/>
      <c r="M808" s="263"/>
      <c r="N808" s="263"/>
      <c r="O808" s="263"/>
      <c r="P808" s="263"/>
      <c r="Q808" s="263"/>
      <c r="R808" s="263"/>
      <c r="S808" s="263"/>
      <c r="T808" s="263"/>
      <c r="U808" s="263"/>
      <c r="V808" s="263"/>
      <c r="W808" s="263"/>
      <c r="X808" s="263"/>
      <c r="Y808" s="263"/>
      <c r="Z808" s="263"/>
      <c r="AA808" s="263"/>
      <c r="AB808" s="263"/>
    </row>
    <row r="809" spans="1:28" ht="16" x14ac:dyDescent="0.2">
      <c r="A809" s="263"/>
      <c r="B809" s="263"/>
      <c r="C809" s="309"/>
      <c r="D809" s="263"/>
      <c r="E809" s="263"/>
      <c r="F809" s="263"/>
      <c r="G809" s="263"/>
      <c r="H809" s="263"/>
      <c r="I809" s="263"/>
      <c r="J809" s="263"/>
      <c r="K809" s="263"/>
      <c r="L809" s="263"/>
      <c r="M809" s="263"/>
      <c r="N809" s="263"/>
      <c r="O809" s="263"/>
      <c r="P809" s="263"/>
      <c r="Q809" s="263"/>
      <c r="R809" s="263"/>
      <c r="S809" s="263"/>
      <c r="T809" s="263"/>
      <c r="U809" s="263"/>
      <c r="V809" s="263"/>
      <c r="W809" s="263"/>
      <c r="X809" s="263"/>
      <c r="Y809" s="263"/>
      <c r="Z809" s="263"/>
      <c r="AA809" s="263"/>
      <c r="AB809" s="263"/>
    </row>
    <row r="810" spans="1:28" ht="16" x14ac:dyDescent="0.2">
      <c r="A810" s="263"/>
      <c r="B810" s="263"/>
      <c r="C810" s="309"/>
      <c r="D810" s="263"/>
      <c r="E810" s="263"/>
      <c r="F810" s="263"/>
      <c r="G810" s="263"/>
      <c r="H810" s="263"/>
      <c r="I810" s="263"/>
      <c r="J810" s="263"/>
      <c r="K810" s="263"/>
      <c r="L810" s="263"/>
      <c r="M810" s="263"/>
      <c r="N810" s="263"/>
      <c r="O810" s="263"/>
      <c r="P810" s="263"/>
      <c r="Q810" s="263"/>
      <c r="R810" s="263"/>
      <c r="S810" s="263"/>
      <c r="T810" s="263"/>
      <c r="U810" s="263"/>
      <c r="V810" s="263"/>
      <c r="W810" s="263"/>
      <c r="X810" s="263"/>
      <c r="Y810" s="263"/>
      <c r="Z810" s="263"/>
      <c r="AA810" s="263"/>
      <c r="AB810" s="263"/>
    </row>
    <row r="811" spans="1:28" ht="16" x14ac:dyDescent="0.2">
      <c r="A811" s="263"/>
      <c r="B811" s="263"/>
      <c r="C811" s="309"/>
      <c r="D811" s="263"/>
      <c r="E811" s="263"/>
      <c r="F811" s="263"/>
      <c r="G811" s="263"/>
      <c r="H811" s="263"/>
      <c r="I811" s="263"/>
      <c r="J811" s="263"/>
      <c r="K811" s="263"/>
      <c r="L811" s="263"/>
      <c r="M811" s="263"/>
      <c r="N811" s="263"/>
      <c r="O811" s="263"/>
      <c r="P811" s="263"/>
      <c r="Q811" s="263"/>
      <c r="R811" s="263"/>
      <c r="S811" s="263"/>
      <c r="T811" s="263"/>
      <c r="U811" s="263"/>
      <c r="V811" s="263"/>
      <c r="W811" s="263"/>
      <c r="X811" s="263"/>
      <c r="Y811" s="263"/>
      <c r="Z811" s="263"/>
      <c r="AA811" s="263"/>
      <c r="AB811" s="263"/>
    </row>
    <row r="812" spans="1:28" ht="16" x14ac:dyDescent="0.2">
      <c r="A812" s="263"/>
      <c r="B812" s="263"/>
      <c r="C812" s="309"/>
      <c r="D812" s="263"/>
      <c r="E812" s="263"/>
      <c r="F812" s="263"/>
      <c r="G812" s="263"/>
      <c r="H812" s="263"/>
      <c r="I812" s="263"/>
      <c r="J812" s="263"/>
      <c r="K812" s="263"/>
      <c r="L812" s="263"/>
      <c r="M812" s="263"/>
      <c r="N812" s="263"/>
      <c r="O812" s="263"/>
      <c r="P812" s="263"/>
      <c r="Q812" s="263"/>
      <c r="R812" s="263"/>
      <c r="S812" s="263"/>
      <c r="T812" s="263"/>
      <c r="U812" s="263"/>
      <c r="V812" s="263"/>
      <c r="W812" s="263"/>
      <c r="X812" s="263"/>
      <c r="Y812" s="263"/>
      <c r="Z812" s="263"/>
      <c r="AA812" s="263"/>
      <c r="AB812" s="263"/>
    </row>
    <row r="813" spans="1:28" ht="16" x14ac:dyDescent="0.2">
      <c r="A813" s="263"/>
      <c r="B813" s="263"/>
      <c r="C813" s="309"/>
      <c r="D813" s="263"/>
      <c r="E813" s="263"/>
      <c r="F813" s="263"/>
      <c r="G813" s="263"/>
      <c r="H813" s="263"/>
      <c r="I813" s="263"/>
      <c r="J813" s="263"/>
      <c r="K813" s="263"/>
      <c r="L813" s="263"/>
      <c r="M813" s="263"/>
      <c r="N813" s="263"/>
      <c r="O813" s="263"/>
      <c r="P813" s="263"/>
      <c r="Q813" s="263"/>
      <c r="R813" s="263"/>
      <c r="S813" s="263"/>
      <c r="T813" s="263"/>
      <c r="U813" s="263"/>
      <c r="V813" s="263"/>
      <c r="W813" s="263"/>
      <c r="X813" s="263"/>
      <c r="Y813" s="263"/>
      <c r="Z813" s="263"/>
      <c r="AA813" s="263"/>
      <c r="AB813" s="263"/>
    </row>
    <row r="814" spans="1:28" ht="16" x14ac:dyDescent="0.2">
      <c r="A814" s="263"/>
      <c r="B814" s="263"/>
      <c r="C814" s="309"/>
      <c r="D814" s="263"/>
      <c r="E814" s="263"/>
      <c r="F814" s="263"/>
      <c r="G814" s="263"/>
      <c r="H814" s="263"/>
      <c r="I814" s="263"/>
      <c r="J814" s="263"/>
      <c r="K814" s="263"/>
      <c r="L814" s="263"/>
      <c r="M814" s="263"/>
      <c r="N814" s="263"/>
      <c r="O814" s="263"/>
      <c r="P814" s="263"/>
      <c r="Q814" s="263"/>
      <c r="R814" s="263"/>
      <c r="S814" s="263"/>
      <c r="T814" s="263"/>
      <c r="U814" s="263"/>
      <c r="V814" s="263"/>
      <c r="W814" s="263"/>
      <c r="X814" s="263"/>
      <c r="Y814" s="263"/>
      <c r="Z814" s="263"/>
      <c r="AA814" s="263"/>
      <c r="AB814" s="263"/>
    </row>
    <row r="815" spans="1:28" ht="16" x14ac:dyDescent="0.2">
      <c r="A815" s="263"/>
      <c r="B815" s="263"/>
      <c r="C815" s="309"/>
      <c r="D815" s="263"/>
      <c r="E815" s="263"/>
      <c r="F815" s="263"/>
      <c r="G815" s="263"/>
      <c r="H815" s="263"/>
      <c r="I815" s="263"/>
      <c r="J815" s="263"/>
      <c r="K815" s="263"/>
      <c r="L815" s="263"/>
      <c r="M815" s="263"/>
      <c r="N815" s="263"/>
      <c r="O815" s="263"/>
      <c r="P815" s="263"/>
      <c r="Q815" s="263"/>
      <c r="R815" s="263"/>
      <c r="S815" s="263"/>
      <c r="T815" s="263"/>
      <c r="U815" s="263"/>
      <c r="V815" s="263"/>
      <c r="W815" s="263"/>
      <c r="X815" s="263"/>
      <c r="Y815" s="263"/>
      <c r="Z815" s="263"/>
      <c r="AA815" s="263"/>
      <c r="AB815" s="263"/>
    </row>
    <row r="816" spans="1:28" ht="16" x14ac:dyDescent="0.2">
      <c r="A816" s="263"/>
      <c r="B816" s="263"/>
      <c r="C816" s="309"/>
      <c r="D816" s="263"/>
      <c r="E816" s="263"/>
      <c r="F816" s="263"/>
      <c r="G816" s="263"/>
      <c r="H816" s="263"/>
      <c r="I816" s="263"/>
      <c r="J816" s="263"/>
      <c r="K816" s="263"/>
      <c r="L816" s="263"/>
      <c r="M816" s="263"/>
      <c r="N816" s="263"/>
      <c r="O816" s="263"/>
      <c r="P816" s="263"/>
      <c r="Q816" s="263"/>
      <c r="R816" s="263"/>
      <c r="S816" s="263"/>
      <c r="T816" s="263"/>
      <c r="U816" s="263"/>
      <c r="V816" s="263"/>
      <c r="W816" s="263"/>
      <c r="X816" s="263"/>
      <c r="Y816" s="263"/>
      <c r="Z816" s="263"/>
      <c r="AA816" s="263"/>
      <c r="AB816" s="263"/>
    </row>
    <row r="817" spans="1:28" ht="16" x14ac:dyDescent="0.2">
      <c r="A817" s="263"/>
      <c r="B817" s="263"/>
      <c r="C817" s="309"/>
      <c r="D817" s="263"/>
      <c r="E817" s="263"/>
      <c r="F817" s="263"/>
      <c r="G817" s="263"/>
      <c r="H817" s="263"/>
      <c r="I817" s="263"/>
      <c r="J817" s="263"/>
      <c r="K817" s="263"/>
      <c r="L817" s="263"/>
      <c r="M817" s="263"/>
      <c r="N817" s="263"/>
      <c r="O817" s="263"/>
      <c r="P817" s="263"/>
      <c r="Q817" s="263"/>
      <c r="R817" s="263"/>
      <c r="S817" s="263"/>
      <c r="T817" s="263"/>
      <c r="U817" s="263"/>
      <c r="V817" s="263"/>
      <c r="W817" s="263"/>
      <c r="X817" s="263"/>
      <c r="Y817" s="263"/>
      <c r="Z817" s="263"/>
      <c r="AA817" s="263"/>
      <c r="AB817" s="263"/>
    </row>
    <row r="818" spans="1:28" ht="16" x14ac:dyDescent="0.2">
      <c r="A818" s="263"/>
      <c r="B818" s="263"/>
      <c r="C818" s="309"/>
      <c r="D818" s="263"/>
      <c r="E818" s="263"/>
      <c r="F818" s="263"/>
      <c r="G818" s="263"/>
      <c r="H818" s="263"/>
      <c r="I818" s="263"/>
      <c r="J818" s="263"/>
      <c r="K818" s="263"/>
      <c r="L818" s="263"/>
      <c r="M818" s="263"/>
      <c r="N818" s="263"/>
      <c r="O818" s="263"/>
      <c r="P818" s="263"/>
      <c r="Q818" s="263"/>
      <c r="R818" s="263"/>
      <c r="S818" s="263"/>
      <c r="T818" s="263"/>
      <c r="U818" s="263"/>
      <c r="V818" s="263"/>
      <c r="W818" s="263"/>
      <c r="X818" s="263"/>
      <c r="Y818" s="263"/>
      <c r="Z818" s="263"/>
      <c r="AA818" s="263"/>
      <c r="AB818" s="263"/>
    </row>
    <row r="819" spans="1:28" ht="16" x14ac:dyDescent="0.2">
      <c r="A819" s="263"/>
      <c r="B819" s="263"/>
      <c r="C819" s="309"/>
      <c r="D819" s="263"/>
      <c r="E819" s="263"/>
      <c r="F819" s="263"/>
      <c r="G819" s="263"/>
      <c r="H819" s="263"/>
      <c r="I819" s="263"/>
      <c r="J819" s="263"/>
      <c r="K819" s="263"/>
      <c r="L819" s="263"/>
      <c r="M819" s="263"/>
      <c r="N819" s="263"/>
      <c r="O819" s="263"/>
      <c r="P819" s="263"/>
      <c r="Q819" s="263"/>
      <c r="R819" s="263"/>
      <c r="S819" s="263"/>
      <c r="T819" s="263"/>
      <c r="U819" s="263"/>
      <c r="V819" s="263"/>
      <c r="W819" s="263"/>
      <c r="X819" s="263"/>
      <c r="Y819" s="263"/>
      <c r="Z819" s="263"/>
      <c r="AA819" s="263"/>
      <c r="AB819" s="263"/>
    </row>
    <row r="820" spans="1:28" ht="16" x14ac:dyDescent="0.2">
      <c r="A820" s="263"/>
      <c r="B820" s="263"/>
      <c r="C820" s="309"/>
      <c r="D820" s="263"/>
      <c r="E820" s="263"/>
      <c r="F820" s="263"/>
      <c r="G820" s="263"/>
      <c r="H820" s="263"/>
      <c r="I820" s="263"/>
      <c r="J820" s="263"/>
      <c r="K820" s="263"/>
      <c r="L820" s="263"/>
      <c r="M820" s="263"/>
      <c r="N820" s="263"/>
      <c r="O820" s="263"/>
      <c r="P820" s="263"/>
      <c r="Q820" s="263"/>
      <c r="R820" s="263"/>
      <c r="S820" s="263"/>
      <c r="T820" s="263"/>
      <c r="U820" s="263"/>
      <c r="V820" s="263"/>
      <c r="W820" s="263"/>
      <c r="X820" s="263"/>
      <c r="Y820" s="263"/>
      <c r="Z820" s="263"/>
      <c r="AA820" s="263"/>
      <c r="AB820" s="263"/>
    </row>
    <row r="821" spans="1:28" ht="16" x14ac:dyDescent="0.2">
      <c r="A821" s="263"/>
      <c r="B821" s="263"/>
      <c r="C821" s="309"/>
      <c r="D821" s="263"/>
      <c r="E821" s="263"/>
      <c r="F821" s="263"/>
      <c r="G821" s="263"/>
      <c r="H821" s="263"/>
      <c r="I821" s="263"/>
      <c r="J821" s="263"/>
      <c r="K821" s="263"/>
      <c r="L821" s="263"/>
      <c r="M821" s="263"/>
      <c r="N821" s="263"/>
      <c r="O821" s="263"/>
      <c r="P821" s="263"/>
      <c r="Q821" s="263"/>
      <c r="R821" s="263"/>
      <c r="S821" s="263"/>
      <c r="T821" s="263"/>
      <c r="U821" s="263"/>
      <c r="V821" s="263"/>
      <c r="W821" s="263"/>
      <c r="X821" s="263"/>
      <c r="Y821" s="263"/>
      <c r="Z821" s="263"/>
      <c r="AA821" s="263"/>
      <c r="AB821" s="263"/>
    </row>
    <row r="822" spans="1:28" ht="16" x14ac:dyDescent="0.2">
      <c r="A822" s="263"/>
      <c r="B822" s="263"/>
      <c r="C822" s="309"/>
      <c r="D822" s="263"/>
      <c r="E822" s="263"/>
      <c r="F822" s="263"/>
      <c r="G822" s="263"/>
      <c r="H822" s="263"/>
      <c r="I822" s="263"/>
      <c r="J822" s="263"/>
      <c r="K822" s="263"/>
      <c r="L822" s="263"/>
      <c r="M822" s="263"/>
      <c r="N822" s="263"/>
      <c r="O822" s="263"/>
      <c r="P822" s="263"/>
      <c r="Q822" s="263"/>
      <c r="R822" s="263"/>
      <c r="S822" s="263"/>
      <c r="T822" s="263"/>
      <c r="U822" s="263"/>
      <c r="V822" s="263"/>
      <c r="W822" s="263"/>
      <c r="X822" s="263"/>
      <c r="Y822" s="263"/>
      <c r="Z822" s="263"/>
      <c r="AA822" s="263"/>
      <c r="AB822" s="263"/>
    </row>
    <row r="823" spans="1:28" ht="16" x14ac:dyDescent="0.2">
      <c r="A823" s="263"/>
      <c r="B823" s="263"/>
      <c r="C823" s="309"/>
      <c r="D823" s="263"/>
      <c r="E823" s="263"/>
      <c r="F823" s="263"/>
      <c r="G823" s="263"/>
      <c r="H823" s="263"/>
      <c r="I823" s="263"/>
      <c r="J823" s="263"/>
      <c r="K823" s="263"/>
      <c r="L823" s="263"/>
      <c r="M823" s="263"/>
      <c r="N823" s="263"/>
      <c r="O823" s="263"/>
      <c r="P823" s="263"/>
      <c r="Q823" s="263"/>
      <c r="R823" s="263"/>
      <c r="S823" s="263"/>
      <c r="T823" s="263"/>
      <c r="U823" s="263"/>
      <c r="V823" s="263"/>
      <c r="W823" s="263"/>
      <c r="X823" s="263"/>
      <c r="Y823" s="263"/>
      <c r="Z823" s="263"/>
      <c r="AA823" s="263"/>
      <c r="AB823" s="263"/>
    </row>
    <row r="824" spans="1:28" ht="16" x14ac:dyDescent="0.2">
      <c r="A824" s="263"/>
      <c r="B824" s="263"/>
      <c r="C824" s="309"/>
      <c r="D824" s="263"/>
      <c r="E824" s="263"/>
      <c r="F824" s="263"/>
      <c r="G824" s="263"/>
      <c r="H824" s="263"/>
      <c r="I824" s="263"/>
      <c r="J824" s="263"/>
      <c r="K824" s="263"/>
      <c r="L824" s="263"/>
      <c r="M824" s="263"/>
      <c r="N824" s="263"/>
      <c r="O824" s="263"/>
      <c r="P824" s="263"/>
      <c r="Q824" s="263"/>
      <c r="R824" s="263"/>
      <c r="S824" s="263"/>
      <c r="T824" s="263"/>
      <c r="U824" s="263"/>
      <c r="V824" s="263"/>
      <c r="W824" s="263"/>
      <c r="X824" s="263"/>
      <c r="Y824" s="263"/>
      <c r="Z824" s="263"/>
      <c r="AA824" s="263"/>
      <c r="AB824" s="263"/>
    </row>
    <row r="825" spans="1:28" ht="16" x14ac:dyDescent="0.2">
      <c r="A825" s="263"/>
      <c r="B825" s="263"/>
      <c r="C825" s="309"/>
      <c r="D825" s="263"/>
      <c r="E825" s="263"/>
      <c r="F825" s="263"/>
      <c r="G825" s="263"/>
      <c r="H825" s="263"/>
      <c r="I825" s="263"/>
      <c r="J825" s="263"/>
      <c r="K825" s="263"/>
      <c r="L825" s="263"/>
      <c r="M825" s="263"/>
      <c r="N825" s="263"/>
      <c r="O825" s="263"/>
      <c r="P825" s="263"/>
      <c r="Q825" s="263"/>
      <c r="R825" s="263"/>
      <c r="S825" s="263"/>
      <c r="T825" s="263"/>
      <c r="U825" s="263"/>
      <c r="V825" s="263"/>
      <c r="W825" s="263"/>
      <c r="X825" s="263"/>
      <c r="Y825" s="263"/>
      <c r="Z825" s="263"/>
      <c r="AA825" s="263"/>
      <c r="AB825" s="263"/>
    </row>
    <row r="826" spans="1:28" ht="16" x14ac:dyDescent="0.2">
      <c r="A826" s="263"/>
      <c r="B826" s="263"/>
      <c r="C826" s="309"/>
      <c r="D826" s="263"/>
      <c r="E826" s="263"/>
      <c r="F826" s="263"/>
      <c r="G826" s="263"/>
      <c r="H826" s="263"/>
      <c r="I826" s="263"/>
      <c r="J826" s="263"/>
      <c r="K826" s="263"/>
      <c r="L826" s="263"/>
      <c r="M826" s="263"/>
      <c r="N826" s="263"/>
      <c r="O826" s="263"/>
      <c r="P826" s="263"/>
      <c r="Q826" s="263"/>
      <c r="R826" s="263"/>
      <c r="S826" s="263"/>
      <c r="T826" s="263"/>
      <c r="U826" s="263"/>
      <c r="V826" s="263"/>
      <c r="W826" s="263"/>
      <c r="X826" s="263"/>
      <c r="Y826" s="263"/>
      <c r="Z826" s="263"/>
      <c r="AA826" s="263"/>
      <c r="AB826" s="263"/>
    </row>
    <row r="827" spans="1:28" ht="16" x14ac:dyDescent="0.2">
      <c r="A827" s="263"/>
      <c r="B827" s="263"/>
      <c r="C827" s="309"/>
      <c r="D827" s="263"/>
      <c r="E827" s="263"/>
      <c r="F827" s="263"/>
      <c r="G827" s="263"/>
      <c r="H827" s="263"/>
      <c r="I827" s="263"/>
      <c r="J827" s="263"/>
      <c r="K827" s="263"/>
      <c r="L827" s="263"/>
      <c r="M827" s="263"/>
      <c r="N827" s="263"/>
      <c r="O827" s="263"/>
      <c r="P827" s="263"/>
      <c r="Q827" s="263"/>
      <c r="R827" s="263"/>
      <c r="S827" s="263"/>
      <c r="T827" s="263"/>
      <c r="U827" s="263"/>
      <c r="V827" s="263"/>
      <c r="W827" s="263"/>
      <c r="X827" s="263"/>
      <c r="Y827" s="263"/>
      <c r="Z827" s="263"/>
      <c r="AA827" s="263"/>
      <c r="AB827" s="263"/>
    </row>
    <row r="828" spans="1:28" ht="16" x14ac:dyDescent="0.2">
      <c r="A828" s="263"/>
      <c r="B828" s="263"/>
      <c r="C828" s="309"/>
      <c r="D828" s="263"/>
      <c r="E828" s="263"/>
      <c r="F828" s="263"/>
      <c r="G828" s="263"/>
      <c r="H828" s="263"/>
      <c r="I828" s="263"/>
      <c r="J828" s="263"/>
      <c r="K828" s="263"/>
      <c r="L828" s="263"/>
      <c r="M828" s="263"/>
      <c r="N828" s="263"/>
      <c r="O828" s="263"/>
      <c r="P828" s="263"/>
      <c r="Q828" s="263"/>
      <c r="R828" s="263"/>
      <c r="S828" s="263"/>
      <c r="T828" s="263"/>
      <c r="U828" s="263"/>
      <c r="V828" s="263"/>
      <c r="W828" s="263"/>
      <c r="X828" s="263"/>
      <c r="Y828" s="263"/>
      <c r="Z828" s="263"/>
      <c r="AA828" s="263"/>
      <c r="AB828" s="263"/>
    </row>
    <row r="829" spans="1:28" ht="16" x14ac:dyDescent="0.2">
      <c r="A829" s="263"/>
      <c r="B829" s="263"/>
      <c r="C829" s="309"/>
      <c r="D829" s="263"/>
      <c r="E829" s="263"/>
      <c r="F829" s="263"/>
      <c r="G829" s="263"/>
      <c r="H829" s="263"/>
      <c r="I829" s="263"/>
      <c r="J829" s="263"/>
      <c r="K829" s="263"/>
      <c r="L829" s="263"/>
      <c r="M829" s="263"/>
      <c r="N829" s="263"/>
      <c r="O829" s="263"/>
      <c r="P829" s="263"/>
      <c r="Q829" s="263"/>
      <c r="R829" s="263"/>
      <c r="S829" s="263"/>
      <c r="T829" s="263"/>
      <c r="U829" s="263"/>
      <c r="V829" s="263"/>
      <c r="W829" s="263"/>
      <c r="X829" s="263"/>
      <c r="Y829" s="263"/>
      <c r="Z829" s="263"/>
      <c r="AA829" s="263"/>
      <c r="AB829" s="263"/>
    </row>
    <row r="830" spans="1:28" ht="16" x14ac:dyDescent="0.2">
      <c r="A830" s="263"/>
      <c r="B830" s="263"/>
      <c r="C830" s="309"/>
      <c r="D830" s="263"/>
      <c r="E830" s="263"/>
      <c r="F830" s="263"/>
      <c r="G830" s="263"/>
      <c r="H830" s="263"/>
      <c r="I830" s="263"/>
      <c r="J830" s="263"/>
      <c r="K830" s="263"/>
      <c r="L830" s="263"/>
      <c r="M830" s="263"/>
      <c r="N830" s="263"/>
      <c r="O830" s="263"/>
      <c r="P830" s="263"/>
      <c r="Q830" s="263"/>
      <c r="R830" s="263"/>
      <c r="S830" s="263"/>
      <c r="T830" s="263"/>
      <c r="U830" s="263"/>
      <c r="V830" s="263"/>
      <c r="W830" s="263"/>
      <c r="X830" s="263"/>
      <c r="Y830" s="263"/>
      <c r="Z830" s="263"/>
      <c r="AA830" s="263"/>
      <c r="AB830" s="263"/>
    </row>
    <row r="831" spans="1:28" ht="16" x14ac:dyDescent="0.2">
      <c r="A831" s="263"/>
      <c r="B831" s="263"/>
      <c r="C831" s="309"/>
      <c r="D831" s="263"/>
      <c r="E831" s="263"/>
      <c r="F831" s="263"/>
      <c r="G831" s="263"/>
      <c r="H831" s="263"/>
      <c r="I831" s="263"/>
      <c r="J831" s="263"/>
      <c r="K831" s="263"/>
      <c r="L831" s="263"/>
      <c r="M831" s="263"/>
      <c r="N831" s="263"/>
      <c r="O831" s="263"/>
      <c r="P831" s="263"/>
      <c r="Q831" s="263"/>
      <c r="R831" s="263"/>
      <c r="S831" s="263"/>
      <c r="T831" s="263"/>
      <c r="U831" s="263"/>
      <c r="V831" s="263"/>
      <c r="W831" s="263"/>
      <c r="X831" s="263"/>
      <c r="Y831" s="263"/>
      <c r="Z831" s="263"/>
      <c r="AA831" s="263"/>
      <c r="AB831" s="263"/>
    </row>
    <row r="832" spans="1:28" ht="16" x14ac:dyDescent="0.2">
      <c r="A832" s="263"/>
      <c r="B832" s="263"/>
      <c r="C832" s="309"/>
      <c r="D832" s="263"/>
      <c r="E832" s="263"/>
      <c r="F832" s="263"/>
      <c r="G832" s="263"/>
      <c r="H832" s="263"/>
      <c r="I832" s="263"/>
      <c r="J832" s="263"/>
      <c r="K832" s="263"/>
      <c r="L832" s="263"/>
      <c r="M832" s="263"/>
      <c r="N832" s="263"/>
      <c r="O832" s="263"/>
      <c r="P832" s="263"/>
      <c r="Q832" s="263"/>
      <c r="R832" s="263"/>
      <c r="S832" s="263"/>
      <c r="T832" s="263"/>
      <c r="U832" s="263"/>
      <c r="V832" s="263"/>
      <c r="W832" s="263"/>
      <c r="X832" s="263"/>
      <c r="Y832" s="263"/>
      <c r="Z832" s="263"/>
      <c r="AA832" s="263"/>
      <c r="AB832" s="263"/>
    </row>
    <row r="833" spans="1:28" ht="16" x14ac:dyDescent="0.2">
      <c r="A833" s="263"/>
      <c r="B833" s="263"/>
      <c r="C833" s="309"/>
      <c r="D833" s="263"/>
      <c r="E833" s="263"/>
      <c r="F833" s="263"/>
      <c r="G833" s="263"/>
      <c r="H833" s="263"/>
      <c r="I833" s="263"/>
      <c r="J833" s="263"/>
      <c r="K833" s="263"/>
      <c r="L833" s="263"/>
      <c r="M833" s="263"/>
      <c r="N833" s="263"/>
      <c r="O833" s="263"/>
      <c r="P833" s="263"/>
      <c r="Q833" s="263"/>
      <c r="R833" s="263"/>
      <c r="S833" s="263"/>
      <c r="T833" s="263"/>
      <c r="U833" s="263"/>
      <c r="V833" s="263"/>
      <c r="W833" s="263"/>
      <c r="X833" s="263"/>
      <c r="Y833" s="263"/>
      <c r="Z833" s="263"/>
      <c r="AA833" s="263"/>
      <c r="AB833" s="263"/>
    </row>
    <row r="834" spans="1:28" ht="16" x14ac:dyDescent="0.2">
      <c r="A834" s="263"/>
      <c r="B834" s="263"/>
      <c r="C834" s="309"/>
      <c r="D834" s="263"/>
      <c r="E834" s="263"/>
      <c r="F834" s="263"/>
      <c r="G834" s="263"/>
      <c r="H834" s="263"/>
      <c r="I834" s="263"/>
      <c r="J834" s="263"/>
      <c r="K834" s="263"/>
      <c r="L834" s="263"/>
      <c r="M834" s="263"/>
      <c r="N834" s="263"/>
      <c r="O834" s="263"/>
      <c r="P834" s="263"/>
      <c r="Q834" s="263"/>
      <c r="R834" s="263"/>
      <c r="S834" s="263"/>
      <c r="T834" s="263"/>
      <c r="U834" s="263"/>
      <c r="V834" s="263"/>
      <c r="W834" s="263"/>
      <c r="X834" s="263"/>
      <c r="Y834" s="263"/>
      <c r="Z834" s="263"/>
      <c r="AA834" s="263"/>
      <c r="AB834" s="263"/>
    </row>
    <row r="835" spans="1:28" ht="16" x14ac:dyDescent="0.2">
      <c r="A835" s="263"/>
      <c r="B835" s="263"/>
      <c r="C835" s="309"/>
      <c r="D835" s="263"/>
      <c r="E835" s="263"/>
      <c r="F835" s="263"/>
      <c r="G835" s="263"/>
      <c r="H835" s="263"/>
      <c r="I835" s="263"/>
      <c r="J835" s="263"/>
      <c r="K835" s="263"/>
      <c r="L835" s="263"/>
      <c r="M835" s="263"/>
      <c r="N835" s="263"/>
      <c r="O835" s="263"/>
      <c r="P835" s="263"/>
      <c r="Q835" s="263"/>
      <c r="R835" s="263"/>
      <c r="S835" s="263"/>
      <c r="T835" s="263"/>
      <c r="U835" s="263"/>
      <c r="V835" s="263"/>
      <c r="W835" s="263"/>
      <c r="X835" s="263"/>
      <c r="Y835" s="263"/>
      <c r="Z835" s="263"/>
      <c r="AA835" s="263"/>
      <c r="AB835" s="263"/>
    </row>
    <row r="836" spans="1:28" ht="16" x14ac:dyDescent="0.2">
      <c r="A836" s="263"/>
      <c r="B836" s="263"/>
      <c r="C836" s="309"/>
      <c r="D836" s="263"/>
      <c r="E836" s="263"/>
      <c r="F836" s="263"/>
      <c r="G836" s="263"/>
      <c r="H836" s="263"/>
      <c r="I836" s="263"/>
      <c r="J836" s="263"/>
      <c r="K836" s="263"/>
      <c r="L836" s="263"/>
      <c r="M836" s="263"/>
      <c r="N836" s="263"/>
      <c r="O836" s="263"/>
      <c r="P836" s="263"/>
      <c r="Q836" s="263"/>
      <c r="R836" s="263"/>
      <c r="S836" s="263"/>
      <c r="T836" s="263"/>
      <c r="U836" s="263"/>
      <c r="V836" s="263"/>
      <c r="W836" s="263"/>
      <c r="X836" s="263"/>
      <c r="Y836" s="263"/>
      <c r="Z836" s="263"/>
      <c r="AA836" s="263"/>
      <c r="AB836" s="263"/>
    </row>
    <row r="837" spans="1:28" ht="16" x14ac:dyDescent="0.2">
      <c r="A837" s="263"/>
      <c r="B837" s="263"/>
      <c r="C837" s="309"/>
      <c r="D837" s="263"/>
      <c r="E837" s="263"/>
      <c r="F837" s="263"/>
      <c r="G837" s="263"/>
      <c r="H837" s="263"/>
      <c r="I837" s="263"/>
      <c r="J837" s="263"/>
      <c r="K837" s="263"/>
      <c r="L837" s="263"/>
      <c r="M837" s="263"/>
      <c r="N837" s="263"/>
      <c r="O837" s="263"/>
      <c r="P837" s="263"/>
      <c r="Q837" s="263"/>
      <c r="R837" s="263"/>
      <c r="S837" s="263"/>
      <c r="T837" s="263"/>
      <c r="U837" s="263"/>
      <c r="V837" s="263"/>
      <c r="W837" s="263"/>
      <c r="X837" s="263"/>
      <c r="Y837" s="263"/>
      <c r="Z837" s="263"/>
      <c r="AA837" s="263"/>
      <c r="AB837" s="263"/>
    </row>
    <row r="838" spans="1:28" ht="16" x14ac:dyDescent="0.2">
      <c r="A838" s="263"/>
      <c r="B838" s="263"/>
      <c r="C838" s="309"/>
      <c r="D838" s="263"/>
      <c r="E838" s="263"/>
      <c r="F838" s="263"/>
      <c r="G838" s="263"/>
      <c r="H838" s="263"/>
      <c r="I838" s="263"/>
      <c r="J838" s="263"/>
      <c r="K838" s="263"/>
      <c r="L838" s="263"/>
      <c r="M838" s="263"/>
      <c r="N838" s="263"/>
      <c r="O838" s="263"/>
      <c r="P838" s="263"/>
      <c r="Q838" s="263"/>
      <c r="R838" s="263"/>
      <c r="S838" s="263"/>
      <c r="T838" s="263"/>
      <c r="U838" s="263"/>
      <c r="V838" s="263"/>
      <c r="W838" s="263"/>
      <c r="X838" s="263"/>
      <c r="Y838" s="263"/>
      <c r="Z838" s="263"/>
      <c r="AA838" s="263"/>
      <c r="AB838" s="263"/>
    </row>
    <row r="839" spans="1:28" ht="16" x14ac:dyDescent="0.2">
      <c r="A839" s="263"/>
      <c r="B839" s="263"/>
      <c r="C839" s="309"/>
      <c r="D839" s="263"/>
      <c r="E839" s="263"/>
      <c r="F839" s="263"/>
      <c r="G839" s="263"/>
      <c r="H839" s="263"/>
      <c r="I839" s="263"/>
      <c r="J839" s="263"/>
      <c r="K839" s="263"/>
      <c r="L839" s="263"/>
      <c r="M839" s="263"/>
      <c r="N839" s="263"/>
      <c r="O839" s="263"/>
      <c r="P839" s="263"/>
      <c r="Q839" s="263"/>
      <c r="R839" s="263"/>
      <c r="S839" s="263"/>
      <c r="T839" s="263"/>
      <c r="U839" s="263"/>
      <c r="V839" s="263"/>
      <c r="W839" s="263"/>
      <c r="X839" s="263"/>
      <c r="Y839" s="263"/>
      <c r="Z839" s="263"/>
      <c r="AA839" s="263"/>
      <c r="AB839" s="263"/>
    </row>
    <row r="840" spans="1:28" ht="16" x14ac:dyDescent="0.2">
      <c r="A840" s="263"/>
      <c r="B840" s="263"/>
      <c r="C840" s="309"/>
      <c r="D840" s="263"/>
      <c r="E840" s="263"/>
      <c r="F840" s="263"/>
      <c r="G840" s="263"/>
      <c r="H840" s="263"/>
      <c r="I840" s="263"/>
      <c r="J840" s="263"/>
      <c r="K840" s="263"/>
      <c r="L840" s="263"/>
      <c r="M840" s="263"/>
      <c r="N840" s="263"/>
      <c r="O840" s="263"/>
      <c r="P840" s="263"/>
      <c r="Q840" s="263"/>
      <c r="R840" s="263"/>
      <c r="S840" s="263"/>
      <c r="T840" s="263"/>
      <c r="U840" s="263"/>
      <c r="V840" s="263"/>
      <c r="W840" s="263"/>
      <c r="X840" s="263"/>
      <c r="Y840" s="263"/>
      <c r="Z840" s="263"/>
      <c r="AA840" s="263"/>
      <c r="AB840" s="263"/>
    </row>
    <row r="841" spans="1:28" ht="16" x14ac:dyDescent="0.2">
      <c r="A841" s="263"/>
      <c r="B841" s="263"/>
      <c r="C841" s="309"/>
      <c r="D841" s="263"/>
      <c r="E841" s="263"/>
      <c r="F841" s="263"/>
      <c r="G841" s="263"/>
      <c r="H841" s="263"/>
      <c r="I841" s="263"/>
      <c r="J841" s="263"/>
      <c r="K841" s="263"/>
      <c r="L841" s="263"/>
      <c r="M841" s="263"/>
      <c r="N841" s="263"/>
      <c r="O841" s="263"/>
      <c r="P841" s="263"/>
      <c r="Q841" s="263"/>
      <c r="R841" s="263"/>
      <c r="S841" s="263"/>
      <c r="T841" s="263"/>
      <c r="U841" s="263"/>
      <c r="V841" s="263"/>
      <c r="W841" s="263"/>
      <c r="X841" s="263"/>
      <c r="Y841" s="263"/>
      <c r="Z841" s="263"/>
      <c r="AA841" s="263"/>
      <c r="AB841" s="263"/>
    </row>
    <row r="842" spans="1:28" ht="16" x14ac:dyDescent="0.2">
      <c r="A842" s="263"/>
      <c r="B842" s="263"/>
      <c r="C842" s="309"/>
      <c r="D842" s="263"/>
      <c r="E842" s="263"/>
      <c r="F842" s="263"/>
      <c r="G842" s="263"/>
      <c r="H842" s="263"/>
      <c r="I842" s="263"/>
      <c r="J842" s="263"/>
      <c r="K842" s="263"/>
      <c r="L842" s="263"/>
      <c r="M842" s="263"/>
      <c r="N842" s="263"/>
      <c r="O842" s="263"/>
      <c r="P842" s="263"/>
      <c r="Q842" s="263"/>
      <c r="R842" s="263"/>
      <c r="S842" s="263"/>
      <c r="T842" s="263"/>
      <c r="U842" s="263"/>
      <c r="V842" s="263"/>
      <c r="W842" s="263"/>
      <c r="X842" s="263"/>
      <c r="Y842" s="263"/>
      <c r="Z842" s="263"/>
      <c r="AA842" s="263"/>
      <c r="AB842" s="263"/>
    </row>
    <row r="843" spans="1:28" ht="16" x14ac:dyDescent="0.2">
      <c r="A843" s="263"/>
      <c r="B843" s="263"/>
      <c r="C843" s="309"/>
      <c r="D843" s="263"/>
      <c r="E843" s="263"/>
      <c r="F843" s="263"/>
      <c r="G843" s="263"/>
      <c r="H843" s="263"/>
      <c r="I843" s="263"/>
      <c r="J843" s="263"/>
      <c r="K843" s="263"/>
      <c r="L843" s="263"/>
      <c r="M843" s="263"/>
      <c r="N843" s="263"/>
      <c r="O843" s="263"/>
      <c r="P843" s="263"/>
      <c r="Q843" s="263"/>
      <c r="R843" s="263"/>
      <c r="S843" s="263"/>
      <c r="T843" s="263"/>
      <c r="U843" s="263"/>
      <c r="V843" s="263"/>
      <c r="W843" s="263"/>
      <c r="X843" s="263"/>
      <c r="Y843" s="263"/>
      <c r="Z843" s="263"/>
      <c r="AA843" s="263"/>
      <c r="AB843" s="263"/>
    </row>
    <row r="844" spans="1:28" ht="16" x14ac:dyDescent="0.2">
      <c r="A844" s="263"/>
      <c r="B844" s="263"/>
      <c r="C844" s="309"/>
      <c r="D844" s="263"/>
      <c r="E844" s="263"/>
      <c r="F844" s="263"/>
      <c r="G844" s="263"/>
      <c r="H844" s="263"/>
      <c r="I844" s="263"/>
      <c r="J844" s="263"/>
      <c r="K844" s="263"/>
      <c r="L844" s="263"/>
      <c r="M844" s="263"/>
      <c r="N844" s="263"/>
      <c r="O844" s="263"/>
      <c r="P844" s="263"/>
      <c r="Q844" s="263"/>
      <c r="R844" s="263"/>
      <c r="S844" s="263"/>
      <c r="T844" s="263"/>
      <c r="U844" s="263"/>
      <c r="V844" s="263"/>
      <c r="W844" s="263"/>
      <c r="X844" s="263"/>
      <c r="Y844" s="263"/>
      <c r="Z844" s="263"/>
      <c r="AA844" s="263"/>
      <c r="AB844" s="263"/>
    </row>
    <row r="845" spans="1:28" ht="16" x14ac:dyDescent="0.2">
      <c r="A845" s="263"/>
      <c r="B845" s="263"/>
      <c r="C845" s="309"/>
      <c r="D845" s="263"/>
      <c r="E845" s="263"/>
      <c r="F845" s="263"/>
      <c r="G845" s="263"/>
      <c r="H845" s="263"/>
      <c r="I845" s="263"/>
      <c r="J845" s="263"/>
      <c r="K845" s="263"/>
      <c r="L845" s="263"/>
      <c r="M845" s="263"/>
      <c r="N845" s="263"/>
      <c r="O845" s="263"/>
      <c r="P845" s="263"/>
      <c r="Q845" s="263"/>
      <c r="R845" s="263"/>
      <c r="S845" s="263"/>
      <c r="T845" s="263"/>
      <c r="U845" s="263"/>
      <c r="V845" s="263"/>
      <c r="W845" s="263"/>
      <c r="X845" s="263"/>
      <c r="Y845" s="263"/>
      <c r="Z845" s="263"/>
      <c r="AA845" s="263"/>
      <c r="AB845" s="263"/>
    </row>
    <row r="846" spans="1:28" ht="16" x14ac:dyDescent="0.2">
      <c r="A846" s="263"/>
      <c r="B846" s="263"/>
      <c r="C846" s="309"/>
      <c r="D846" s="263"/>
      <c r="E846" s="263"/>
      <c r="F846" s="263"/>
      <c r="G846" s="263"/>
      <c r="H846" s="263"/>
      <c r="I846" s="263"/>
      <c r="J846" s="263"/>
      <c r="K846" s="263"/>
      <c r="L846" s="263"/>
      <c r="M846" s="263"/>
      <c r="N846" s="263"/>
      <c r="O846" s="263"/>
      <c r="P846" s="263"/>
      <c r="Q846" s="263"/>
      <c r="R846" s="263"/>
      <c r="S846" s="263"/>
      <c r="T846" s="263"/>
      <c r="U846" s="263"/>
      <c r="V846" s="263"/>
      <c r="W846" s="263"/>
      <c r="X846" s="263"/>
      <c r="Y846" s="263"/>
      <c r="Z846" s="263"/>
      <c r="AA846" s="263"/>
      <c r="AB846" s="263"/>
    </row>
    <row r="847" spans="1:28" ht="16" x14ac:dyDescent="0.2">
      <c r="A847" s="263"/>
      <c r="B847" s="263"/>
      <c r="C847" s="309"/>
      <c r="D847" s="263"/>
      <c r="E847" s="263"/>
      <c r="F847" s="263"/>
      <c r="G847" s="263"/>
      <c r="H847" s="263"/>
      <c r="I847" s="263"/>
      <c r="J847" s="263"/>
      <c r="K847" s="263"/>
      <c r="L847" s="263"/>
      <c r="M847" s="263"/>
      <c r="N847" s="263"/>
      <c r="O847" s="263"/>
      <c r="P847" s="263"/>
      <c r="Q847" s="263"/>
      <c r="R847" s="263"/>
      <c r="S847" s="263"/>
      <c r="T847" s="263"/>
      <c r="U847" s="263"/>
      <c r="V847" s="263"/>
      <c r="W847" s="263"/>
      <c r="X847" s="263"/>
      <c r="Y847" s="263"/>
      <c r="Z847" s="263"/>
      <c r="AA847" s="263"/>
      <c r="AB847" s="263"/>
    </row>
    <row r="848" spans="1:28" ht="16" x14ac:dyDescent="0.2">
      <c r="A848" s="263"/>
      <c r="B848" s="263"/>
      <c r="C848" s="309"/>
      <c r="D848" s="263"/>
      <c r="E848" s="263"/>
      <c r="F848" s="263"/>
      <c r="G848" s="263"/>
      <c r="H848" s="263"/>
      <c r="I848" s="263"/>
      <c r="J848" s="263"/>
      <c r="K848" s="263"/>
      <c r="L848" s="263"/>
      <c r="M848" s="263"/>
      <c r="N848" s="263"/>
      <c r="O848" s="263"/>
      <c r="P848" s="263"/>
      <c r="Q848" s="263"/>
      <c r="R848" s="263"/>
      <c r="S848" s="263"/>
      <c r="T848" s="263"/>
      <c r="U848" s="263"/>
      <c r="V848" s="263"/>
      <c r="W848" s="263"/>
      <c r="X848" s="263"/>
      <c r="Y848" s="263"/>
      <c r="Z848" s="263"/>
      <c r="AA848" s="263"/>
      <c r="AB848" s="263"/>
    </row>
    <row r="849" spans="1:28" ht="16" x14ac:dyDescent="0.2">
      <c r="A849" s="263"/>
      <c r="B849" s="263"/>
      <c r="C849" s="309"/>
      <c r="D849" s="263"/>
      <c r="E849" s="263"/>
      <c r="F849" s="263"/>
      <c r="G849" s="263"/>
      <c r="H849" s="263"/>
      <c r="I849" s="263"/>
      <c r="J849" s="263"/>
      <c r="K849" s="263"/>
      <c r="L849" s="263"/>
      <c r="M849" s="263"/>
      <c r="N849" s="263"/>
      <c r="O849" s="263"/>
      <c r="P849" s="263"/>
      <c r="Q849" s="263"/>
      <c r="R849" s="263"/>
      <c r="S849" s="263"/>
      <c r="T849" s="263"/>
      <c r="U849" s="263"/>
      <c r="V849" s="263"/>
      <c r="W849" s="263"/>
      <c r="X849" s="263"/>
      <c r="Y849" s="263"/>
      <c r="Z849" s="263"/>
      <c r="AA849" s="263"/>
      <c r="AB849" s="263"/>
    </row>
    <row r="850" spans="1:28" ht="16" x14ac:dyDescent="0.2">
      <c r="A850" s="263"/>
      <c r="B850" s="263"/>
      <c r="C850" s="309"/>
      <c r="D850" s="263"/>
      <c r="E850" s="263"/>
      <c r="F850" s="263"/>
      <c r="G850" s="263"/>
      <c r="H850" s="263"/>
      <c r="I850" s="263"/>
      <c r="J850" s="263"/>
      <c r="K850" s="263"/>
      <c r="L850" s="263"/>
      <c r="M850" s="263"/>
      <c r="N850" s="263"/>
      <c r="O850" s="263"/>
      <c r="P850" s="263"/>
      <c r="Q850" s="263"/>
      <c r="R850" s="263"/>
      <c r="S850" s="263"/>
      <c r="T850" s="263"/>
      <c r="U850" s="263"/>
      <c r="V850" s="263"/>
      <c r="W850" s="263"/>
      <c r="X850" s="263"/>
      <c r="Y850" s="263"/>
      <c r="Z850" s="263"/>
      <c r="AA850" s="263"/>
      <c r="AB850" s="263"/>
    </row>
    <row r="851" spans="1:28" ht="16" x14ac:dyDescent="0.2">
      <c r="A851" s="263"/>
      <c r="B851" s="263"/>
      <c r="C851" s="309"/>
      <c r="D851" s="263"/>
      <c r="E851" s="263"/>
      <c r="F851" s="263"/>
      <c r="G851" s="263"/>
      <c r="H851" s="263"/>
      <c r="I851" s="263"/>
      <c r="J851" s="263"/>
      <c r="K851" s="263"/>
      <c r="L851" s="263"/>
      <c r="M851" s="263"/>
      <c r="N851" s="263"/>
      <c r="O851" s="263"/>
      <c r="P851" s="263"/>
      <c r="Q851" s="263"/>
      <c r="R851" s="263"/>
      <c r="S851" s="263"/>
      <c r="T851" s="263"/>
      <c r="U851" s="263"/>
      <c r="V851" s="263"/>
      <c r="W851" s="263"/>
      <c r="X851" s="263"/>
      <c r="Y851" s="263"/>
      <c r="Z851" s="263"/>
      <c r="AA851" s="263"/>
      <c r="AB851" s="263"/>
    </row>
    <row r="852" spans="1:28" ht="16" x14ac:dyDescent="0.2">
      <c r="A852" s="263"/>
      <c r="B852" s="263"/>
      <c r="C852" s="309"/>
      <c r="D852" s="263"/>
      <c r="E852" s="263"/>
      <c r="F852" s="263"/>
      <c r="G852" s="263"/>
      <c r="H852" s="263"/>
      <c r="I852" s="263"/>
      <c r="J852" s="263"/>
      <c r="K852" s="263"/>
      <c r="L852" s="263"/>
      <c r="M852" s="263"/>
      <c r="N852" s="263"/>
      <c r="O852" s="263"/>
      <c r="P852" s="263"/>
      <c r="Q852" s="263"/>
      <c r="R852" s="263"/>
      <c r="S852" s="263"/>
      <c r="T852" s="263"/>
      <c r="U852" s="263"/>
      <c r="V852" s="263"/>
      <c r="W852" s="263"/>
      <c r="X852" s="263"/>
      <c r="Y852" s="263"/>
      <c r="Z852" s="263"/>
      <c r="AA852" s="263"/>
      <c r="AB852" s="263"/>
    </row>
    <row r="853" spans="1:28" ht="16" x14ac:dyDescent="0.2">
      <c r="A853" s="263"/>
      <c r="B853" s="263"/>
      <c r="C853" s="309"/>
      <c r="D853" s="263"/>
      <c r="E853" s="263"/>
      <c r="F853" s="263"/>
      <c r="G853" s="263"/>
      <c r="H853" s="263"/>
      <c r="I853" s="263"/>
      <c r="J853" s="263"/>
      <c r="K853" s="263"/>
      <c r="L853" s="263"/>
      <c r="M853" s="263"/>
      <c r="N853" s="263"/>
      <c r="O853" s="263"/>
      <c r="P853" s="263"/>
      <c r="Q853" s="263"/>
      <c r="R853" s="263"/>
      <c r="S853" s="263"/>
      <c r="T853" s="263"/>
      <c r="U853" s="263"/>
      <c r="V853" s="263"/>
      <c r="W853" s="263"/>
      <c r="X853" s="263"/>
      <c r="Y853" s="263"/>
      <c r="Z853" s="263"/>
      <c r="AA853" s="263"/>
      <c r="AB853" s="263"/>
    </row>
    <row r="854" spans="1:28" ht="16" x14ac:dyDescent="0.2">
      <c r="A854" s="263"/>
      <c r="B854" s="263"/>
      <c r="C854" s="309"/>
      <c r="D854" s="263"/>
      <c r="E854" s="263"/>
      <c r="F854" s="263"/>
      <c r="G854" s="263"/>
      <c r="H854" s="263"/>
      <c r="I854" s="263"/>
      <c r="J854" s="263"/>
      <c r="K854" s="263"/>
      <c r="L854" s="263"/>
      <c r="M854" s="263"/>
      <c r="N854" s="263"/>
      <c r="O854" s="263"/>
      <c r="P854" s="263"/>
      <c r="Q854" s="263"/>
      <c r="R854" s="263"/>
      <c r="S854" s="263"/>
      <c r="T854" s="263"/>
      <c r="U854" s="263"/>
      <c r="V854" s="263"/>
      <c r="W854" s="263"/>
      <c r="X854" s="263"/>
      <c r="Y854" s="263"/>
      <c r="Z854" s="263"/>
      <c r="AA854" s="263"/>
      <c r="AB854" s="263"/>
    </row>
    <row r="855" spans="1:28" ht="16" x14ac:dyDescent="0.2">
      <c r="A855" s="263"/>
      <c r="B855" s="263"/>
      <c r="C855" s="309"/>
      <c r="D855" s="263"/>
      <c r="E855" s="263"/>
      <c r="F855" s="263"/>
      <c r="G855" s="263"/>
      <c r="H855" s="263"/>
      <c r="I855" s="263"/>
      <c r="J855" s="263"/>
      <c r="K855" s="263"/>
      <c r="L855" s="263"/>
      <c r="M855" s="263"/>
      <c r="N855" s="263"/>
      <c r="O855" s="263"/>
      <c r="P855" s="263"/>
      <c r="Q855" s="263"/>
      <c r="R855" s="263"/>
      <c r="S855" s="263"/>
      <c r="T855" s="263"/>
      <c r="U855" s="263"/>
      <c r="V855" s="263"/>
      <c r="W855" s="263"/>
      <c r="X855" s="263"/>
      <c r="Y855" s="263"/>
      <c r="Z855" s="263"/>
      <c r="AA855" s="263"/>
      <c r="AB855" s="263"/>
    </row>
    <row r="856" spans="1:28" ht="16" x14ac:dyDescent="0.2">
      <c r="A856" s="263"/>
      <c r="B856" s="263"/>
      <c r="C856" s="309"/>
      <c r="D856" s="263"/>
      <c r="E856" s="263"/>
      <c r="F856" s="263"/>
      <c r="G856" s="263"/>
      <c r="H856" s="263"/>
      <c r="I856" s="263"/>
      <c r="J856" s="263"/>
      <c r="K856" s="263"/>
      <c r="L856" s="263"/>
      <c r="M856" s="263"/>
      <c r="N856" s="263"/>
      <c r="O856" s="263"/>
      <c r="P856" s="263"/>
      <c r="Q856" s="263"/>
      <c r="R856" s="263"/>
      <c r="S856" s="263"/>
      <c r="T856" s="263"/>
      <c r="U856" s="263"/>
      <c r="V856" s="263"/>
      <c r="W856" s="263"/>
      <c r="X856" s="263"/>
      <c r="Y856" s="263"/>
      <c r="Z856" s="263"/>
      <c r="AA856" s="263"/>
      <c r="AB856" s="263"/>
    </row>
    <row r="857" spans="1:28" ht="16" x14ac:dyDescent="0.2">
      <c r="A857" s="263"/>
      <c r="B857" s="263"/>
      <c r="C857" s="309"/>
      <c r="D857" s="263"/>
      <c r="E857" s="263"/>
      <c r="F857" s="263"/>
      <c r="G857" s="263"/>
      <c r="H857" s="263"/>
      <c r="I857" s="263"/>
      <c r="J857" s="263"/>
      <c r="K857" s="263"/>
      <c r="L857" s="263"/>
      <c r="M857" s="263"/>
      <c r="N857" s="263"/>
      <c r="O857" s="263"/>
      <c r="P857" s="263"/>
      <c r="Q857" s="263"/>
      <c r="R857" s="263"/>
      <c r="S857" s="263"/>
      <c r="T857" s="263"/>
      <c r="U857" s="263"/>
      <c r="V857" s="263"/>
      <c r="W857" s="263"/>
      <c r="X857" s="263"/>
      <c r="Y857" s="263"/>
      <c r="Z857" s="263"/>
      <c r="AA857" s="263"/>
      <c r="AB857" s="263"/>
    </row>
    <row r="858" spans="1:28" ht="16" x14ac:dyDescent="0.2">
      <c r="A858" s="263"/>
      <c r="B858" s="263"/>
      <c r="C858" s="309"/>
      <c r="D858" s="263"/>
      <c r="E858" s="263"/>
      <c r="F858" s="263"/>
      <c r="G858" s="263"/>
      <c r="H858" s="263"/>
      <c r="I858" s="263"/>
      <c r="J858" s="263"/>
      <c r="K858" s="263"/>
      <c r="L858" s="263"/>
      <c r="M858" s="263"/>
      <c r="N858" s="263"/>
      <c r="O858" s="263"/>
      <c r="P858" s="263"/>
      <c r="Q858" s="263"/>
      <c r="R858" s="263"/>
      <c r="S858" s="263"/>
      <c r="T858" s="263"/>
      <c r="U858" s="263"/>
      <c r="V858" s="263"/>
      <c r="W858" s="263"/>
      <c r="X858" s="263"/>
      <c r="Y858" s="263"/>
      <c r="Z858" s="263"/>
      <c r="AA858" s="263"/>
      <c r="AB858" s="263"/>
    </row>
    <row r="859" spans="1:28" ht="16" x14ac:dyDescent="0.2">
      <c r="A859" s="263"/>
      <c r="B859" s="263"/>
      <c r="C859" s="309"/>
      <c r="D859" s="263"/>
      <c r="E859" s="263"/>
      <c r="F859" s="263"/>
      <c r="G859" s="263"/>
      <c r="H859" s="263"/>
      <c r="I859" s="263"/>
      <c r="J859" s="263"/>
      <c r="K859" s="263"/>
      <c r="L859" s="263"/>
      <c r="M859" s="263"/>
      <c r="N859" s="263"/>
      <c r="O859" s="263"/>
      <c r="P859" s="263"/>
      <c r="Q859" s="263"/>
      <c r="R859" s="263"/>
      <c r="S859" s="263"/>
      <c r="T859" s="263"/>
      <c r="U859" s="263"/>
      <c r="V859" s="263"/>
      <c r="W859" s="263"/>
      <c r="X859" s="263"/>
      <c r="Y859" s="263"/>
      <c r="Z859" s="263"/>
      <c r="AA859" s="263"/>
      <c r="AB859" s="263"/>
    </row>
    <row r="860" spans="1:28" ht="16" x14ac:dyDescent="0.2">
      <c r="A860" s="263"/>
      <c r="B860" s="263"/>
      <c r="C860" s="309"/>
      <c r="D860" s="263"/>
      <c r="E860" s="263"/>
      <c r="F860" s="263"/>
      <c r="G860" s="263"/>
      <c r="H860" s="263"/>
      <c r="I860" s="263"/>
      <c r="J860" s="263"/>
      <c r="K860" s="263"/>
      <c r="L860" s="263"/>
      <c r="M860" s="263"/>
      <c r="N860" s="263"/>
      <c r="O860" s="263"/>
      <c r="P860" s="263"/>
      <c r="Q860" s="263"/>
      <c r="R860" s="263"/>
      <c r="S860" s="263"/>
      <c r="T860" s="263"/>
      <c r="U860" s="263"/>
      <c r="V860" s="263"/>
      <c r="W860" s="263"/>
      <c r="X860" s="263"/>
      <c r="Y860" s="263"/>
      <c r="Z860" s="263"/>
      <c r="AA860" s="263"/>
      <c r="AB860" s="263"/>
    </row>
    <row r="861" spans="1:28" ht="16" x14ac:dyDescent="0.2">
      <c r="A861" s="263"/>
      <c r="B861" s="263"/>
      <c r="C861" s="309"/>
      <c r="D861" s="263"/>
      <c r="E861" s="263"/>
      <c r="F861" s="263"/>
      <c r="G861" s="263"/>
      <c r="H861" s="263"/>
      <c r="I861" s="263"/>
      <c r="J861" s="263"/>
      <c r="K861" s="263"/>
      <c r="L861" s="263"/>
      <c r="M861" s="263"/>
      <c r="N861" s="263"/>
      <c r="O861" s="263"/>
      <c r="P861" s="263"/>
      <c r="Q861" s="263"/>
      <c r="R861" s="263"/>
      <c r="S861" s="263"/>
      <c r="T861" s="263"/>
      <c r="U861" s="263"/>
      <c r="V861" s="263"/>
      <c r="W861" s="263"/>
      <c r="X861" s="263"/>
      <c r="Y861" s="263"/>
      <c r="Z861" s="263"/>
      <c r="AA861" s="263"/>
      <c r="AB861" s="263"/>
    </row>
    <row r="862" spans="1:28" ht="16" x14ac:dyDescent="0.2">
      <c r="A862" s="263"/>
      <c r="B862" s="263"/>
      <c r="C862" s="309"/>
      <c r="D862" s="263"/>
      <c r="E862" s="263"/>
      <c r="F862" s="263"/>
      <c r="G862" s="263"/>
      <c r="H862" s="263"/>
      <c r="I862" s="263"/>
      <c r="J862" s="263"/>
      <c r="K862" s="263"/>
      <c r="L862" s="263"/>
      <c r="M862" s="263"/>
      <c r="N862" s="263"/>
      <c r="O862" s="263"/>
      <c r="P862" s="263"/>
      <c r="Q862" s="263"/>
      <c r="R862" s="263"/>
      <c r="S862" s="263"/>
      <c r="T862" s="263"/>
      <c r="U862" s="263"/>
      <c r="V862" s="263"/>
      <c r="W862" s="263"/>
      <c r="X862" s="263"/>
      <c r="Y862" s="263"/>
      <c r="Z862" s="263"/>
      <c r="AA862" s="263"/>
      <c r="AB862" s="263"/>
    </row>
    <row r="863" spans="1:28" ht="16" x14ac:dyDescent="0.2">
      <c r="A863" s="263"/>
      <c r="B863" s="263"/>
      <c r="C863" s="309"/>
      <c r="D863" s="263"/>
      <c r="E863" s="263"/>
      <c r="F863" s="263"/>
      <c r="G863" s="263"/>
      <c r="H863" s="263"/>
      <c r="I863" s="263"/>
      <c r="J863" s="263"/>
      <c r="K863" s="263"/>
      <c r="L863" s="263"/>
      <c r="M863" s="263"/>
      <c r="N863" s="263"/>
      <c r="O863" s="263"/>
      <c r="P863" s="263"/>
      <c r="Q863" s="263"/>
      <c r="R863" s="263"/>
      <c r="S863" s="263"/>
      <c r="T863" s="263"/>
      <c r="U863" s="263"/>
      <c r="V863" s="263"/>
      <c r="W863" s="263"/>
      <c r="X863" s="263"/>
      <c r="Y863" s="263"/>
      <c r="Z863" s="263"/>
      <c r="AA863" s="263"/>
      <c r="AB863" s="263"/>
    </row>
    <row r="864" spans="1:28" ht="16" x14ac:dyDescent="0.2">
      <c r="A864" s="263"/>
      <c r="B864" s="263"/>
      <c r="C864" s="309"/>
      <c r="D864" s="263"/>
      <c r="E864" s="263"/>
      <c r="F864" s="263"/>
      <c r="G864" s="263"/>
      <c r="H864" s="263"/>
      <c r="I864" s="263"/>
      <c r="J864" s="263"/>
      <c r="K864" s="263"/>
      <c r="L864" s="263"/>
      <c r="M864" s="263"/>
      <c r="N864" s="263"/>
      <c r="O864" s="263"/>
      <c r="P864" s="263"/>
      <c r="Q864" s="263"/>
      <c r="R864" s="263"/>
      <c r="S864" s="263"/>
      <c r="T864" s="263"/>
      <c r="U864" s="263"/>
      <c r="V864" s="263"/>
      <c r="W864" s="263"/>
      <c r="X864" s="263"/>
      <c r="Y864" s="263"/>
      <c r="Z864" s="263"/>
      <c r="AA864" s="263"/>
      <c r="AB864" s="263"/>
    </row>
    <row r="865" spans="1:28" ht="16" x14ac:dyDescent="0.2">
      <c r="A865" s="263"/>
      <c r="B865" s="263"/>
      <c r="C865" s="309"/>
      <c r="D865" s="263"/>
      <c r="E865" s="263"/>
      <c r="F865" s="263"/>
      <c r="G865" s="263"/>
      <c r="H865" s="263"/>
      <c r="I865" s="263"/>
      <c r="J865" s="263"/>
      <c r="K865" s="263"/>
      <c r="L865" s="263"/>
      <c r="M865" s="263"/>
      <c r="N865" s="263"/>
      <c r="O865" s="263"/>
      <c r="P865" s="263"/>
      <c r="Q865" s="263"/>
      <c r="R865" s="263"/>
      <c r="S865" s="263"/>
      <c r="T865" s="263"/>
      <c r="U865" s="263"/>
      <c r="V865" s="263"/>
      <c r="W865" s="263"/>
      <c r="X865" s="263"/>
      <c r="Y865" s="263"/>
      <c r="Z865" s="263"/>
      <c r="AA865" s="263"/>
      <c r="AB865" s="263"/>
    </row>
    <row r="866" spans="1:28" ht="16" x14ac:dyDescent="0.2">
      <c r="A866" s="263"/>
      <c r="B866" s="263"/>
      <c r="C866" s="309"/>
      <c r="D866" s="263"/>
      <c r="E866" s="263"/>
      <c r="F866" s="263"/>
      <c r="G866" s="263"/>
      <c r="H866" s="263"/>
      <c r="I866" s="263"/>
      <c r="J866" s="263"/>
      <c r="K866" s="263"/>
      <c r="L866" s="263"/>
      <c r="M866" s="263"/>
      <c r="N866" s="263"/>
      <c r="O866" s="263"/>
      <c r="P866" s="263"/>
      <c r="Q866" s="263"/>
      <c r="R866" s="263"/>
      <c r="S866" s="263"/>
      <c r="T866" s="263"/>
      <c r="U866" s="263"/>
      <c r="V866" s="263"/>
      <c r="W866" s="263"/>
      <c r="X866" s="263"/>
      <c r="Y866" s="263"/>
      <c r="Z866" s="263"/>
      <c r="AA866" s="263"/>
      <c r="AB866" s="263"/>
    </row>
    <row r="867" spans="1:28" ht="16" x14ac:dyDescent="0.2">
      <c r="A867" s="263"/>
      <c r="B867" s="263"/>
      <c r="C867" s="309"/>
      <c r="D867" s="263"/>
      <c r="E867" s="263"/>
      <c r="F867" s="263"/>
      <c r="G867" s="263"/>
      <c r="H867" s="263"/>
      <c r="I867" s="263"/>
      <c r="J867" s="263"/>
      <c r="K867" s="263"/>
      <c r="L867" s="263"/>
      <c r="M867" s="263"/>
      <c r="N867" s="263"/>
      <c r="O867" s="263"/>
      <c r="P867" s="263"/>
      <c r="Q867" s="263"/>
      <c r="R867" s="263"/>
      <c r="S867" s="263"/>
      <c r="T867" s="263"/>
      <c r="U867" s="263"/>
      <c r="V867" s="263"/>
      <c r="W867" s="263"/>
      <c r="X867" s="263"/>
      <c r="Y867" s="263"/>
      <c r="Z867" s="263"/>
      <c r="AA867" s="263"/>
      <c r="AB867" s="263"/>
    </row>
    <row r="868" spans="1:28" ht="16" x14ac:dyDescent="0.2">
      <c r="A868" s="263"/>
      <c r="B868" s="263"/>
      <c r="C868" s="309"/>
      <c r="D868" s="263"/>
      <c r="E868" s="263"/>
      <c r="F868" s="263"/>
      <c r="G868" s="263"/>
      <c r="H868" s="263"/>
      <c r="I868" s="263"/>
      <c r="J868" s="263"/>
      <c r="K868" s="263"/>
      <c r="L868" s="263"/>
      <c r="M868" s="263"/>
      <c r="N868" s="263"/>
      <c r="O868" s="263"/>
      <c r="P868" s="263"/>
      <c r="Q868" s="263"/>
      <c r="R868" s="263"/>
      <c r="S868" s="263"/>
      <c r="T868" s="263"/>
      <c r="U868" s="263"/>
      <c r="V868" s="263"/>
      <c r="W868" s="263"/>
      <c r="X868" s="263"/>
      <c r="Y868" s="263"/>
      <c r="Z868" s="263"/>
      <c r="AA868" s="263"/>
      <c r="AB868" s="263"/>
    </row>
    <row r="869" spans="1:28" ht="16" x14ac:dyDescent="0.2">
      <c r="A869" s="263"/>
      <c r="B869" s="263"/>
      <c r="C869" s="309"/>
      <c r="D869" s="263"/>
      <c r="E869" s="263"/>
      <c r="F869" s="263"/>
      <c r="G869" s="263"/>
      <c r="H869" s="263"/>
      <c r="I869" s="263"/>
      <c r="J869" s="263"/>
      <c r="K869" s="263"/>
      <c r="L869" s="263"/>
      <c r="M869" s="263"/>
      <c r="N869" s="263"/>
      <c r="O869" s="263"/>
      <c r="P869" s="263"/>
      <c r="Q869" s="263"/>
      <c r="R869" s="263"/>
      <c r="S869" s="263"/>
      <c r="T869" s="263"/>
      <c r="U869" s="263"/>
      <c r="V869" s="263"/>
      <c r="W869" s="263"/>
      <c r="X869" s="263"/>
      <c r="Y869" s="263"/>
      <c r="Z869" s="263"/>
      <c r="AA869" s="263"/>
      <c r="AB869" s="263"/>
    </row>
    <row r="870" spans="1:28" ht="16" x14ac:dyDescent="0.2">
      <c r="A870" s="263"/>
      <c r="B870" s="263"/>
      <c r="C870" s="309"/>
      <c r="D870" s="263"/>
      <c r="E870" s="263"/>
      <c r="F870" s="263"/>
      <c r="G870" s="263"/>
      <c r="H870" s="263"/>
      <c r="I870" s="263"/>
      <c r="J870" s="263"/>
      <c r="K870" s="263"/>
      <c r="L870" s="263"/>
      <c r="M870" s="263"/>
      <c r="N870" s="263"/>
      <c r="O870" s="263"/>
      <c r="P870" s="263"/>
      <c r="Q870" s="263"/>
      <c r="R870" s="263"/>
      <c r="S870" s="263"/>
      <c r="T870" s="263"/>
      <c r="U870" s="263"/>
      <c r="V870" s="263"/>
      <c r="W870" s="263"/>
      <c r="X870" s="263"/>
      <c r="Y870" s="263"/>
      <c r="Z870" s="263"/>
      <c r="AA870" s="263"/>
      <c r="AB870" s="263"/>
    </row>
    <row r="871" spans="1:28" ht="16" x14ac:dyDescent="0.2">
      <c r="A871" s="263"/>
      <c r="B871" s="263"/>
      <c r="C871" s="309"/>
      <c r="D871" s="263"/>
      <c r="E871" s="263"/>
      <c r="F871" s="263"/>
      <c r="G871" s="263"/>
      <c r="H871" s="263"/>
      <c r="I871" s="263"/>
      <c r="J871" s="263"/>
      <c r="K871" s="263"/>
      <c r="L871" s="263"/>
      <c r="M871" s="263"/>
      <c r="N871" s="263"/>
      <c r="O871" s="263"/>
      <c r="P871" s="263"/>
      <c r="Q871" s="263"/>
      <c r="R871" s="263"/>
      <c r="S871" s="263"/>
      <c r="T871" s="263"/>
      <c r="U871" s="263"/>
      <c r="V871" s="263"/>
      <c r="W871" s="263"/>
      <c r="X871" s="263"/>
      <c r="Y871" s="263"/>
      <c r="Z871" s="263"/>
      <c r="AA871" s="263"/>
      <c r="AB871" s="263"/>
    </row>
    <row r="872" spans="1:28" ht="16" x14ac:dyDescent="0.2">
      <c r="A872" s="263"/>
      <c r="B872" s="263"/>
      <c r="C872" s="309"/>
      <c r="D872" s="263"/>
      <c r="E872" s="263"/>
      <c r="F872" s="263"/>
      <c r="G872" s="263"/>
      <c r="H872" s="263"/>
      <c r="I872" s="263"/>
      <c r="J872" s="263"/>
      <c r="K872" s="263"/>
      <c r="L872" s="263"/>
      <c r="M872" s="263"/>
      <c r="N872" s="263"/>
      <c r="O872" s="263"/>
      <c r="P872" s="263"/>
      <c r="Q872" s="263"/>
      <c r="R872" s="263"/>
      <c r="S872" s="263"/>
      <c r="T872" s="263"/>
      <c r="U872" s="263"/>
      <c r="V872" s="263"/>
      <c r="W872" s="263"/>
      <c r="X872" s="263"/>
      <c r="Y872" s="263"/>
      <c r="Z872" s="263"/>
      <c r="AA872" s="263"/>
      <c r="AB872" s="263"/>
    </row>
    <row r="873" spans="1:28" ht="16" x14ac:dyDescent="0.2">
      <c r="A873" s="263"/>
      <c r="B873" s="263"/>
      <c r="C873" s="309"/>
      <c r="D873" s="263"/>
      <c r="E873" s="263"/>
      <c r="F873" s="263"/>
      <c r="G873" s="263"/>
      <c r="H873" s="263"/>
      <c r="I873" s="263"/>
      <c r="J873" s="263"/>
      <c r="K873" s="263"/>
      <c r="L873" s="263"/>
      <c r="M873" s="263"/>
      <c r="N873" s="263"/>
      <c r="O873" s="263"/>
      <c r="P873" s="263"/>
      <c r="Q873" s="263"/>
      <c r="R873" s="263"/>
      <c r="S873" s="263"/>
      <c r="T873" s="263"/>
      <c r="U873" s="263"/>
      <c r="V873" s="263"/>
      <c r="W873" s="263"/>
      <c r="X873" s="263"/>
      <c r="Y873" s="263"/>
      <c r="Z873" s="263"/>
      <c r="AA873" s="263"/>
      <c r="AB873" s="263"/>
    </row>
    <row r="874" spans="1:28" ht="16" x14ac:dyDescent="0.2">
      <c r="A874" s="263"/>
      <c r="B874" s="263"/>
      <c r="C874" s="309"/>
      <c r="D874" s="263"/>
      <c r="E874" s="263"/>
      <c r="F874" s="263"/>
      <c r="G874" s="263"/>
      <c r="H874" s="263"/>
      <c r="I874" s="263"/>
      <c r="J874" s="263"/>
      <c r="K874" s="263"/>
      <c r="L874" s="263"/>
      <c r="M874" s="263"/>
      <c r="N874" s="263"/>
      <c r="O874" s="263"/>
      <c r="P874" s="263"/>
      <c r="Q874" s="263"/>
      <c r="R874" s="263"/>
      <c r="S874" s="263"/>
      <c r="T874" s="263"/>
      <c r="U874" s="263"/>
      <c r="V874" s="263"/>
      <c r="W874" s="263"/>
      <c r="X874" s="263"/>
      <c r="Y874" s="263"/>
      <c r="Z874" s="263"/>
      <c r="AA874" s="263"/>
      <c r="AB874" s="263"/>
    </row>
    <row r="875" spans="1:28" ht="16" x14ac:dyDescent="0.2">
      <c r="A875" s="263"/>
      <c r="B875" s="263"/>
      <c r="C875" s="309"/>
      <c r="D875" s="263"/>
      <c r="E875" s="263"/>
      <c r="F875" s="263"/>
      <c r="G875" s="263"/>
      <c r="H875" s="263"/>
      <c r="I875" s="263"/>
      <c r="J875" s="263"/>
      <c r="K875" s="263"/>
      <c r="L875" s="263"/>
      <c r="M875" s="263"/>
      <c r="N875" s="263"/>
      <c r="O875" s="263"/>
      <c r="P875" s="263"/>
      <c r="Q875" s="263"/>
      <c r="R875" s="263"/>
      <c r="S875" s="263"/>
      <c r="T875" s="263"/>
      <c r="U875" s="263"/>
      <c r="V875" s="263"/>
      <c r="W875" s="263"/>
      <c r="X875" s="263"/>
      <c r="Y875" s="263"/>
      <c r="Z875" s="263"/>
      <c r="AA875" s="263"/>
      <c r="AB875" s="263"/>
    </row>
    <row r="876" spans="1:28" ht="16" x14ac:dyDescent="0.2">
      <c r="A876" s="263"/>
      <c r="B876" s="263"/>
      <c r="C876" s="309"/>
      <c r="D876" s="263"/>
      <c r="E876" s="263"/>
      <c r="F876" s="263"/>
      <c r="G876" s="263"/>
      <c r="H876" s="263"/>
      <c r="I876" s="263"/>
      <c r="J876" s="263"/>
      <c r="K876" s="263"/>
      <c r="L876" s="263"/>
      <c r="M876" s="263"/>
      <c r="N876" s="263"/>
      <c r="O876" s="263"/>
      <c r="P876" s="263"/>
      <c r="Q876" s="263"/>
      <c r="R876" s="263"/>
      <c r="S876" s="263"/>
      <c r="T876" s="263"/>
      <c r="U876" s="263"/>
      <c r="V876" s="263"/>
      <c r="W876" s="263"/>
      <c r="X876" s="263"/>
      <c r="Y876" s="263"/>
      <c r="Z876" s="263"/>
      <c r="AA876" s="263"/>
      <c r="AB876" s="263"/>
    </row>
    <row r="877" spans="1:28" ht="16" x14ac:dyDescent="0.2">
      <c r="A877" s="263"/>
      <c r="B877" s="263"/>
      <c r="C877" s="309"/>
      <c r="D877" s="263"/>
      <c r="E877" s="263"/>
      <c r="F877" s="263"/>
      <c r="G877" s="263"/>
      <c r="H877" s="263"/>
      <c r="I877" s="263"/>
      <c r="J877" s="263"/>
      <c r="K877" s="263"/>
      <c r="L877" s="263"/>
      <c r="M877" s="263"/>
      <c r="N877" s="263"/>
      <c r="O877" s="263"/>
      <c r="P877" s="263"/>
      <c r="Q877" s="263"/>
      <c r="R877" s="263"/>
      <c r="S877" s="263"/>
      <c r="T877" s="263"/>
      <c r="U877" s="263"/>
      <c r="V877" s="263"/>
      <c r="W877" s="263"/>
      <c r="X877" s="263"/>
      <c r="Y877" s="263"/>
      <c r="Z877" s="263"/>
      <c r="AA877" s="263"/>
      <c r="AB877" s="263"/>
    </row>
    <row r="878" spans="1:28" ht="16" x14ac:dyDescent="0.2">
      <c r="A878" s="263"/>
      <c r="B878" s="263"/>
      <c r="C878" s="309"/>
      <c r="D878" s="263"/>
      <c r="E878" s="263"/>
      <c r="F878" s="263"/>
      <c r="G878" s="263"/>
      <c r="H878" s="263"/>
      <c r="I878" s="263"/>
      <c r="J878" s="263"/>
      <c r="K878" s="263"/>
      <c r="L878" s="263"/>
      <c r="M878" s="263"/>
      <c r="N878" s="263"/>
      <c r="O878" s="263"/>
      <c r="P878" s="263"/>
      <c r="Q878" s="263"/>
      <c r="R878" s="263"/>
      <c r="S878" s="263"/>
      <c r="T878" s="263"/>
      <c r="U878" s="263"/>
      <c r="V878" s="263"/>
      <c r="W878" s="263"/>
      <c r="X878" s="263"/>
      <c r="Y878" s="263"/>
      <c r="Z878" s="263"/>
      <c r="AA878" s="263"/>
      <c r="AB878" s="263"/>
    </row>
    <row r="879" spans="1:28" ht="16" x14ac:dyDescent="0.2">
      <c r="A879" s="263"/>
      <c r="B879" s="263"/>
      <c r="C879" s="309"/>
      <c r="D879" s="263"/>
      <c r="E879" s="263"/>
      <c r="F879" s="263"/>
      <c r="G879" s="263"/>
      <c r="H879" s="263"/>
      <c r="I879" s="263"/>
      <c r="J879" s="263"/>
      <c r="K879" s="263"/>
      <c r="L879" s="263"/>
      <c r="M879" s="263"/>
      <c r="N879" s="263"/>
      <c r="O879" s="263"/>
      <c r="P879" s="263"/>
      <c r="Q879" s="263"/>
      <c r="R879" s="263"/>
      <c r="S879" s="263"/>
      <c r="T879" s="263"/>
      <c r="U879" s="263"/>
      <c r="V879" s="263"/>
      <c r="W879" s="263"/>
      <c r="X879" s="263"/>
      <c r="Y879" s="263"/>
      <c r="Z879" s="263"/>
      <c r="AA879" s="263"/>
      <c r="AB879" s="263"/>
    </row>
    <row r="880" spans="1:28" ht="16" x14ac:dyDescent="0.2">
      <c r="A880" s="263"/>
      <c r="B880" s="263"/>
      <c r="C880" s="309"/>
      <c r="D880" s="263"/>
      <c r="E880" s="263"/>
      <c r="F880" s="263"/>
      <c r="G880" s="263"/>
      <c r="H880" s="263"/>
      <c r="I880" s="263"/>
      <c r="J880" s="263"/>
      <c r="K880" s="263"/>
      <c r="L880" s="263"/>
      <c r="M880" s="263"/>
      <c r="N880" s="263"/>
      <c r="O880" s="263"/>
      <c r="P880" s="263"/>
      <c r="Q880" s="263"/>
      <c r="R880" s="263"/>
      <c r="S880" s="263"/>
      <c r="T880" s="263"/>
      <c r="U880" s="263"/>
      <c r="V880" s="263"/>
      <c r="W880" s="263"/>
      <c r="X880" s="263"/>
      <c r="Y880" s="263"/>
      <c r="Z880" s="263"/>
      <c r="AA880" s="263"/>
      <c r="AB880" s="263"/>
    </row>
    <row r="881" spans="1:28" ht="16" x14ac:dyDescent="0.2">
      <c r="A881" s="263"/>
      <c r="B881" s="263"/>
      <c r="C881" s="309"/>
      <c r="D881" s="263"/>
      <c r="E881" s="263"/>
      <c r="F881" s="263"/>
      <c r="G881" s="263"/>
      <c r="H881" s="263"/>
      <c r="I881" s="263"/>
      <c r="J881" s="263"/>
      <c r="K881" s="263"/>
      <c r="L881" s="263"/>
      <c r="M881" s="263"/>
      <c r="N881" s="263"/>
      <c r="O881" s="263"/>
      <c r="P881" s="263"/>
      <c r="Q881" s="263"/>
      <c r="R881" s="263"/>
      <c r="S881" s="263"/>
      <c r="T881" s="263"/>
      <c r="U881" s="263"/>
      <c r="V881" s="263"/>
      <c r="W881" s="263"/>
      <c r="X881" s="263"/>
      <c r="Y881" s="263"/>
      <c r="Z881" s="263"/>
      <c r="AA881" s="263"/>
      <c r="AB881" s="263"/>
    </row>
    <row r="882" spans="1:28" ht="16" x14ac:dyDescent="0.2">
      <c r="A882" s="263"/>
      <c r="B882" s="263"/>
      <c r="C882" s="309"/>
      <c r="D882" s="263"/>
      <c r="E882" s="263"/>
      <c r="F882" s="263"/>
      <c r="G882" s="263"/>
      <c r="H882" s="263"/>
      <c r="I882" s="263"/>
      <c r="J882" s="263"/>
      <c r="K882" s="263"/>
      <c r="L882" s="263"/>
      <c r="M882" s="263"/>
      <c r="N882" s="263"/>
      <c r="O882" s="263"/>
      <c r="P882" s="263"/>
      <c r="Q882" s="263"/>
      <c r="R882" s="263"/>
      <c r="S882" s="263"/>
      <c r="T882" s="263"/>
      <c r="U882" s="263"/>
      <c r="V882" s="263"/>
      <c r="W882" s="263"/>
      <c r="X882" s="263"/>
      <c r="Y882" s="263"/>
      <c r="Z882" s="263"/>
      <c r="AA882" s="263"/>
      <c r="AB882" s="263"/>
    </row>
    <row r="883" spans="1:28" ht="16" x14ac:dyDescent="0.2">
      <c r="A883" s="263"/>
      <c r="B883" s="263"/>
      <c r="C883" s="309"/>
      <c r="D883" s="263"/>
      <c r="E883" s="263"/>
      <c r="F883" s="263"/>
      <c r="G883" s="263"/>
      <c r="H883" s="263"/>
      <c r="I883" s="263"/>
      <c r="J883" s="263"/>
      <c r="K883" s="263"/>
      <c r="L883" s="263"/>
      <c r="M883" s="263"/>
      <c r="N883" s="263"/>
      <c r="O883" s="263"/>
      <c r="P883" s="263"/>
      <c r="Q883" s="263"/>
      <c r="R883" s="263"/>
      <c r="S883" s="263"/>
      <c r="T883" s="263"/>
      <c r="U883" s="263"/>
      <c r="V883" s="263"/>
      <c r="W883" s="263"/>
      <c r="X883" s="263"/>
      <c r="Y883" s="263"/>
      <c r="Z883" s="263"/>
      <c r="AA883" s="263"/>
      <c r="AB883" s="263"/>
    </row>
    <row r="884" spans="1:28" ht="16" x14ac:dyDescent="0.2">
      <c r="A884" s="263"/>
      <c r="B884" s="263"/>
      <c r="C884" s="309"/>
      <c r="D884" s="263"/>
      <c r="E884" s="263"/>
      <c r="F884" s="263"/>
      <c r="G884" s="263"/>
      <c r="H884" s="263"/>
      <c r="I884" s="263"/>
      <c r="J884" s="263"/>
      <c r="K884" s="263"/>
      <c r="L884" s="263"/>
      <c r="M884" s="263"/>
      <c r="N884" s="263"/>
      <c r="O884" s="263"/>
      <c r="P884" s="263"/>
      <c r="Q884" s="263"/>
      <c r="R884" s="263"/>
      <c r="S884" s="263"/>
      <c r="T884" s="263"/>
      <c r="U884" s="263"/>
      <c r="V884" s="263"/>
      <c r="W884" s="263"/>
      <c r="X884" s="263"/>
      <c r="Y884" s="263"/>
      <c r="Z884" s="263"/>
      <c r="AA884" s="263"/>
      <c r="AB884" s="263"/>
    </row>
    <row r="885" spans="1:28" ht="16" x14ac:dyDescent="0.2">
      <c r="A885" s="263"/>
      <c r="B885" s="263"/>
      <c r="C885" s="309"/>
      <c r="D885" s="263"/>
      <c r="E885" s="263"/>
      <c r="F885" s="263"/>
      <c r="G885" s="263"/>
      <c r="H885" s="263"/>
      <c r="I885" s="263"/>
      <c r="J885" s="263"/>
      <c r="K885" s="263"/>
      <c r="L885" s="263"/>
      <c r="M885" s="263"/>
      <c r="N885" s="263"/>
      <c r="O885" s="263"/>
      <c r="P885" s="263"/>
      <c r="Q885" s="263"/>
      <c r="R885" s="263"/>
      <c r="S885" s="263"/>
      <c r="T885" s="263"/>
      <c r="U885" s="263"/>
      <c r="V885" s="263"/>
      <c r="W885" s="263"/>
      <c r="X885" s="263"/>
      <c r="Y885" s="263"/>
      <c r="Z885" s="263"/>
      <c r="AA885" s="263"/>
      <c r="AB885" s="263"/>
    </row>
    <row r="886" spans="1:28" ht="16" x14ac:dyDescent="0.2">
      <c r="A886" s="263"/>
      <c r="B886" s="263"/>
      <c r="C886" s="309"/>
      <c r="D886" s="263"/>
      <c r="E886" s="263"/>
      <c r="F886" s="263"/>
      <c r="G886" s="263"/>
      <c r="H886" s="263"/>
      <c r="I886" s="263"/>
      <c r="J886" s="263"/>
      <c r="K886" s="263"/>
      <c r="L886" s="263"/>
      <c r="M886" s="263"/>
      <c r="N886" s="263"/>
      <c r="O886" s="263"/>
      <c r="P886" s="263"/>
      <c r="Q886" s="263"/>
      <c r="R886" s="263"/>
      <c r="S886" s="263"/>
      <c r="T886" s="263"/>
      <c r="U886" s="263"/>
      <c r="V886" s="263"/>
      <c r="W886" s="263"/>
      <c r="X886" s="263"/>
      <c r="Y886" s="263"/>
      <c r="Z886" s="263"/>
      <c r="AA886" s="263"/>
      <c r="AB886" s="263"/>
    </row>
    <row r="887" spans="1:28" ht="16" x14ac:dyDescent="0.2">
      <c r="A887" s="263"/>
      <c r="B887" s="263"/>
      <c r="C887" s="309"/>
      <c r="D887" s="263"/>
      <c r="E887" s="263"/>
      <c r="F887" s="263"/>
      <c r="G887" s="263"/>
      <c r="H887" s="263"/>
      <c r="I887" s="263"/>
      <c r="J887" s="263"/>
      <c r="K887" s="263"/>
      <c r="L887" s="263"/>
      <c r="M887" s="263"/>
      <c r="N887" s="263"/>
      <c r="O887" s="263"/>
      <c r="P887" s="263"/>
      <c r="Q887" s="263"/>
      <c r="R887" s="263"/>
      <c r="S887" s="263"/>
      <c r="T887" s="263"/>
      <c r="U887" s="263"/>
      <c r="V887" s="263"/>
      <c r="W887" s="263"/>
      <c r="X887" s="263"/>
      <c r="Y887" s="263"/>
      <c r="Z887" s="263"/>
      <c r="AA887" s="263"/>
      <c r="AB887" s="263"/>
    </row>
    <row r="888" spans="1:28" ht="16" x14ac:dyDescent="0.2">
      <c r="A888" s="263"/>
      <c r="B888" s="263"/>
      <c r="C888" s="309"/>
      <c r="D888" s="263"/>
      <c r="E888" s="263"/>
      <c r="F888" s="263"/>
      <c r="G888" s="263"/>
      <c r="H888" s="263"/>
      <c r="I888" s="263"/>
      <c r="J888" s="263"/>
      <c r="K888" s="263"/>
      <c r="L888" s="263"/>
      <c r="M888" s="263"/>
      <c r="N888" s="263"/>
      <c r="O888" s="263"/>
      <c r="P888" s="263"/>
      <c r="Q888" s="263"/>
      <c r="R888" s="263"/>
      <c r="S888" s="263"/>
      <c r="T888" s="263"/>
      <c r="U888" s="263"/>
      <c r="V888" s="263"/>
      <c r="W888" s="263"/>
      <c r="X888" s="263"/>
      <c r="Y888" s="263"/>
      <c r="Z888" s="263"/>
      <c r="AA888" s="263"/>
      <c r="AB888" s="263"/>
    </row>
    <row r="889" spans="1:28" ht="16" x14ac:dyDescent="0.2">
      <c r="A889" s="263"/>
      <c r="B889" s="263"/>
      <c r="C889" s="309"/>
      <c r="D889" s="263"/>
      <c r="E889" s="263"/>
      <c r="F889" s="263"/>
      <c r="G889" s="263"/>
      <c r="H889" s="263"/>
      <c r="I889" s="263"/>
      <c r="J889" s="263"/>
      <c r="K889" s="263"/>
      <c r="L889" s="263"/>
      <c r="M889" s="263"/>
      <c r="N889" s="263"/>
      <c r="O889" s="263"/>
      <c r="P889" s="263"/>
      <c r="Q889" s="263"/>
      <c r="R889" s="263"/>
      <c r="S889" s="263"/>
      <c r="T889" s="263"/>
      <c r="U889" s="263"/>
      <c r="V889" s="263"/>
      <c r="W889" s="263"/>
      <c r="X889" s="263"/>
      <c r="Y889" s="263"/>
      <c r="Z889" s="263"/>
      <c r="AA889" s="263"/>
      <c r="AB889" s="263"/>
    </row>
    <row r="890" spans="1:28" ht="16" x14ac:dyDescent="0.2">
      <c r="A890" s="263"/>
      <c r="B890" s="263"/>
      <c r="C890" s="309"/>
      <c r="D890" s="263"/>
      <c r="E890" s="263"/>
      <c r="F890" s="263"/>
      <c r="G890" s="263"/>
      <c r="H890" s="263"/>
      <c r="I890" s="263"/>
      <c r="J890" s="263"/>
      <c r="K890" s="263"/>
      <c r="L890" s="263"/>
      <c r="M890" s="263"/>
      <c r="N890" s="263"/>
      <c r="O890" s="263"/>
      <c r="P890" s="263"/>
      <c r="Q890" s="263"/>
      <c r="R890" s="263"/>
      <c r="S890" s="263"/>
      <c r="T890" s="263"/>
      <c r="U890" s="263"/>
      <c r="V890" s="263"/>
      <c r="W890" s="263"/>
      <c r="X890" s="263"/>
      <c r="Y890" s="263"/>
      <c r="Z890" s="263"/>
      <c r="AA890" s="263"/>
      <c r="AB890" s="263"/>
    </row>
    <row r="891" spans="1:28" ht="16" x14ac:dyDescent="0.2">
      <c r="A891" s="263"/>
      <c r="B891" s="263"/>
      <c r="C891" s="309"/>
      <c r="D891" s="263"/>
      <c r="E891" s="263"/>
      <c r="F891" s="263"/>
      <c r="G891" s="263"/>
      <c r="H891" s="263"/>
      <c r="I891" s="263"/>
      <c r="J891" s="263"/>
      <c r="K891" s="263"/>
      <c r="L891" s="263"/>
      <c r="M891" s="263"/>
      <c r="N891" s="263"/>
      <c r="O891" s="263"/>
      <c r="P891" s="263"/>
      <c r="Q891" s="263"/>
      <c r="R891" s="263"/>
      <c r="S891" s="263"/>
      <c r="T891" s="263"/>
      <c r="U891" s="263"/>
      <c r="V891" s="263"/>
      <c r="W891" s="263"/>
      <c r="X891" s="263"/>
      <c r="Y891" s="263"/>
      <c r="Z891" s="263"/>
      <c r="AA891" s="263"/>
      <c r="AB891" s="263"/>
    </row>
    <row r="892" spans="1:28" ht="16" x14ac:dyDescent="0.2">
      <c r="A892" s="263"/>
      <c r="B892" s="263"/>
      <c r="C892" s="309"/>
      <c r="D892" s="263"/>
      <c r="E892" s="263"/>
      <c r="F892" s="263"/>
      <c r="G892" s="263"/>
      <c r="H892" s="263"/>
      <c r="I892" s="263"/>
      <c r="J892" s="263"/>
      <c r="K892" s="263"/>
      <c r="L892" s="263"/>
      <c r="M892" s="263"/>
      <c r="N892" s="263"/>
      <c r="O892" s="263"/>
      <c r="P892" s="263"/>
      <c r="Q892" s="263"/>
      <c r="R892" s="263"/>
      <c r="S892" s="263"/>
      <c r="T892" s="263"/>
      <c r="U892" s="263"/>
      <c r="V892" s="263"/>
      <c r="W892" s="263"/>
      <c r="X892" s="263"/>
      <c r="Y892" s="263"/>
      <c r="Z892" s="263"/>
      <c r="AA892" s="263"/>
      <c r="AB892" s="263"/>
    </row>
    <row r="893" spans="1:28" ht="16" x14ac:dyDescent="0.2">
      <c r="A893" s="263"/>
      <c r="B893" s="263"/>
      <c r="C893" s="309"/>
      <c r="D893" s="263"/>
      <c r="E893" s="263"/>
      <c r="F893" s="263"/>
      <c r="G893" s="263"/>
      <c r="H893" s="263"/>
      <c r="I893" s="263"/>
      <c r="J893" s="263"/>
      <c r="K893" s="263"/>
      <c r="L893" s="263"/>
      <c r="M893" s="263"/>
      <c r="N893" s="263"/>
      <c r="O893" s="263"/>
      <c r="P893" s="263"/>
      <c r="Q893" s="263"/>
      <c r="R893" s="263"/>
      <c r="S893" s="263"/>
      <c r="T893" s="263"/>
      <c r="U893" s="263"/>
      <c r="V893" s="263"/>
      <c r="W893" s="263"/>
      <c r="X893" s="263"/>
      <c r="Y893" s="263"/>
      <c r="Z893" s="263"/>
      <c r="AA893" s="263"/>
      <c r="AB893" s="263"/>
    </row>
    <row r="894" spans="1:28" ht="16" x14ac:dyDescent="0.2">
      <c r="A894" s="263"/>
      <c r="B894" s="263"/>
      <c r="C894" s="309"/>
      <c r="D894" s="263"/>
      <c r="E894" s="263"/>
      <c r="F894" s="263"/>
      <c r="G894" s="263"/>
      <c r="H894" s="263"/>
      <c r="I894" s="263"/>
      <c r="J894" s="263"/>
      <c r="K894" s="263"/>
      <c r="L894" s="263"/>
      <c r="M894" s="263"/>
      <c r="N894" s="263"/>
      <c r="O894" s="263"/>
      <c r="P894" s="263"/>
      <c r="Q894" s="263"/>
      <c r="R894" s="263"/>
      <c r="S894" s="263"/>
      <c r="T894" s="263"/>
      <c r="U894" s="263"/>
      <c r="V894" s="263"/>
      <c r="W894" s="263"/>
      <c r="X894" s="263"/>
      <c r="Y894" s="263"/>
      <c r="Z894" s="263"/>
      <c r="AA894" s="263"/>
      <c r="AB894" s="263"/>
    </row>
    <row r="895" spans="1:28" ht="16" x14ac:dyDescent="0.2">
      <c r="A895" s="263"/>
      <c r="B895" s="263"/>
      <c r="C895" s="309"/>
      <c r="D895" s="263"/>
      <c r="E895" s="263"/>
      <c r="F895" s="263"/>
      <c r="G895" s="263"/>
      <c r="H895" s="263"/>
      <c r="I895" s="263"/>
      <c r="J895" s="263"/>
      <c r="K895" s="263"/>
      <c r="L895" s="263"/>
      <c r="M895" s="263"/>
      <c r="N895" s="263"/>
      <c r="O895" s="263"/>
      <c r="P895" s="263"/>
      <c r="Q895" s="263"/>
      <c r="R895" s="263"/>
      <c r="S895" s="263"/>
      <c r="T895" s="263"/>
      <c r="U895" s="263"/>
      <c r="V895" s="263"/>
      <c r="W895" s="263"/>
      <c r="X895" s="263"/>
      <c r="Y895" s="263"/>
      <c r="Z895" s="263"/>
      <c r="AA895" s="263"/>
      <c r="AB895" s="263"/>
    </row>
    <row r="896" spans="1:28" ht="16" x14ac:dyDescent="0.2">
      <c r="A896" s="263"/>
      <c r="B896" s="263"/>
      <c r="C896" s="309"/>
      <c r="D896" s="263"/>
      <c r="E896" s="263"/>
      <c r="F896" s="263"/>
      <c r="G896" s="263"/>
      <c r="H896" s="263"/>
      <c r="I896" s="263"/>
      <c r="J896" s="263"/>
      <c r="K896" s="263"/>
      <c r="L896" s="263"/>
      <c r="M896" s="263"/>
      <c r="N896" s="263"/>
      <c r="O896" s="263"/>
      <c r="P896" s="263"/>
      <c r="Q896" s="263"/>
      <c r="R896" s="263"/>
      <c r="S896" s="263"/>
      <c r="T896" s="263"/>
      <c r="U896" s="263"/>
      <c r="V896" s="263"/>
      <c r="W896" s="263"/>
      <c r="X896" s="263"/>
      <c r="Y896" s="263"/>
      <c r="Z896" s="263"/>
      <c r="AA896" s="263"/>
      <c r="AB896" s="263"/>
    </row>
    <row r="897" spans="1:28" ht="16" x14ac:dyDescent="0.2">
      <c r="A897" s="263"/>
      <c r="B897" s="263"/>
      <c r="C897" s="309"/>
      <c r="D897" s="263"/>
      <c r="E897" s="263"/>
      <c r="F897" s="263"/>
      <c r="G897" s="263"/>
      <c r="H897" s="263"/>
      <c r="I897" s="263"/>
      <c r="J897" s="263"/>
      <c r="K897" s="263"/>
      <c r="L897" s="263"/>
      <c r="M897" s="263"/>
      <c r="N897" s="263"/>
      <c r="O897" s="263"/>
      <c r="P897" s="263"/>
      <c r="Q897" s="263"/>
      <c r="R897" s="263"/>
      <c r="S897" s="263"/>
      <c r="T897" s="263"/>
      <c r="U897" s="263"/>
      <c r="V897" s="263"/>
      <c r="W897" s="263"/>
      <c r="X897" s="263"/>
      <c r="Y897" s="263"/>
      <c r="Z897" s="263"/>
      <c r="AA897" s="263"/>
      <c r="AB897" s="263"/>
    </row>
    <row r="898" spans="1:28" ht="16" x14ac:dyDescent="0.2">
      <c r="A898" s="263"/>
      <c r="B898" s="263"/>
      <c r="C898" s="309"/>
      <c r="D898" s="263"/>
      <c r="E898" s="263"/>
      <c r="F898" s="263"/>
      <c r="G898" s="263"/>
      <c r="H898" s="263"/>
      <c r="I898" s="263"/>
      <c r="J898" s="263"/>
      <c r="K898" s="263"/>
      <c r="L898" s="263"/>
      <c r="M898" s="263"/>
      <c r="N898" s="263"/>
      <c r="O898" s="263"/>
      <c r="P898" s="263"/>
      <c r="Q898" s="263"/>
      <c r="R898" s="263"/>
      <c r="S898" s="263"/>
      <c r="T898" s="263"/>
      <c r="U898" s="263"/>
      <c r="V898" s="263"/>
      <c r="W898" s="263"/>
      <c r="X898" s="263"/>
      <c r="Y898" s="263"/>
      <c r="Z898" s="263"/>
      <c r="AA898" s="263"/>
      <c r="AB898" s="263"/>
    </row>
    <row r="899" spans="1:28" ht="16" x14ac:dyDescent="0.2">
      <c r="A899" s="263"/>
      <c r="B899" s="263"/>
      <c r="C899" s="309"/>
      <c r="D899" s="263"/>
      <c r="E899" s="263"/>
      <c r="F899" s="263"/>
      <c r="G899" s="263"/>
      <c r="H899" s="263"/>
      <c r="I899" s="263"/>
      <c r="J899" s="263"/>
      <c r="K899" s="263"/>
      <c r="L899" s="263"/>
      <c r="M899" s="263"/>
      <c r="N899" s="263"/>
      <c r="O899" s="263"/>
      <c r="P899" s="263"/>
      <c r="Q899" s="263"/>
      <c r="R899" s="263"/>
      <c r="S899" s="263"/>
      <c r="T899" s="263"/>
      <c r="U899" s="263"/>
      <c r="V899" s="263"/>
      <c r="W899" s="263"/>
      <c r="X899" s="263"/>
      <c r="Y899" s="263"/>
      <c r="Z899" s="263"/>
      <c r="AA899" s="263"/>
      <c r="AB899" s="263"/>
    </row>
    <row r="900" spans="1:28" ht="16" x14ac:dyDescent="0.2">
      <c r="A900" s="263"/>
      <c r="B900" s="263"/>
      <c r="C900" s="309"/>
      <c r="D900" s="263"/>
      <c r="E900" s="263"/>
      <c r="F900" s="263"/>
      <c r="G900" s="263"/>
      <c r="H900" s="263"/>
      <c r="I900" s="263"/>
      <c r="J900" s="263"/>
      <c r="K900" s="263"/>
      <c r="L900" s="263"/>
      <c r="M900" s="263"/>
      <c r="N900" s="263"/>
      <c r="O900" s="263"/>
      <c r="P900" s="263"/>
      <c r="Q900" s="263"/>
      <c r="R900" s="263"/>
      <c r="S900" s="263"/>
      <c r="T900" s="263"/>
      <c r="U900" s="263"/>
      <c r="V900" s="263"/>
      <c r="W900" s="263"/>
      <c r="X900" s="263"/>
      <c r="Y900" s="263"/>
      <c r="Z900" s="263"/>
      <c r="AA900" s="263"/>
      <c r="AB900" s="263"/>
    </row>
    <row r="901" spans="1:28" ht="16" x14ac:dyDescent="0.2">
      <c r="A901" s="263"/>
      <c r="B901" s="263"/>
      <c r="C901" s="309"/>
      <c r="D901" s="263"/>
      <c r="E901" s="263"/>
      <c r="F901" s="263"/>
      <c r="G901" s="263"/>
      <c r="H901" s="263"/>
      <c r="I901" s="263"/>
      <c r="J901" s="263"/>
      <c r="K901" s="263"/>
      <c r="L901" s="263"/>
      <c r="M901" s="263"/>
      <c r="N901" s="263"/>
      <c r="O901" s="263"/>
      <c r="P901" s="263"/>
      <c r="Q901" s="263"/>
      <c r="R901" s="263"/>
      <c r="S901" s="263"/>
      <c r="T901" s="263"/>
      <c r="U901" s="263"/>
      <c r="V901" s="263"/>
      <c r="W901" s="263"/>
      <c r="X901" s="263"/>
      <c r="Y901" s="263"/>
      <c r="Z901" s="263"/>
      <c r="AA901" s="263"/>
      <c r="AB901" s="263"/>
    </row>
    <row r="902" spans="1:28" ht="16" x14ac:dyDescent="0.2">
      <c r="A902" s="263"/>
      <c r="B902" s="263"/>
      <c r="C902" s="309"/>
      <c r="D902" s="263"/>
      <c r="E902" s="263"/>
      <c r="F902" s="263"/>
      <c r="G902" s="263"/>
      <c r="H902" s="263"/>
      <c r="I902" s="263"/>
      <c r="J902" s="263"/>
      <c r="K902" s="263"/>
      <c r="L902" s="263"/>
      <c r="M902" s="263"/>
      <c r="N902" s="263"/>
      <c r="O902" s="263"/>
      <c r="P902" s="263"/>
      <c r="Q902" s="263"/>
      <c r="R902" s="263"/>
      <c r="S902" s="263"/>
      <c r="T902" s="263"/>
      <c r="U902" s="263"/>
      <c r="V902" s="263"/>
      <c r="W902" s="263"/>
      <c r="X902" s="263"/>
      <c r="Y902" s="263"/>
      <c r="Z902" s="263"/>
      <c r="AA902" s="263"/>
      <c r="AB902" s="263"/>
    </row>
    <row r="903" spans="1:28" ht="16" x14ac:dyDescent="0.2">
      <c r="A903" s="263"/>
      <c r="B903" s="263"/>
      <c r="C903" s="309"/>
      <c r="D903" s="263"/>
      <c r="E903" s="263"/>
      <c r="F903" s="263"/>
      <c r="G903" s="263"/>
      <c r="H903" s="263"/>
      <c r="I903" s="263"/>
      <c r="J903" s="263"/>
      <c r="K903" s="263"/>
      <c r="L903" s="263"/>
      <c r="M903" s="263"/>
      <c r="N903" s="263"/>
      <c r="O903" s="263"/>
      <c r="P903" s="263"/>
      <c r="Q903" s="263"/>
      <c r="R903" s="263"/>
      <c r="S903" s="263"/>
      <c r="T903" s="263"/>
      <c r="U903" s="263"/>
      <c r="V903" s="263"/>
      <c r="W903" s="263"/>
      <c r="X903" s="263"/>
      <c r="Y903" s="263"/>
      <c r="Z903" s="263"/>
      <c r="AA903" s="263"/>
      <c r="AB903" s="263"/>
    </row>
    <row r="904" spans="1:28" ht="16" x14ac:dyDescent="0.2">
      <c r="A904" s="263"/>
      <c r="B904" s="263"/>
      <c r="C904" s="309"/>
      <c r="D904" s="263"/>
      <c r="E904" s="263"/>
      <c r="F904" s="263"/>
      <c r="G904" s="263"/>
      <c r="H904" s="263"/>
      <c r="I904" s="263"/>
      <c r="J904" s="263"/>
      <c r="K904" s="263"/>
      <c r="L904" s="263"/>
      <c r="M904" s="263"/>
      <c r="N904" s="263"/>
      <c r="O904" s="263"/>
      <c r="P904" s="263"/>
      <c r="Q904" s="263"/>
      <c r="R904" s="263"/>
      <c r="S904" s="263"/>
      <c r="T904" s="263"/>
      <c r="U904" s="263"/>
      <c r="V904" s="263"/>
      <c r="W904" s="263"/>
      <c r="X904" s="263"/>
      <c r="Y904" s="263"/>
      <c r="Z904" s="263"/>
      <c r="AA904" s="263"/>
      <c r="AB904" s="263"/>
    </row>
    <row r="905" spans="1:28" ht="16" x14ac:dyDescent="0.2">
      <c r="A905" s="263"/>
      <c r="B905" s="263"/>
      <c r="C905" s="309"/>
      <c r="D905" s="263"/>
      <c r="E905" s="263"/>
      <c r="F905" s="263"/>
      <c r="G905" s="263"/>
      <c r="H905" s="263"/>
      <c r="I905" s="263"/>
      <c r="J905" s="263"/>
      <c r="K905" s="263"/>
      <c r="L905" s="263"/>
      <c r="M905" s="263"/>
      <c r="N905" s="263"/>
      <c r="O905" s="263"/>
      <c r="P905" s="263"/>
      <c r="Q905" s="263"/>
      <c r="R905" s="263"/>
      <c r="S905" s="263"/>
      <c r="T905" s="263"/>
      <c r="U905" s="263"/>
      <c r="V905" s="263"/>
      <c r="W905" s="263"/>
      <c r="X905" s="263"/>
      <c r="Y905" s="263"/>
      <c r="Z905" s="263"/>
      <c r="AA905" s="263"/>
      <c r="AB905" s="263"/>
    </row>
    <row r="906" spans="1:28" ht="16" x14ac:dyDescent="0.2">
      <c r="A906" s="263"/>
      <c r="B906" s="263"/>
      <c r="C906" s="309"/>
      <c r="D906" s="263"/>
      <c r="E906" s="263"/>
      <c r="F906" s="263"/>
      <c r="G906" s="263"/>
      <c r="H906" s="263"/>
      <c r="I906" s="263"/>
      <c r="J906" s="263"/>
      <c r="K906" s="263"/>
      <c r="L906" s="263"/>
      <c r="M906" s="263"/>
      <c r="N906" s="263"/>
      <c r="O906" s="263"/>
      <c r="P906" s="263"/>
      <c r="Q906" s="263"/>
      <c r="R906" s="263"/>
      <c r="S906" s="263"/>
      <c r="T906" s="263"/>
      <c r="U906" s="263"/>
      <c r="V906" s="263"/>
      <c r="W906" s="263"/>
      <c r="X906" s="263"/>
      <c r="Y906" s="263"/>
      <c r="Z906" s="263"/>
      <c r="AA906" s="263"/>
      <c r="AB906" s="263"/>
    </row>
    <row r="907" spans="1:28" ht="16" x14ac:dyDescent="0.2">
      <c r="A907" s="263"/>
      <c r="B907" s="263"/>
      <c r="C907" s="309"/>
      <c r="D907" s="263"/>
      <c r="E907" s="263"/>
      <c r="F907" s="263"/>
      <c r="G907" s="263"/>
      <c r="H907" s="263"/>
      <c r="I907" s="263"/>
      <c r="J907" s="263"/>
      <c r="K907" s="263"/>
      <c r="L907" s="263"/>
      <c r="M907" s="263"/>
      <c r="N907" s="263"/>
      <c r="O907" s="263"/>
      <c r="P907" s="263"/>
      <c r="Q907" s="263"/>
      <c r="R907" s="263"/>
      <c r="S907" s="263"/>
      <c r="T907" s="263"/>
      <c r="U907" s="263"/>
      <c r="V907" s="263"/>
      <c r="W907" s="263"/>
      <c r="X907" s="263"/>
      <c r="Y907" s="263"/>
      <c r="Z907" s="263"/>
      <c r="AA907" s="263"/>
      <c r="AB907" s="263"/>
    </row>
    <row r="908" spans="1:28" ht="16" x14ac:dyDescent="0.2">
      <c r="A908" s="263"/>
      <c r="B908" s="263"/>
      <c r="C908" s="309"/>
      <c r="D908" s="263"/>
      <c r="E908" s="263"/>
      <c r="F908" s="263"/>
      <c r="G908" s="263"/>
      <c r="H908" s="263"/>
      <c r="I908" s="263"/>
      <c r="J908" s="263"/>
      <c r="K908" s="263"/>
      <c r="L908" s="263"/>
      <c r="M908" s="263"/>
      <c r="N908" s="263"/>
      <c r="O908" s="263"/>
      <c r="P908" s="263"/>
      <c r="Q908" s="263"/>
      <c r="R908" s="263"/>
      <c r="S908" s="263"/>
      <c r="T908" s="263"/>
      <c r="U908" s="263"/>
      <c r="V908" s="263"/>
      <c r="W908" s="263"/>
      <c r="X908" s="263"/>
      <c r="Y908" s="263"/>
      <c r="Z908" s="263"/>
      <c r="AA908" s="263"/>
      <c r="AB908" s="263"/>
    </row>
    <row r="909" spans="1:28" ht="16" x14ac:dyDescent="0.2">
      <c r="A909" s="263"/>
      <c r="B909" s="263"/>
      <c r="C909" s="309"/>
      <c r="D909" s="263"/>
      <c r="E909" s="263"/>
      <c r="F909" s="263"/>
      <c r="G909" s="263"/>
      <c r="H909" s="263"/>
      <c r="I909" s="263"/>
      <c r="J909" s="263"/>
      <c r="K909" s="263"/>
      <c r="L909" s="263"/>
      <c r="M909" s="263"/>
      <c r="N909" s="263"/>
      <c r="O909" s="263"/>
      <c r="P909" s="263"/>
      <c r="Q909" s="263"/>
      <c r="R909" s="263"/>
      <c r="S909" s="263"/>
      <c r="T909" s="263"/>
      <c r="U909" s="263"/>
      <c r="V909" s="263"/>
      <c r="W909" s="263"/>
      <c r="X909" s="263"/>
      <c r="Y909" s="263"/>
      <c r="Z909" s="263"/>
      <c r="AA909" s="263"/>
      <c r="AB909" s="263"/>
    </row>
    <row r="910" spans="1:28" ht="16" x14ac:dyDescent="0.2">
      <c r="A910" s="263"/>
      <c r="B910" s="263"/>
      <c r="C910" s="309"/>
      <c r="D910" s="263"/>
      <c r="E910" s="263"/>
      <c r="F910" s="263"/>
      <c r="G910" s="263"/>
      <c r="H910" s="263"/>
      <c r="I910" s="263"/>
      <c r="J910" s="263"/>
      <c r="K910" s="263"/>
      <c r="L910" s="263"/>
      <c r="M910" s="263"/>
      <c r="N910" s="263"/>
      <c r="O910" s="263"/>
      <c r="P910" s="263"/>
      <c r="Q910" s="263"/>
      <c r="R910" s="263"/>
      <c r="S910" s="263"/>
      <c r="T910" s="263"/>
      <c r="U910" s="263"/>
      <c r="V910" s="263"/>
      <c r="W910" s="263"/>
      <c r="X910" s="263"/>
      <c r="Y910" s="263"/>
      <c r="Z910" s="263"/>
      <c r="AA910" s="263"/>
      <c r="AB910" s="263"/>
    </row>
    <row r="911" spans="1:28" ht="16" x14ac:dyDescent="0.2">
      <c r="A911" s="263"/>
      <c r="B911" s="263"/>
      <c r="C911" s="309"/>
      <c r="D911" s="263"/>
      <c r="E911" s="263"/>
      <c r="F911" s="263"/>
      <c r="G911" s="263"/>
      <c r="H911" s="263"/>
      <c r="I911" s="263"/>
      <c r="J911" s="263"/>
      <c r="K911" s="263"/>
      <c r="L911" s="263"/>
      <c r="M911" s="263"/>
      <c r="N911" s="263"/>
      <c r="O911" s="263"/>
      <c r="P911" s="263"/>
      <c r="Q911" s="263"/>
      <c r="R911" s="263"/>
      <c r="S911" s="263"/>
      <c r="T911" s="263"/>
      <c r="U911" s="263"/>
      <c r="V911" s="263"/>
      <c r="W911" s="263"/>
      <c r="X911" s="263"/>
      <c r="Y911" s="263"/>
      <c r="Z911" s="263"/>
      <c r="AA911" s="263"/>
      <c r="AB911" s="263"/>
    </row>
    <row r="912" spans="1:28" ht="16" x14ac:dyDescent="0.2">
      <c r="A912" s="263"/>
      <c r="B912" s="263"/>
      <c r="C912" s="309"/>
      <c r="D912" s="263"/>
      <c r="E912" s="263"/>
      <c r="F912" s="263"/>
      <c r="G912" s="263"/>
      <c r="H912" s="263"/>
      <c r="I912" s="263"/>
      <c r="J912" s="263"/>
      <c r="K912" s="263"/>
      <c r="L912" s="263"/>
      <c r="M912" s="263"/>
      <c r="N912" s="263"/>
      <c r="O912" s="263"/>
      <c r="P912" s="263"/>
      <c r="Q912" s="263"/>
      <c r="R912" s="263"/>
      <c r="S912" s="263"/>
      <c r="T912" s="263"/>
      <c r="U912" s="263"/>
      <c r="V912" s="263"/>
      <c r="W912" s="263"/>
      <c r="X912" s="263"/>
      <c r="Y912" s="263"/>
      <c r="Z912" s="263"/>
      <c r="AA912" s="263"/>
      <c r="AB912" s="263"/>
    </row>
    <row r="913" spans="1:28" ht="16" x14ac:dyDescent="0.2">
      <c r="A913" s="263"/>
      <c r="B913" s="263"/>
      <c r="C913" s="309"/>
      <c r="D913" s="263"/>
      <c r="E913" s="263"/>
      <c r="F913" s="263"/>
      <c r="G913" s="263"/>
      <c r="H913" s="263"/>
      <c r="I913" s="263"/>
      <c r="J913" s="263"/>
      <c r="K913" s="263"/>
      <c r="L913" s="263"/>
      <c r="M913" s="263"/>
      <c r="N913" s="263"/>
      <c r="O913" s="263"/>
      <c r="P913" s="263"/>
      <c r="Q913" s="263"/>
      <c r="R913" s="263"/>
      <c r="S913" s="263"/>
      <c r="T913" s="263"/>
      <c r="U913" s="263"/>
      <c r="V913" s="263"/>
      <c r="W913" s="263"/>
      <c r="X913" s="263"/>
      <c r="Y913" s="263"/>
      <c r="Z913" s="263"/>
      <c r="AA913" s="263"/>
      <c r="AB913" s="263"/>
    </row>
    <row r="914" spans="1:28" ht="16" x14ac:dyDescent="0.2">
      <c r="A914" s="263"/>
      <c r="B914" s="263"/>
      <c r="C914" s="309"/>
      <c r="D914" s="263"/>
      <c r="E914" s="263"/>
      <c r="F914" s="263"/>
      <c r="G914" s="263"/>
      <c r="H914" s="263"/>
      <c r="I914" s="263"/>
      <c r="J914" s="263"/>
      <c r="K914" s="263"/>
      <c r="L914" s="263"/>
      <c r="M914" s="263"/>
      <c r="N914" s="263"/>
      <c r="O914" s="263"/>
      <c r="P914" s="263"/>
      <c r="Q914" s="263"/>
      <c r="R914" s="263"/>
      <c r="S914" s="263"/>
      <c r="T914" s="263"/>
      <c r="U914" s="263"/>
      <c r="V914" s="263"/>
      <c r="W914" s="263"/>
      <c r="X914" s="263"/>
      <c r="Y914" s="263"/>
      <c r="Z914" s="263"/>
      <c r="AA914" s="263"/>
      <c r="AB914" s="263"/>
    </row>
    <row r="915" spans="1:28" ht="16" x14ac:dyDescent="0.2">
      <c r="A915" s="263"/>
      <c r="B915" s="263"/>
      <c r="C915" s="309"/>
      <c r="D915" s="263"/>
      <c r="E915" s="263"/>
      <c r="F915" s="263"/>
      <c r="G915" s="263"/>
      <c r="H915" s="263"/>
      <c r="I915" s="263"/>
      <c r="J915" s="263"/>
      <c r="K915" s="263"/>
      <c r="L915" s="263"/>
      <c r="M915" s="263"/>
      <c r="N915" s="263"/>
      <c r="O915" s="263"/>
      <c r="P915" s="263"/>
      <c r="Q915" s="263"/>
      <c r="R915" s="263"/>
      <c r="S915" s="263"/>
      <c r="T915" s="263"/>
      <c r="U915" s="263"/>
      <c r="V915" s="263"/>
      <c r="W915" s="263"/>
      <c r="X915" s="263"/>
      <c r="Y915" s="263"/>
      <c r="Z915" s="263"/>
      <c r="AA915" s="263"/>
      <c r="AB915" s="263"/>
    </row>
    <row r="916" spans="1:28" ht="16" x14ac:dyDescent="0.2">
      <c r="A916" s="263"/>
      <c r="B916" s="263"/>
      <c r="C916" s="309"/>
      <c r="D916" s="263"/>
      <c r="E916" s="263"/>
      <c r="F916" s="263"/>
      <c r="G916" s="263"/>
      <c r="H916" s="263"/>
      <c r="I916" s="263"/>
      <c r="J916" s="263"/>
      <c r="K916" s="263"/>
      <c r="L916" s="263"/>
      <c r="M916" s="263"/>
      <c r="N916" s="263"/>
      <c r="O916" s="263"/>
      <c r="P916" s="263"/>
      <c r="Q916" s="263"/>
      <c r="R916" s="263"/>
      <c r="S916" s="263"/>
      <c r="T916" s="263"/>
      <c r="U916" s="263"/>
      <c r="V916" s="263"/>
      <c r="W916" s="263"/>
      <c r="X916" s="263"/>
      <c r="Y916" s="263"/>
      <c r="Z916" s="263"/>
      <c r="AA916" s="263"/>
      <c r="AB916" s="263"/>
    </row>
    <row r="917" spans="1:28" ht="16" x14ac:dyDescent="0.2">
      <c r="A917" s="263"/>
      <c r="B917" s="263"/>
      <c r="C917" s="309"/>
      <c r="D917" s="263"/>
      <c r="E917" s="263"/>
      <c r="F917" s="263"/>
      <c r="G917" s="263"/>
      <c r="H917" s="263"/>
      <c r="I917" s="263"/>
      <c r="J917" s="263"/>
      <c r="K917" s="263"/>
      <c r="L917" s="263"/>
      <c r="M917" s="263"/>
      <c r="N917" s="263"/>
      <c r="O917" s="263"/>
      <c r="P917" s="263"/>
      <c r="Q917" s="263"/>
      <c r="R917" s="263"/>
      <c r="S917" s="263"/>
      <c r="T917" s="263"/>
      <c r="U917" s="263"/>
      <c r="V917" s="263"/>
      <c r="W917" s="263"/>
      <c r="X917" s="263"/>
      <c r="Y917" s="263"/>
      <c r="Z917" s="263"/>
      <c r="AA917" s="263"/>
      <c r="AB917" s="263"/>
    </row>
    <row r="918" spans="1:28" ht="16" x14ac:dyDescent="0.2">
      <c r="A918" s="263"/>
      <c r="B918" s="263"/>
      <c r="C918" s="309"/>
      <c r="D918" s="263"/>
      <c r="E918" s="263"/>
      <c r="F918" s="263"/>
      <c r="G918" s="263"/>
      <c r="H918" s="263"/>
      <c r="I918" s="263"/>
      <c r="J918" s="263"/>
      <c r="K918" s="263"/>
      <c r="L918" s="263"/>
      <c r="M918" s="263"/>
      <c r="N918" s="263"/>
      <c r="O918" s="263"/>
      <c r="P918" s="263"/>
      <c r="Q918" s="263"/>
      <c r="R918" s="263"/>
      <c r="S918" s="263"/>
      <c r="T918" s="263"/>
      <c r="U918" s="263"/>
      <c r="V918" s="263"/>
      <c r="W918" s="263"/>
      <c r="X918" s="263"/>
      <c r="Y918" s="263"/>
      <c r="Z918" s="263"/>
      <c r="AA918" s="263"/>
      <c r="AB918" s="263"/>
    </row>
    <row r="919" spans="1:28" ht="16" x14ac:dyDescent="0.2">
      <c r="A919" s="263"/>
      <c r="B919" s="263"/>
      <c r="C919" s="309"/>
      <c r="D919" s="263"/>
      <c r="E919" s="263"/>
      <c r="F919" s="263"/>
      <c r="G919" s="263"/>
      <c r="H919" s="263"/>
      <c r="I919" s="263"/>
      <c r="J919" s="263"/>
      <c r="K919" s="263"/>
      <c r="L919" s="263"/>
      <c r="M919" s="263"/>
      <c r="N919" s="263"/>
      <c r="O919" s="263"/>
      <c r="P919" s="263"/>
      <c r="Q919" s="263"/>
      <c r="R919" s="263"/>
      <c r="S919" s="263"/>
      <c r="T919" s="263"/>
      <c r="U919" s="263"/>
      <c r="V919" s="263"/>
      <c r="W919" s="263"/>
      <c r="X919" s="263"/>
      <c r="Y919" s="263"/>
      <c r="Z919" s="263"/>
      <c r="AA919" s="263"/>
      <c r="AB919" s="263"/>
    </row>
    <row r="920" spans="1:28" ht="16" x14ac:dyDescent="0.2">
      <c r="A920" s="263"/>
      <c r="B920" s="263"/>
      <c r="C920" s="309"/>
      <c r="D920" s="263"/>
      <c r="E920" s="263"/>
      <c r="F920" s="263"/>
      <c r="G920" s="263"/>
      <c r="H920" s="263"/>
      <c r="I920" s="263"/>
      <c r="J920" s="263"/>
      <c r="K920" s="263"/>
      <c r="L920" s="263"/>
      <c r="M920" s="263"/>
      <c r="N920" s="263"/>
      <c r="O920" s="263"/>
      <c r="P920" s="263"/>
      <c r="Q920" s="263"/>
      <c r="R920" s="263"/>
      <c r="S920" s="263"/>
      <c r="T920" s="263"/>
      <c r="U920" s="263"/>
      <c r="V920" s="263"/>
      <c r="W920" s="263"/>
      <c r="X920" s="263"/>
      <c r="Y920" s="263"/>
      <c r="Z920" s="263"/>
      <c r="AA920" s="263"/>
      <c r="AB920" s="263"/>
    </row>
    <row r="921" spans="1:28" ht="16" x14ac:dyDescent="0.2">
      <c r="A921" s="263"/>
      <c r="B921" s="263"/>
      <c r="C921" s="309"/>
      <c r="D921" s="263"/>
      <c r="E921" s="263"/>
      <c r="F921" s="263"/>
      <c r="G921" s="263"/>
      <c r="H921" s="263"/>
      <c r="I921" s="263"/>
      <c r="J921" s="263"/>
      <c r="K921" s="263"/>
      <c r="L921" s="263"/>
      <c r="M921" s="263"/>
      <c r="N921" s="263"/>
      <c r="O921" s="263"/>
      <c r="P921" s="263"/>
      <c r="Q921" s="263"/>
      <c r="R921" s="263"/>
      <c r="S921" s="263"/>
      <c r="T921" s="263"/>
      <c r="U921" s="263"/>
      <c r="V921" s="263"/>
      <c r="W921" s="263"/>
      <c r="X921" s="263"/>
      <c r="Y921" s="263"/>
      <c r="Z921" s="263"/>
      <c r="AA921" s="263"/>
      <c r="AB921" s="263"/>
    </row>
    <row r="922" spans="1:28" ht="16" x14ac:dyDescent="0.2">
      <c r="A922" s="263"/>
      <c r="B922" s="263"/>
      <c r="C922" s="309"/>
      <c r="D922" s="263"/>
      <c r="E922" s="263"/>
      <c r="F922" s="263"/>
      <c r="G922" s="263"/>
      <c r="H922" s="263"/>
      <c r="I922" s="263"/>
      <c r="J922" s="263"/>
      <c r="K922" s="263"/>
      <c r="L922" s="263"/>
      <c r="M922" s="263"/>
      <c r="N922" s="263"/>
      <c r="O922" s="263"/>
      <c r="P922" s="263"/>
      <c r="Q922" s="263"/>
      <c r="R922" s="263"/>
      <c r="S922" s="263"/>
      <c r="T922" s="263"/>
      <c r="U922" s="263"/>
      <c r="V922" s="263"/>
      <c r="W922" s="263"/>
      <c r="X922" s="263"/>
      <c r="Y922" s="263"/>
      <c r="Z922" s="263"/>
      <c r="AA922" s="263"/>
      <c r="AB922" s="263"/>
    </row>
    <row r="923" spans="1:28" ht="16" x14ac:dyDescent="0.2">
      <c r="A923" s="263"/>
      <c r="B923" s="263"/>
      <c r="C923" s="309"/>
      <c r="D923" s="263"/>
      <c r="E923" s="263"/>
      <c r="F923" s="263"/>
      <c r="G923" s="263"/>
      <c r="H923" s="263"/>
      <c r="I923" s="263"/>
      <c r="J923" s="263"/>
      <c r="K923" s="263"/>
      <c r="L923" s="263"/>
      <c r="M923" s="263"/>
      <c r="N923" s="263"/>
      <c r="O923" s="263"/>
      <c r="P923" s="263"/>
      <c r="Q923" s="263"/>
      <c r="R923" s="263"/>
      <c r="S923" s="263"/>
      <c r="T923" s="263"/>
      <c r="U923" s="263"/>
      <c r="V923" s="263"/>
      <c r="W923" s="263"/>
      <c r="X923" s="263"/>
      <c r="Y923" s="263"/>
      <c r="Z923" s="263"/>
      <c r="AA923" s="263"/>
      <c r="AB923" s="263"/>
    </row>
    <row r="924" spans="1:28" ht="16" x14ac:dyDescent="0.2">
      <c r="A924" s="263"/>
      <c r="B924" s="263"/>
      <c r="C924" s="309"/>
      <c r="D924" s="263"/>
      <c r="E924" s="263"/>
      <c r="F924" s="263"/>
      <c r="G924" s="263"/>
      <c r="H924" s="263"/>
      <c r="I924" s="263"/>
      <c r="J924" s="263"/>
      <c r="K924" s="263"/>
      <c r="L924" s="263"/>
      <c r="M924" s="263"/>
      <c r="N924" s="263"/>
      <c r="O924" s="263"/>
      <c r="P924" s="263"/>
      <c r="Q924" s="263"/>
      <c r="R924" s="263"/>
      <c r="S924" s="263"/>
      <c r="T924" s="263"/>
      <c r="U924" s="263"/>
      <c r="V924" s="263"/>
      <c r="W924" s="263"/>
      <c r="X924" s="263"/>
      <c r="Y924" s="263"/>
      <c r="Z924" s="263"/>
      <c r="AA924" s="263"/>
      <c r="AB924" s="263"/>
    </row>
    <row r="925" spans="1:28" ht="16" x14ac:dyDescent="0.2">
      <c r="A925" s="263"/>
      <c r="B925" s="263"/>
      <c r="C925" s="309"/>
      <c r="D925" s="263"/>
      <c r="E925" s="263"/>
      <c r="F925" s="263"/>
      <c r="G925" s="263"/>
      <c r="H925" s="263"/>
      <c r="I925" s="263"/>
      <c r="J925" s="263"/>
      <c r="K925" s="263"/>
      <c r="L925" s="263"/>
      <c r="M925" s="263"/>
      <c r="N925" s="263"/>
      <c r="O925" s="263"/>
      <c r="P925" s="263"/>
      <c r="Q925" s="263"/>
      <c r="R925" s="263"/>
      <c r="S925" s="263"/>
      <c r="T925" s="263"/>
      <c r="U925" s="263"/>
      <c r="V925" s="263"/>
      <c r="W925" s="263"/>
      <c r="X925" s="263"/>
      <c r="Y925" s="263"/>
      <c r="Z925" s="263"/>
      <c r="AA925" s="263"/>
      <c r="AB925" s="263"/>
    </row>
    <row r="926" spans="1:28" ht="16" x14ac:dyDescent="0.2">
      <c r="A926" s="263"/>
      <c r="B926" s="263"/>
      <c r="C926" s="309"/>
      <c r="D926" s="263"/>
      <c r="E926" s="263"/>
      <c r="F926" s="263"/>
      <c r="G926" s="263"/>
      <c r="H926" s="263"/>
      <c r="I926" s="263"/>
      <c r="J926" s="263"/>
      <c r="K926" s="263"/>
      <c r="L926" s="263"/>
      <c r="M926" s="263"/>
      <c r="N926" s="263"/>
      <c r="O926" s="263"/>
      <c r="P926" s="263"/>
      <c r="Q926" s="263"/>
      <c r="R926" s="263"/>
      <c r="S926" s="263"/>
      <c r="T926" s="263"/>
      <c r="U926" s="263"/>
      <c r="V926" s="263"/>
      <c r="W926" s="263"/>
      <c r="X926" s="263"/>
      <c r="Y926" s="263"/>
      <c r="Z926" s="263"/>
      <c r="AA926" s="263"/>
      <c r="AB926" s="263"/>
    </row>
    <row r="927" spans="1:28" ht="16" x14ac:dyDescent="0.2">
      <c r="A927" s="263"/>
      <c r="B927" s="263"/>
      <c r="C927" s="309"/>
      <c r="D927" s="263"/>
      <c r="E927" s="263"/>
      <c r="F927" s="263"/>
      <c r="G927" s="263"/>
      <c r="H927" s="263"/>
      <c r="I927" s="263"/>
      <c r="J927" s="263"/>
      <c r="K927" s="263"/>
      <c r="L927" s="263"/>
      <c r="M927" s="263"/>
      <c r="N927" s="263"/>
      <c r="O927" s="263"/>
      <c r="P927" s="263"/>
      <c r="Q927" s="263"/>
      <c r="R927" s="263"/>
      <c r="S927" s="263"/>
      <c r="T927" s="263"/>
      <c r="U927" s="263"/>
      <c r="V927" s="263"/>
      <c r="W927" s="263"/>
      <c r="X927" s="263"/>
      <c r="Y927" s="263"/>
      <c r="Z927" s="263"/>
      <c r="AA927" s="263"/>
      <c r="AB927" s="263"/>
    </row>
    <row r="928" spans="1:28" ht="16" x14ac:dyDescent="0.2">
      <c r="A928" s="263"/>
      <c r="B928" s="263"/>
      <c r="C928" s="309"/>
      <c r="D928" s="263"/>
      <c r="E928" s="263"/>
      <c r="F928" s="263"/>
      <c r="G928" s="263"/>
      <c r="H928" s="263"/>
      <c r="I928" s="263"/>
      <c r="J928" s="263"/>
      <c r="K928" s="263"/>
      <c r="L928" s="263"/>
      <c r="M928" s="263"/>
      <c r="N928" s="263"/>
      <c r="O928" s="263"/>
      <c r="P928" s="263"/>
      <c r="Q928" s="263"/>
      <c r="R928" s="263"/>
      <c r="S928" s="263"/>
      <c r="T928" s="263"/>
      <c r="U928" s="263"/>
      <c r="V928" s="263"/>
      <c r="W928" s="263"/>
      <c r="X928" s="263"/>
      <c r="Y928" s="263"/>
      <c r="Z928" s="263"/>
      <c r="AA928" s="263"/>
      <c r="AB928" s="263"/>
    </row>
    <row r="929" spans="1:28" ht="16" x14ac:dyDescent="0.2">
      <c r="A929" s="263"/>
      <c r="B929" s="263"/>
      <c r="C929" s="309"/>
      <c r="D929" s="263"/>
      <c r="E929" s="263"/>
      <c r="F929" s="263"/>
      <c r="G929" s="263"/>
      <c r="H929" s="263"/>
      <c r="I929" s="263"/>
      <c r="J929" s="263"/>
      <c r="K929" s="263"/>
      <c r="L929" s="263"/>
      <c r="M929" s="263"/>
      <c r="N929" s="263"/>
      <c r="O929" s="263"/>
      <c r="P929" s="263"/>
      <c r="Q929" s="263"/>
      <c r="R929" s="263"/>
      <c r="S929" s="263"/>
      <c r="T929" s="263"/>
      <c r="U929" s="263"/>
      <c r="V929" s="263"/>
      <c r="W929" s="263"/>
      <c r="X929" s="263"/>
      <c r="Y929" s="263"/>
      <c r="Z929" s="263"/>
      <c r="AA929" s="263"/>
      <c r="AB929" s="263"/>
    </row>
    <row r="930" spans="1:28" ht="16" x14ac:dyDescent="0.2">
      <c r="A930" s="263"/>
      <c r="B930" s="263"/>
      <c r="C930" s="309"/>
      <c r="D930" s="263"/>
      <c r="E930" s="263"/>
      <c r="F930" s="263"/>
      <c r="G930" s="263"/>
      <c r="H930" s="263"/>
      <c r="I930" s="263"/>
      <c r="J930" s="263"/>
      <c r="K930" s="263"/>
      <c r="L930" s="263"/>
      <c r="M930" s="263"/>
      <c r="N930" s="263"/>
      <c r="O930" s="263"/>
      <c r="P930" s="263"/>
      <c r="Q930" s="263"/>
      <c r="R930" s="263"/>
      <c r="S930" s="263"/>
      <c r="T930" s="263"/>
      <c r="U930" s="263"/>
      <c r="V930" s="263"/>
      <c r="W930" s="263"/>
      <c r="X930" s="263"/>
      <c r="Y930" s="263"/>
      <c r="Z930" s="263"/>
      <c r="AA930" s="263"/>
      <c r="AB930" s="263"/>
    </row>
    <row r="931" spans="1:28" ht="16" x14ac:dyDescent="0.2">
      <c r="A931" s="263"/>
      <c r="B931" s="263"/>
      <c r="C931" s="309"/>
      <c r="D931" s="263"/>
      <c r="E931" s="263"/>
      <c r="F931" s="263"/>
      <c r="G931" s="263"/>
      <c r="H931" s="263"/>
      <c r="I931" s="263"/>
      <c r="J931" s="263"/>
      <c r="K931" s="263"/>
      <c r="L931" s="263"/>
      <c r="M931" s="263"/>
      <c r="N931" s="263"/>
      <c r="O931" s="263"/>
      <c r="P931" s="263"/>
      <c r="Q931" s="263"/>
      <c r="R931" s="263"/>
      <c r="S931" s="263"/>
      <c r="T931" s="263"/>
      <c r="U931" s="263"/>
      <c r="V931" s="263"/>
      <c r="W931" s="263"/>
      <c r="X931" s="263"/>
      <c r="Y931" s="263"/>
      <c r="Z931" s="263"/>
      <c r="AA931" s="263"/>
      <c r="AB931" s="263"/>
    </row>
    <row r="932" spans="1:28" ht="16" x14ac:dyDescent="0.2">
      <c r="A932" s="263"/>
      <c r="B932" s="263"/>
      <c r="C932" s="309"/>
      <c r="D932" s="263"/>
      <c r="E932" s="263"/>
      <c r="F932" s="263"/>
      <c r="G932" s="263"/>
      <c r="H932" s="263"/>
      <c r="I932" s="263"/>
      <c r="J932" s="263"/>
      <c r="K932" s="263"/>
      <c r="L932" s="263"/>
      <c r="M932" s="263"/>
      <c r="N932" s="263"/>
      <c r="O932" s="263"/>
      <c r="P932" s="263"/>
      <c r="Q932" s="263"/>
      <c r="R932" s="263"/>
      <c r="S932" s="263"/>
      <c r="T932" s="263"/>
      <c r="U932" s="263"/>
      <c r="V932" s="263"/>
      <c r="W932" s="263"/>
      <c r="X932" s="263"/>
      <c r="Y932" s="263"/>
      <c r="Z932" s="263"/>
      <c r="AA932" s="263"/>
      <c r="AB932" s="263"/>
    </row>
    <row r="933" spans="1:28" ht="16" x14ac:dyDescent="0.2">
      <c r="A933" s="263"/>
      <c r="B933" s="263"/>
      <c r="C933" s="309"/>
      <c r="D933" s="263"/>
      <c r="E933" s="263"/>
      <c r="F933" s="263"/>
      <c r="G933" s="263"/>
      <c r="H933" s="263"/>
      <c r="I933" s="263"/>
      <c r="J933" s="263"/>
      <c r="K933" s="263"/>
      <c r="L933" s="263"/>
      <c r="M933" s="263"/>
      <c r="N933" s="263"/>
      <c r="O933" s="263"/>
      <c r="P933" s="263"/>
      <c r="Q933" s="263"/>
      <c r="R933" s="263"/>
      <c r="S933" s="263"/>
      <c r="T933" s="263"/>
      <c r="U933" s="263"/>
      <c r="V933" s="263"/>
      <c r="W933" s="263"/>
      <c r="X933" s="263"/>
      <c r="Y933" s="263"/>
      <c r="Z933" s="263"/>
      <c r="AA933" s="263"/>
      <c r="AB933" s="263"/>
    </row>
    <row r="934" spans="1:28" ht="16" x14ac:dyDescent="0.2">
      <c r="A934" s="263"/>
      <c r="B934" s="263"/>
      <c r="C934" s="309"/>
      <c r="D934" s="263"/>
      <c r="E934" s="263"/>
      <c r="F934" s="263"/>
      <c r="G934" s="263"/>
      <c r="H934" s="263"/>
      <c r="I934" s="263"/>
      <c r="J934" s="263"/>
      <c r="K934" s="263"/>
      <c r="L934" s="263"/>
      <c r="M934" s="263"/>
      <c r="N934" s="263"/>
      <c r="O934" s="263"/>
      <c r="P934" s="263"/>
      <c r="Q934" s="263"/>
      <c r="R934" s="263"/>
      <c r="S934" s="263"/>
      <c r="T934" s="263"/>
      <c r="U934" s="263"/>
      <c r="V934" s="263"/>
      <c r="W934" s="263"/>
      <c r="X934" s="263"/>
      <c r="Y934" s="263"/>
      <c r="Z934" s="263"/>
      <c r="AA934" s="263"/>
      <c r="AB934" s="263"/>
    </row>
    <row r="935" spans="1:28" ht="16" x14ac:dyDescent="0.2">
      <c r="A935" s="263"/>
      <c r="B935" s="263"/>
      <c r="C935" s="309"/>
      <c r="D935" s="263"/>
      <c r="E935" s="263"/>
      <c r="F935" s="263"/>
      <c r="G935" s="263"/>
      <c r="H935" s="263"/>
      <c r="I935" s="263"/>
      <c r="J935" s="263"/>
      <c r="K935" s="263"/>
      <c r="L935" s="263"/>
      <c r="M935" s="263"/>
      <c r="N935" s="263"/>
      <c r="O935" s="263"/>
      <c r="P935" s="263"/>
      <c r="Q935" s="263"/>
      <c r="R935" s="263"/>
      <c r="S935" s="263"/>
      <c r="T935" s="263"/>
      <c r="U935" s="263"/>
      <c r="V935" s="263"/>
      <c r="W935" s="263"/>
      <c r="X935" s="263"/>
      <c r="Y935" s="263"/>
      <c r="Z935" s="263"/>
      <c r="AA935" s="263"/>
      <c r="AB935" s="263"/>
    </row>
    <row r="936" spans="1:28" ht="16" x14ac:dyDescent="0.2">
      <c r="A936" s="263"/>
      <c r="B936" s="263"/>
      <c r="C936" s="309"/>
      <c r="D936" s="263"/>
      <c r="E936" s="263"/>
      <c r="F936" s="263"/>
      <c r="G936" s="263"/>
      <c r="H936" s="263"/>
      <c r="I936" s="263"/>
      <c r="J936" s="263"/>
      <c r="K936" s="263"/>
      <c r="L936" s="263"/>
      <c r="M936" s="263"/>
      <c r="N936" s="263"/>
      <c r="O936" s="263"/>
      <c r="P936" s="263"/>
      <c r="Q936" s="263"/>
      <c r="R936" s="263"/>
      <c r="S936" s="263"/>
      <c r="T936" s="263"/>
      <c r="U936" s="263"/>
      <c r="V936" s="263"/>
      <c r="W936" s="263"/>
      <c r="X936" s="263"/>
      <c r="Y936" s="263"/>
      <c r="Z936" s="263"/>
      <c r="AA936" s="263"/>
      <c r="AB936" s="263"/>
    </row>
    <row r="937" spans="1:28" ht="16" x14ac:dyDescent="0.2">
      <c r="A937" s="263"/>
      <c r="B937" s="263"/>
      <c r="C937" s="309"/>
      <c r="D937" s="263"/>
      <c r="E937" s="263"/>
      <c r="F937" s="263"/>
      <c r="G937" s="263"/>
      <c r="H937" s="263"/>
      <c r="I937" s="263"/>
      <c r="J937" s="263"/>
      <c r="K937" s="263"/>
      <c r="L937" s="263"/>
      <c r="M937" s="263"/>
      <c r="N937" s="263"/>
      <c r="O937" s="263"/>
      <c r="P937" s="263"/>
      <c r="Q937" s="263"/>
      <c r="R937" s="263"/>
      <c r="S937" s="263"/>
      <c r="T937" s="263"/>
      <c r="U937" s="263"/>
      <c r="V937" s="263"/>
      <c r="W937" s="263"/>
      <c r="X937" s="263"/>
      <c r="Y937" s="263"/>
      <c r="Z937" s="263"/>
      <c r="AA937" s="263"/>
      <c r="AB937" s="263"/>
    </row>
    <row r="938" spans="1:28" ht="16" x14ac:dyDescent="0.2">
      <c r="A938" s="263"/>
      <c r="B938" s="263"/>
      <c r="C938" s="309"/>
      <c r="D938" s="263"/>
      <c r="E938" s="263"/>
      <c r="F938" s="263"/>
      <c r="G938" s="263"/>
      <c r="H938" s="263"/>
      <c r="I938" s="263"/>
      <c r="J938" s="263"/>
      <c r="K938" s="263"/>
      <c r="L938" s="263"/>
      <c r="M938" s="263"/>
      <c r="N938" s="263"/>
      <c r="O938" s="263"/>
      <c r="P938" s="263"/>
      <c r="Q938" s="263"/>
      <c r="R938" s="263"/>
      <c r="S938" s="263"/>
      <c r="T938" s="263"/>
      <c r="U938" s="263"/>
      <c r="V938" s="263"/>
      <c r="W938" s="263"/>
      <c r="X938" s="263"/>
      <c r="Y938" s="263"/>
      <c r="Z938" s="263"/>
      <c r="AA938" s="263"/>
      <c r="AB938" s="263"/>
    </row>
    <row r="939" spans="1:28" ht="16" x14ac:dyDescent="0.2">
      <c r="A939" s="263"/>
      <c r="B939" s="263"/>
      <c r="C939" s="309"/>
      <c r="D939" s="263"/>
      <c r="E939" s="263"/>
      <c r="F939" s="263"/>
      <c r="G939" s="263"/>
      <c r="H939" s="263"/>
      <c r="I939" s="263"/>
      <c r="J939" s="263"/>
      <c r="K939" s="263"/>
      <c r="L939" s="263"/>
      <c r="M939" s="263"/>
      <c r="N939" s="263"/>
      <c r="O939" s="263"/>
      <c r="P939" s="263"/>
      <c r="Q939" s="263"/>
      <c r="R939" s="263"/>
      <c r="S939" s="263"/>
      <c r="T939" s="263"/>
      <c r="U939" s="263"/>
      <c r="V939" s="263"/>
      <c r="W939" s="263"/>
      <c r="X939" s="263"/>
      <c r="Y939" s="263"/>
      <c r="Z939" s="263"/>
      <c r="AA939" s="263"/>
      <c r="AB939" s="263"/>
    </row>
    <row r="940" spans="1:28" ht="16" x14ac:dyDescent="0.2">
      <c r="A940" s="263"/>
      <c r="B940" s="263"/>
      <c r="C940" s="309"/>
      <c r="D940" s="263"/>
      <c r="E940" s="263"/>
      <c r="F940" s="263"/>
      <c r="G940" s="263"/>
      <c r="H940" s="263"/>
      <c r="I940" s="263"/>
      <c r="J940" s="263"/>
      <c r="K940" s="263"/>
      <c r="L940" s="263"/>
      <c r="M940" s="263"/>
      <c r="N940" s="263"/>
      <c r="O940" s="263"/>
      <c r="P940" s="263"/>
      <c r="Q940" s="263"/>
      <c r="R940" s="263"/>
      <c r="S940" s="263"/>
      <c r="T940" s="263"/>
      <c r="U940" s="263"/>
      <c r="V940" s="263"/>
      <c r="W940" s="263"/>
      <c r="X940" s="263"/>
      <c r="Y940" s="263"/>
      <c r="Z940" s="263"/>
      <c r="AA940" s="263"/>
      <c r="AB940" s="263"/>
    </row>
    <row r="941" spans="1:28" ht="16" x14ac:dyDescent="0.2">
      <c r="A941" s="263"/>
      <c r="B941" s="263"/>
      <c r="C941" s="309"/>
      <c r="D941" s="263"/>
      <c r="E941" s="263"/>
      <c r="F941" s="263"/>
      <c r="G941" s="263"/>
      <c r="H941" s="263"/>
      <c r="I941" s="263"/>
      <c r="J941" s="263"/>
      <c r="K941" s="263"/>
      <c r="L941" s="263"/>
      <c r="M941" s="263"/>
      <c r="N941" s="263"/>
      <c r="O941" s="263"/>
      <c r="P941" s="263"/>
      <c r="Q941" s="263"/>
      <c r="R941" s="263"/>
      <c r="S941" s="263"/>
      <c r="T941" s="263"/>
      <c r="U941" s="263"/>
      <c r="V941" s="263"/>
      <c r="W941" s="263"/>
      <c r="X941" s="263"/>
      <c r="Y941" s="263"/>
      <c r="Z941" s="263"/>
      <c r="AA941" s="263"/>
      <c r="AB941" s="263"/>
    </row>
    <row r="942" spans="1:28" ht="16" x14ac:dyDescent="0.2">
      <c r="A942" s="263"/>
      <c r="B942" s="263"/>
      <c r="C942" s="309"/>
      <c r="D942" s="263"/>
      <c r="E942" s="263"/>
      <c r="F942" s="263"/>
      <c r="G942" s="263"/>
      <c r="H942" s="263"/>
      <c r="I942" s="263"/>
      <c r="J942" s="263"/>
      <c r="K942" s="263"/>
      <c r="L942" s="263"/>
      <c r="M942" s="263"/>
      <c r="N942" s="263"/>
      <c r="O942" s="263"/>
      <c r="P942" s="263"/>
      <c r="Q942" s="263"/>
      <c r="R942" s="263"/>
      <c r="S942" s="263"/>
      <c r="T942" s="263"/>
      <c r="U942" s="263"/>
      <c r="V942" s="263"/>
      <c r="W942" s="263"/>
      <c r="X942" s="263"/>
      <c r="Y942" s="263"/>
      <c r="Z942" s="263"/>
      <c r="AA942" s="263"/>
      <c r="AB942" s="263"/>
    </row>
    <row r="943" spans="1:28" ht="16" x14ac:dyDescent="0.2">
      <c r="A943" s="263"/>
      <c r="B943" s="263"/>
      <c r="C943" s="309"/>
      <c r="D943" s="263"/>
      <c r="E943" s="263"/>
      <c r="F943" s="263"/>
      <c r="G943" s="263"/>
      <c r="H943" s="263"/>
      <c r="I943" s="263"/>
      <c r="J943" s="263"/>
      <c r="K943" s="263"/>
      <c r="L943" s="263"/>
      <c r="M943" s="263"/>
      <c r="N943" s="263"/>
      <c r="O943" s="263"/>
      <c r="P943" s="263"/>
      <c r="Q943" s="263"/>
      <c r="R943" s="263"/>
      <c r="S943" s="263"/>
      <c r="T943" s="263"/>
      <c r="U943" s="263"/>
      <c r="V943" s="263"/>
      <c r="W943" s="263"/>
      <c r="X943" s="263"/>
      <c r="Y943" s="263"/>
      <c r="Z943" s="263"/>
      <c r="AA943" s="263"/>
      <c r="AB943" s="263"/>
    </row>
    <row r="944" spans="1:28" ht="16" x14ac:dyDescent="0.2">
      <c r="A944" s="263"/>
      <c r="B944" s="263"/>
      <c r="C944" s="309"/>
      <c r="D944" s="263"/>
      <c r="E944" s="263"/>
      <c r="F944" s="263"/>
      <c r="G944" s="263"/>
      <c r="H944" s="263"/>
      <c r="I944" s="263"/>
      <c r="J944" s="263"/>
      <c r="K944" s="263"/>
      <c r="L944" s="263"/>
      <c r="M944" s="263"/>
      <c r="N944" s="263"/>
      <c r="O944" s="263"/>
      <c r="P944" s="263"/>
      <c r="Q944" s="263"/>
      <c r="R944" s="263"/>
      <c r="S944" s="263"/>
      <c r="T944" s="263"/>
      <c r="U944" s="263"/>
      <c r="V944" s="263"/>
      <c r="W944" s="263"/>
      <c r="X944" s="263"/>
      <c r="Y944" s="263"/>
      <c r="Z944" s="263"/>
      <c r="AA944" s="263"/>
      <c r="AB944" s="263"/>
    </row>
    <row r="945" spans="1:28" ht="16" x14ac:dyDescent="0.2">
      <c r="A945" s="263"/>
      <c r="B945" s="263"/>
      <c r="C945" s="309"/>
      <c r="D945" s="263"/>
      <c r="E945" s="263"/>
      <c r="F945" s="263"/>
      <c r="G945" s="263"/>
      <c r="H945" s="263"/>
      <c r="I945" s="263"/>
      <c r="J945" s="263"/>
      <c r="K945" s="263"/>
      <c r="L945" s="263"/>
      <c r="M945" s="263"/>
      <c r="N945" s="263"/>
      <c r="O945" s="263"/>
      <c r="P945" s="263"/>
      <c r="Q945" s="263"/>
      <c r="R945" s="263"/>
      <c r="S945" s="263"/>
      <c r="T945" s="263"/>
      <c r="U945" s="263"/>
      <c r="V945" s="263"/>
      <c r="W945" s="263"/>
      <c r="X945" s="263"/>
      <c r="Y945" s="263"/>
      <c r="Z945" s="263"/>
      <c r="AA945" s="263"/>
      <c r="AB945" s="263"/>
    </row>
    <row r="946" spans="1:28" ht="16" x14ac:dyDescent="0.2">
      <c r="A946" s="263"/>
      <c r="B946" s="263"/>
      <c r="C946" s="309"/>
      <c r="D946" s="263"/>
      <c r="E946" s="263"/>
      <c r="F946" s="263"/>
      <c r="G946" s="263"/>
      <c r="H946" s="263"/>
      <c r="I946" s="263"/>
      <c r="J946" s="263"/>
      <c r="K946" s="263"/>
      <c r="L946" s="263"/>
      <c r="M946" s="263"/>
      <c r="N946" s="263"/>
      <c r="O946" s="263"/>
      <c r="P946" s="263"/>
      <c r="Q946" s="263"/>
      <c r="R946" s="263"/>
      <c r="S946" s="263"/>
      <c r="T946" s="263"/>
      <c r="U946" s="263"/>
      <c r="V946" s="263"/>
      <c r="W946" s="263"/>
      <c r="X946" s="263"/>
      <c r="Y946" s="263"/>
      <c r="Z946" s="263"/>
      <c r="AA946" s="263"/>
      <c r="AB946" s="263"/>
    </row>
    <row r="947" spans="1:28" ht="16" x14ac:dyDescent="0.2">
      <c r="A947" s="263"/>
      <c r="B947" s="263"/>
      <c r="C947" s="309"/>
      <c r="D947" s="263"/>
      <c r="E947" s="263"/>
      <c r="F947" s="263"/>
      <c r="G947" s="263"/>
      <c r="H947" s="263"/>
      <c r="I947" s="263"/>
      <c r="J947" s="263"/>
      <c r="K947" s="263"/>
      <c r="L947" s="263"/>
      <c r="M947" s="263"/>
      <c r="N947" s="263"/>
      <c r="O947" s="263"/>
      <c r="P947" s="263"/>
      <c r="Q947" s="263"/>
      <c r="R947" s="263"/>
      <c r="S947" s="263"/>
      <c r="T947" s="263"/>
      <c r="U947" s="263"/>
      <c r="V947" s="263"/>
      <c r="W947" s="263"/>
      <c r="X947" s="263"/>
      <c r="Y947" s="263"/>
      <c r="Z947" s="263"/>
      <c r="AA947" s="263"/>
      <c r="AB947" s="263"/>
    </row>
    <row r="948" spans="1:28" ht="16" x14ac:dyDescent="0.2">
      <c r="A948" s="263"/>
      <c r="B948" s="263"/>
      <c r="C948" s="309"/>
      <c r="D948" s="263"/>
      <c r="E948" s="263"/>
      <c r="F948" s="263"/>
      <c r="G948" s="263"/>
      <c r="H948" s="263"/>
      <c r="I948" s="263"/>
      <c r="J948" s="263"/>
      <c r="K948" s="263"/>
      <c r="L948" s="263"/>
      <c r="M948" s="263"/>
      <c r="N948" s="263"/>
      <c r="O948" s="263"/>
      <c r="P948" s="263"/>
      <c r="Q948" s="263"/>
      <c r="R948" s="263"/>
      <c r="S948" s="263"/>
      <c r="T948" s="263"/>
      <c r="U948" s="263"/>
      <c r="V948" s="263"/>
      <c r="W948" s="263"/>
      <c r="X948" s="263"/>
      <c r="Y948" s="263"/>
      <c r="Z948" s="263"/>
      <c r="AA948" s="263"/>
      <c r="AB948" s="263"/>
    </row>
    <row r="949" spans="1:28" ht="16" x14ac:dyDescent="0.2">
      <c r="A949" s="263"/>
      <c r="B949" s="263"/>
      <c r="C949" s="309"/>
      <c r="D949" s="263"/>
      <c r="E949" s="263"/>
      <c r="F949" s="263"/>
      <c r="G949" s="263"/>
      <c r="H949" s="263"/>
      <c r="I949" s="263"/>
      <c r="J949" s="263"/>
      <c r="K949" s="263"/>
      <c r="L949" s="263"/>
      <c r="M949" s="263"/>
      <c r="N949" s="263"/>
      <c r="O949" s="263"/>
      <c r="P949" s="263"/>
      <c r="Q949" s="263"/>
      <c r="R949" s="263"/>
      <c r="S949" s="263"/>
      <c r="T949" s="263"/>
      <c r="U949" s="263"/>
      <c r="V949" s="263"/>
      <c r="W949" s="263"/>
      <c r="X949" s="263"/>
      <c r="Y949" s="263"/>
      <c r="Z949" s="263"/>
      <c r="AA949" s="263"/>
      <c r="AB949" s="263"/>
    </row>
    <row r="950" spans="1:28" ht="16" x14ac:dyDescent="0.2">
      <c r="A950" s="263"/>
      <c r="B950" s="263"/>
      <c r="C950" s="309"/>
      <c r="D950" s="263"/>
      <c r="E950" s="263"/>
      <c r="F950" s="263"/>
      <c r="G950" s="263"/>
      <c r="H950" s="263"/>
      <c r="I950" s="263"/>
      <c r="J950" s="263"/>
      <c r="K950" s="263"/>
      <c r="L950" s="263"/>
      <c r="M950" s="263"/>
      <c r="N950" s="263"/>
      <c r="O950" s="263"/>
      <c r="P950" s="263"/>
      <c r="Q950" s="263"/>
      <c r="R950" s="263"/>
      <c r="S950" s="263"/>
      <c r="T950" s="263"/>
      <c r="U950" s="263"/>
      <c r="V950" s="263"/>
      <c r="W950" s="263"/>
      <c r="X950" s="263"/>
      <c r="Y950" s="263"/>
      <c r="Z950" s="263"/>
      <c r="AA950" s="263"/>
      <c r="AB950" s="263"/>
    </row>
    <row r="951" spans="1:28" ht="16" x14ac:dyDescent="0.2">
      <c r="A951" s="263"/>
      <c r="B951" s="263"/>
      <c r="C951" s="309"/>
      <c r="D951" s="263"/>
      <c r="E951" s="263"/>
      <c r="F951" s="263"/>
      <c r="G951" s="263"/>
      <c r="H951" s="263"/>
      <c r="I951" s="263"/>
      <c r="J951" s="263"/>
      <c r="K951" s="263"/>
      <c r="L951" s="263"/>
      <c r="M951" s="263"/>
      <c r="N951" s="263"/>
      <c r="O951" s="263"/>
      <c r="P951" s="263"/>
      <c r="Q951" s="263"/>
      <c r="R951" s="263"/>
      <c r="S951" s="263"/>
      <c r="T951" s="263"/>
      <c r="U951" s="263"/>
      <c r="V951" s="263"/>
      <c r="W951" s="263"/>
      <c r="X951" s="263"/>
      <c r="Y951" s="263"/>
      <c r="Z951" s="263"/>
      <c r="AA951" s="263"/>
      <c r="AB951" s="263"/>
    </row>
    <row r="952" spans="1:28" ht="16" x14ac:dyDescent="0.2">
      <c r="A952" s="263"/>
      <c r="B952" s="263"/>
      <c r="C952" s="309"/>
      <c r="D952" s="263"/>
      <c r="E952" s="263"/>
      <c r="F952" s="263"/>
      <c r="G952" s="263"/>
      <c r="H952" s="263"/>
      <c r="I952" s="263"/>
      <c r="J952" s="263"/>
      <c r="K952" s="263"/>
      <c r="L952" s="263"/>
      <c r="M952" s="263"/>
      <c r="N952" s="263"/>
      <c r="O952" s="263"/>
      <c r="P952" s="263"/>
      <c r="Q952" s="263"/>
      <c r="R952" s="263"/>
      <c r="S952" s="263"/>
      <c r="T952" s="263"/>
      <c r="U952" s="263"/>
      <c r="V952" s="263"/>
      <c r="W952" s="263"/>
      <c r="X952" s="263"/>
      <c r="Y952" s="263"/>
      <c r="Z952" s="263"/>
      <c r="AA952" s="263"/>
      <c r="AB952" s="263"/>
    </row>
    <row r="953" spans="1:28" ht="16" x14ac:dyDescent="0.2">
      <c r="A953" s="263"/>
      <c r="B953" s="263"/>
      <c r="C953" s="309"/>
      <c r="D953" s="263"/>
      <c r="E953" s="263"/>
      <c r="F953" s="263"/>
      <c r="G953" s="263"/>
      <c r="H953" s="263"/>
      <c r="I953" s="263"/>
      <c r="J953" s="263"/>
      <c r="K953" s="263"/>
      <c r="L953" s="263"/>
      <c r="M953" s="263"/>
      <c r="N953" s="263"/>
      <c r="O953" s="263"/>
      <c r="P953" s="263"/>
      <c r="Q953" s="263"/>
      <c r="R953" s="263"/>
      <c r="S953" s="263"/>
      <c r="T953" s="263"/>
      <c r="U953" s="263"/>
      <c r="V953" s="263"/>
      <c r="W953" s="263"/>
      <c r="X953" s="263"/>
      <c r="Y953" s="263"/>
      <c r="Z953" s="263"/>
      <c r="AA953" s="263"/>
      <c r="AB953" s="263"/>
    </row>
    <row r="954" spans="1:28" ht="16" x14ac:dyDescent="0.2">
      <c r="A954" s="263"/>
      <c r="B954" s="263"/>
      <c r="C954" s="309"/>
      <c r="D954" s="263"/>
      <c r="E954" s="263"/>
      <c r="F954" s="263"/>
      <c r="G954" s="263"/>
      <c r="H954" s="263"/>
      <c r="I954" s="263"/>
      <c r="J954" s="263"/>
      <c r="K954" s="263"/>
      <c r="L954" s="263"/>
      <c r="M954" s="263"/>
      <c r="N954" s="263"/>
      <c r="O954" s="263"/>
      <c r="P954" s="263"/>
      <c r="Q954" s="263"/>
      <c r="R954" s="263"/>
      <c r="S954" s="263"/>
      <c r="T954" s="263"/>
      <c r="U954" s="263"/>
      <c r="V954" s="263"/>
      <c r="W954" s="263"/>
      <c r="X954" s="263"/>
      <c r="Y954" s="263"/>
      <c r="Z954" s="263"/>
      <c r="AA954" s="263"/>
      <c r="AB954" s="263"/>
    </row>
    <row r="955" spans="1:28" ht="16" x14ac:dyDescent="0.2">
      <c r="A955" s="263"/>
      <c r="B955" s="263"/>
      <c r="C955" s="309"/>
      <c r="D955" s="263"/>
      <c r="E955" s="263"/>
      <c r="F955" s="263"/>
      <c r="G955" s="263"/>
      <c r="H955" s="263"/>
      <c r="I955" s="263"/>
      <c r="J955" s="263"/>
      <c r="K955" s="263"/>
      <c r="L955" s="263"/>
      <c r="M955" s="263"/>
      <c r="N955" s="263"/>
      <c r="O955" s="263"/>
      <c r="P955" s="263"/>
      <c r="Q955" s="263"/>
      <c r="R955" s="263"/>
      <c r="S955" s="263"/>
      <c r="T955" s="263"/>
      <c r="U955" s="263"/>
      <c r="V955" s="263"/>
      <c r="W955" s="263"/>
      <c r="X955" s="263"/>
      <c r="Y955" s="263"/>
      <c r="Z955" s="263"/>
      <c r="AA955" s="263"/>
      <c r="AB955" s="263"/>
    </row>
    <row r="956" spans="1:28" ht="16" x14ac:dyDescent="0.2">
      <c r="A956" s="263"/>
      <c r="B956" s="263"/>
      <c r="C956" s="309"/>
      <c r="D956" s="263"/>
      <c r="E956" s="263"/>
      <c r="F956" s="263"/>
      <c r="G956" s="263"/>
      <c r="H956" s="263"/>
      <c r="I956" s="263"/>
      <c r="J956" s="263"/>
      <c r="K956" s="263"/>
      <c r="L956" s="263"/>
      <c r="M956" s="263"/>
      <c r="N956" s="263"/>
      <c r="O956" s="263"/>
      <c r="P956" s="263"/>
      <c r="Q956" s="263"/>
      <c r="R956" s="263"/>
      <c r="S956" s="263"/>
      <c r="T956" s="263"/>
      <c r="U956" s="263"/>
      <c r="V956" s="263"/>
      <c r="W956" s="263"/>
      <c r="X956" s="263"/>
      <c r="Y956" s="263"/>
      <c r="Z956" s="263"/>
      <c r="AA956" s="263"/>
      <c r="AB956" s="263"/>
    </row>
    <row r="957" spans="1:28" ht="16" x14ac:dyDescent="0.2">
      <c r="A957" s="263"/>
      <c r="B957" s="263"/>
      <c r="C957" s="309"/>
      <c r="D957" s="263"/>
      <c r="E957" s="263"/>
      <c r="F957" s="263"/>
      <c r="G957" s="263"/>
      <c r="H957" s="263"/>
      <c r="I957" s="263"/>
      <c r="J957" s="263"/>
      <c r="K957" s="263"/>
      <c r="L957" s="263"/>
      <c r="M957" s="263"/>
      <c r="N957" s="263"/>
      <c r="O957" s="263"/>
      <c r="P957" s="263"/>
      <c r="Q957" s="263"/>
      <c r="R957" s="263"/>
      <c r="S957" s="263"/>
      <c r="T957" s="263"/>
      <c r="U957" s="263"/>
      <c r="V957" s="263"/>
      <c r="W957" s="263"/>
      <c r="X957" s="263"/>
      <c r="Y957" s="263"/>
      <c r="Z957" s="263"/>
      <c r="AA957" s="263"/>
      <c r="AB957" s="263"/>
    </row>
    <row r="958" spans="1:28" ht="16" x14ac:dyDescent="0.2">
      <c r="A958" s="263"/>
      <c r="B958" s="263"/>
      <c r="C958" s="309"/>
      <c r="D958" s="263"/>
      <c r="E958" s="263"/>
      <c r="F958" s="263"/>
      <c r="G958" s="263"/>
      <c r="H958" s="263"/>
      <c r="I958" s="263"/>
      <c r="J958" s="263"/>
      <c r="K958" s="263"/>
      <c r="L958" s="263"/>
      <c r="M958" s="263"/>
      <c r="N958" s="263"/>
      <c r="O958" s="263"/>
      <c r="P958" s="263"/>
      <c r="Q958" s="263"/>
      <c r="R958" s="263"/>
      <c r="S958" s="263"/>
      <c r="T958" s="263"/>
      <c r="U958" s="263"/>
      <c r="V958" s="263"/>
      <c r="W958" s="263"/>
      <c r="X958" s="263"/>
      <c r="Y958" s="263"/>
      <c r="Z958" s="263"/>
      <c r="AA958" s="263"/>
      <c r="AB958" s="263"/>
    </row>
    <row r="959" spans="1:28" ht="16" x14ac:dyDescent="0.2">
      <c r="A959" s="263"/>
      <c r="B959" s="263"/>
      <c r="C959" s="309"/>
      <c r="D959" s="263"/>
      <c r="E959" s="263"/>
      <c r="F959" s="263"/>
      <c r="G959" s="263"/>
      <c r="H959" s="263"/>
      <c r="I959" s="263"/>
      <c r="J959" s="263"/>
      <c r="K959" s="263"/>
      <c r="L959" s="263"/>
      <c r="M959" s="263"/>
      <c r="N959" s="263"/>
      <c r="O959" s="263"/>
      <c r="P959" s="263"/>
      <c r="Q959" s="263"/>
      <c r="R959" s="263"/>
      <c r="S959" s="263"/>
      <c r="T959" s="263"/>
      <c r="U959" s="263"/>
      <c r="V959" s="263"/>
      <c r="W959" s="263"/>
      <c r="X959" s="263"/>
      <c r="Y959" s="263"/>
      <c r="Z959" s="263"/>
      <c r="AA959" s="263"/>
      <c r="AB959" s="263"/>
    </row>
    <row r="960" spans="1:28" ht="16" x14ac:dyDescent="0.2">
      <c r="A960" s="263"/>
      <c r="B960" s="263"/>
      <c r="C960" s="309"/>
      <c r="D960" s="263"/>
      <c r="E960" s="263"/>
      <c r="F960" s="263"/>
      <c r="G960" s="263"/>
      <c r="H960" s="263"/>
      <c r="I960" s="263"/>
      <c r="J960" s="263"/>
      <c r="K960" s="263"/>
      <c r="L960" s="263"/>
      <c r="M960" s="263"/>
      <c r="N960" s="263"/>
      <c r="O960" s="263"/>
      <c r="P960" s="263"/>
      <c r="Q960" s="263"/>
      <c r="R960" s="263"/>
      <c r="S960" s="263"/>
      <c r="T960" s="263"/>
      <c r="U960" s="263"/>
      <c r="V960" s="263"/>
      <c r="W960" s="263"/>
      <c r="X960" s="263"/>
      <c r="Y960" s="263"/>
      <c r="Z960" s="263"/>
      <c r="AA960" s="263"/>
      <c r="AB960" s="263"/>
    </row>
    <row r="961" spans="1:28" ht="16" x14ac:dyDescent="0.2">
      <c r="A961" s="263"/>
      <c r="B961" s="263"/>
      <c r="C961" s="309"/>
      <c r="D961" s="263"/>
      <c r="E961" s="263"/>
      <c r="F961" s="263"/>
      <c r="G961" s="263"/>
      <c r="H961" s="263"/>
      <c r="I961" s="263"/>
      <c r="J961" s="263"/>
      <c r="K961" s="263"/>
      <c r="L961" s="263"/>
      <c r="M961" s="263"/>
      <c r="N961" s="263"/>
      <c r="O961" s="263"/>
      <c r="P961" s="263"/>
      <c r="Q961" s="263"/>
      <c r="R961" s="263"/>
      <c r="S961" s="263"/>
      <c r="T961" s="263"/>
      <c r="U961" s="263"/>
      <c r="V961" s="263"/>
      <c r="W961" s="263"/>
      <c r="X961" s="263"/>
      <c r="Y961" s="263"/>
      <c r="Z961" s="263"/>
      <c r="AA961" s="263"/>
      <c r="AB961" s="263"/>
    </row>
  </sheetData>
  <mergeCells count="1">
    <mergeCell ref="A1:C1"/>
  </mergeCells>
  <conditionalFormatting sqref="D2:V2">
    <cfRule type="containsText" dxfId="3" priority="1" operator="containsText" text="OK">
      <formula>NOT(ISERROR(SEARCH(("OK"),(D2))))</formula>
    </cfRule>
    <cfRule type="containsText" dxfId="2" priority="2" operator="containsText" text="ERROR">
      <formula>NOT(ISERROR(SEARCH(("ERROR"),(D2))))</formula>
    </cfRule>
  </conditionalFormatting>
  <pageMargins left="0.70866141732283472" right="0.70866141732283472" top="0.74803149606299213" bottom="0.74803149606299213" header="0" footer="0"/>
  <pageSetup scale="78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3D0EE-7987-4BF8-89F6-4A7902F88A8B}">
  <sheetPr>
    <tabColor rgb="FF0064FF"/>
  </sheetPr>
  <dimension ref="A1:XFD22"/>
  <sheetViews>
    <sheetView showGridLines="0" zoomScale="190" workbookViewId="0">
      <selection activeCell="N6" sqref="N6"/>
    </sheetView>
  </sheetViews>
  <sheetFormatPr baseColWidth="10" defaultColWidth="8.6640625" defaultRowHeight="15" outlineLevelCol="1" x14ac:dyDescent="0.2"/>
  <cols>
    <col min="1" max="1" width="10.83203125" style="7" customWidth="1"/>
    <col min="2" max="2" width="17.6640625" style="7" hidden="1" customWidth="1" outlineLevel="1"/>
    <col min="3" max="3" width="7.83203125" style="7" hidden="1" customWidth="1" outlineLevel="1"/>
    <col min="4" max="4" width="22" style="7" hidden="1" customWidth="1" outlineLevel="1"/>
    <col min="5" max="5" width="12.6640625" style="7" hidden="1" customWidth="1" outlineLevel="1"/>
    <col min="6" max="6" width="15.6640625" style="7" hidden="1" customWidth="1" outlineLevel="1"/>
    <col min="7" max="7" width="12.6640625" style="113" hidden="1" customWidth="1" outlineLevel="1"/>
    <col min="8" max="8" width="12.5" style="7" hidden="1" customWidth="1" outlineLevel="1"/>
    <col min="9" max="9" width="4.5" style="7" hidden="1" customWidth="1" outlineLevel="1"/>
    <col min="10" max="10" width="33.6640625" style="7" bestFit="1" customWidth="1" collapsed="1"/>
    <col min="11" max="11" width="10.83203125" style="7" customWidth="1"/>
    <col min="12" max="12" width="2.33203125" style="7" customWidth="1"/>
    <col min="13" max="13" width="17.33203125" style="7" bestFit="1" customWidth="1"/>
    <col min="14" max="14" width="10.83203125" style="7" customWidth="1"/>
    <col min="15" max="15" width="8.5" style="7" bestFit="1" customWidth="1"/>
    <col min="16" max="16384" width="8.6640625" style="7"/>
  </cols>
  <sheetData>
    <row r="1" spans="1:16384" s="474" customFormat="1" ht="17" thickTop="1" thickBot="1" x14ac:dyDescent="0.25">
      <c r="A1"/>
      <c r="B1" s="552" t="s">
        <v>447</v>
      </c>
      <c r="C1" s="483" t="s">
        <v>205</v>
      </c>
      <c r="D1" s="552" t="s">
        <v>466</v>
      </c>
      <c r="E1" s="552" t="s">
        <v>470</v>
      </c>
      <c r="F1" s="552" t="s">
        <v>471</v>
      </c>
      <c r="G1" s="543" t="s">
        <v>469</v>
      </c>
      <c r="H1" s="552" t="s">
        <v>468</v>
      </c>
      <c r="J1" s="742" t="s">
        <v>244</v>
      </c>
      <c r="K1" s="743"/>
      <c r="L1" s="743"/>
      <c r="M1" s="743"/>
      <c r="N1" s="744"/>
      <c r="O1"/>
      <c r="Q1"/>
      <c r="S1"/>
      <c r="U1"/>
      <c r="W1"/>
      <c r="Y1"/>
      <c r="AA1"/>
      <c r="AC1"/>
      <c r="AE1"/>
      <c r="AG1"/>
      <c r="AI1"/>
      <c r="AK1"/>
      <c r="AM1"/>
      <c r="AO1"/>
      <c r="AQ1"/>
      <c r="AS1"/>
      <c r="AU1"/>
      <c r="AW1"/>
      <c r="AY1"/>
      <c r="BA1"/>
      <c r="BC1"/>
      <c r="BE1"/>
      <c r="BG1"/>
      <c r="BI1"/>
      <c r="BK1"/>
      <c r="BM1"/>
      <c r="BO1"/>
      <c r="BQ1"/>
      <c r="BS1"/>
      <c r="BU1"/>
      <c r="BW1"/>
      <c r="BY1"/>
      <c r="CA1"/>
      <c r="CC1"/>
      <c r="CE1"/>
      <c r="CG1"/>
      <c r="CI1"/>
      <c r="CK1"/>
      <c r="CM1"/>
      <c r="CO1"/>
      <c r="CQ1"/>
      <c r="CS1"/>
      <c r="CU1"/>
      <c r="CW1"/>
      <c r="CY1"/>
      <c r="DA1"/>
      <c r="DC1"/>
      <c r="DE1"/>
      <c r="DG1"/>
      <c r="DI1"/>
      <c r="DK1"/>
      <c r="DM1"/>
      <c r="DO1"/>
      <c r="DQ1"/>
      <c r="DS1"/>
      <c r="DU1"/>
      <c r="DW1"/>
      <c r="DY1"/>
      <c r="EA1"/>
      <c r="EC1"/>
      <c r="EE1"/>
      <c r="EG1"/>
      <c r="EI1"/>
      <c r="EK1"/>
      <c r="EM1"/>
      <c r="EO1"/>
      <c r="EQ1"/>
      <c r="ES1"/>
      <c r="EU1"/>
      <c r="EW1"/>
      <c r="EY1"/>
      <c r="FA1"/>
      <c r="FC1"/>
      <c r="FE1"/>
      <c r="FG1"/>
      <c r="FI1"/>
      <c r="FK1"/>
      <c r="FM1"/>
      <c r="FO1"/>
      <c r="FQ1"/>
      <c r="FS1"/>
      <c r="FU1"/>
      <c r="FW1"/>
      <c r="FY1"/>
      <c r="GA1"/>
      <c r="GC1"/>
      <c r="GE1"/>
      <c r="GG1"/>
      <c r="GI1"/>
      <c r="GK1"/>
      <c r="GM1"/>
      <c r="GO1"/>
      <c r="GQ1"/>
      <c r="GS1"/>
      <c r="GU1"/>
      <c r="GW1"/>
      <c r="GY1"/>
      <c r="HA1"/>
      <c r="HC1"/>
      <c r="HE1"/>
      <c r="HG1"/>
      <c r="HI1"/>
      <c r="HK1"/>
      <c r="HM1"/>
      <c r="HO1"/>
      <c r="HQ1"/>
      <c r="HS1"/>
      <c r="HU1"/>
      <c r="HW1"/>
      <c r="HY1"/>
      <c r="IA1"/>
      <c r="IC1"/>
      <c r="IE1"/>
      <c r="IG1"/>
      <c r="II1"/>
      <c r="IK1"/>
      <c r="IM1"/>
      <c r="IO1"/>
      <c r="IQ1"/>
      <c r="IS1"/>
      <c r="IU1"/>
      <c r="IW1"/>
      <c r="IY1"/>
      <c r="JA1"/>
      <c r="JC1"/>
      <c r="JE1"/>
      <c r="JG1"/>
      <c r="JI1"/>
      <c r="JK1"/>
      <c r="JM1"/>
      <c r="JO1"/>
      <c r="JQ1"/>
      <c r="JS1"/>
      <c r="JU1"/>
      <c r="JW1"/>
      <c r="JY1"/>
      <c r="KA1"/>
      <c r="KC1"/>
      <c r="KE1"/>
      <c r="KG1"/>
      <c r="KI1"/>
      <c r="KK1"/>
      <c r="KM1"/>
      <c r="KO1"/>
      <c r="KQ1"/>
      <c r="KS1"/>
      <c r="KU1"/>
      <c r="KW1"/>
      <c r="KY1"/>
      <c r="LA1"/>
      <c r="LC1"/>
      <c r="LE1"/>
      <c r="LG1"/>
      <c r="LI1"/>
      <c r="LK1"/>
      <c r="LM1"/>
      <c r="LO1"/>
      <c r="LQ1"/>
      <c r="LS1"/>
      <c r="LU1"/>
      <c r="LW1"/>
      <c r="LY1"/>
      <c r="MA1"/>
      <c r="MC1"/>
      <c r="ME1"/>
      <c r="MG1"/>
      <c r="MI1"/>
      <c r="MK1"/>
      <c r="MM1"/>
      <c r="MO1"/>
      <c r="MQ1"/>
      <c r="MS1"/>
      <c r="MU1"/>
      <c r="MW1"/>
      <c r="MY1"/>
      <c r="NA1"/>
      <c r="NC1"/>
      <c r="NE1"/>
      <c r="NG1"/>
      <c r="NI1"/>
      <c r="NK1"/>
      <c r="NM1"/>
      <c r="NO1"/>
      <c r="NQ1"/>
      <c r="NS1"/>
      <c r="NU1"/>
      <c r="NW1"/>
      <c r="NY1"/>
      <c r="OA1"/>
      <c r="OC1"/>
      <c r="OE1"/>
      <c r="OG1"/>
      <c r="OI1"/>
      <c r="OK1"/>
      <c r="OM1"/>
      <c r="OO1"/>
      <c r="OQ1"/>
      <c r="OS1"/>
      <c r="OU1"/>
      <c r="OW1"/>
      <c r="OY1"/>
      <c r="PA1"/>
      <c r="PC1"/>
      <c r="PE1"/>
      <c r="PG1"/>
      <c r="PI1"/>
      <c r="PK1"/>
      <c r="PM1"/>
      <c r="PO1"/>
      <c r="PQ1"/>
      <c r="PS1"/>
      <c r="PU1"/>
      <c r="PW1"/>
      <c r="PY1"/>
      <c r="QA1"/>
      <c r="QC1"/>
      <c r="QE1"/>
      <c r="QG1"/>
      <c r="QI1"/>
      <c r="QK1"/>
      <c r="QM1"/>
      <c r="QO1"/>
      <c r="QQ1"/>
      <c r="QS1"/>
      <c r="QU1"/>
      <c r="QW1"/>
      <c r="QY1"/>
      <c r="RA1"/>
      <c r="RC1"/>
      <c r="RE1"/>
      <c r="RG1"/>
      <c r="RI1"/>
      <c r="RK1"/>
      <c r="RM1"/>
      <c r="RO1"/>
      <c r="RQ1"/>
      <c r="RS1"/>
      <c r="RU1"/>
      <c r="RW1"/>
      <c r="RY1"/>
      <c r="SA1"/>
      <c r="SC1"/>
      <c r="SE1"/>
      <c r="SG1"/>
      <c r="SI1"/>
      <c r="SK1"/>
      <c r="SM1"/>
      <c r="SO1"/>
      <c r="SQ1"/>
      <c r="SS1"/>
      <c r="SU1"/>
      <c r="SW1"/>
      <c r="SY1"/>
      <c r="TA1"/>
      <c r="TC1"/>
      <c r="TE1"/>
      <c r="TG1"/>
      <c r="TI1"/>
      <c r="TK1"/>
      <c r="TM1"/>
      <c r="TO1"/>
      <c r="TQ1"/>
      <c r="TS1"/>
      <c r="TU1"/>
      <c r="TW1"/>
      <c r="TY1"/>
      <c r="UA1"/>
      <c r="UC1"/>
      <c r="UE1"/>
      <c r="UG1"/>
      <c r="UI1"/>
      <c r="UK1"/>
      <c r="UM1"/>
      <c r="UO1"/>
      <c r="UQ1"/>
      <c r="US1"/>
      <c r="UU1"/>
      <c r="UW1"/>
      <c r="UY1"/>
      <c r="VA1"/>
      <c r="VC1"/>
      <c r="VE1"/>
      <c r="VG1"/>
      <c r="VI1"/>
      <c r="VK1"/>
      <c r="VM1"/>
      <c r="VO1"/>
      <c r="VQ1"/>
      <c r="VS1"/>
      <c r="VU1"/>
      <c r="VW1"/>
      <c r="VY1"/>
      <c r="WA1"/>
      <c r="WC1"/>
      <c r="WE1"/>
      <c r="WG1"/>
      <c r="WI1"/>
      <c r="WK1"/>
      <c r="WM1"/>
      <c r="WO1"/>
      <c r="WQ1"/>
      <c r="WS1"/>
      <c r="WU1"/>
      <c r="WW1"/>
      <c r="WY1"/>
      <c r="XA1"/>
      <c r="XC1"/>
      <c r="XE1"/>
      <c r="XG1"/>
      <c r="XI1"/>
      <c r="XK1"/>
      <c r="XM1"/>
      <c r="XO1"/>
      <c r="XQ1"/>
      <c r="XS1"/>
      <c r="XU1"/>
      <c r="XW1"/>
      <c r="XY1"/>
      <c r="YA1"/>
      <c r="YC1"/>
      <c r="YE1"/>
      <c r="YG1"/>
      <c r="YI1"/>
      <c r="YK1"/>
      <c r="YM1"/>
      <c r="YO1"/>
      <c r="YQ1"/>
      <c r="YS1"/>
      <c r="YU1"/>
      <c r="YW1"/>
      <c r="YY1"/>
      <c r="ZA1"/>
      <c r="ZC1"/>
      <c r="ZE1"/>
      <c r="ZG1"/>
      <c r="ZI1"/>
      <c r="ZK1"/>
      <c r="ZM1"/>
      <c r="ZO1"/>
      <c r="ZQ1"/>
      <c r="ZS1"/>
      <c r="ZU1"/>
      <c r="ZW1"/>
      <c r="ZY1"/>
      <c r="AAA1"/>
      <c r="AAC1"/>
      <c r="AAE1"/>
      <c r="AAG1"/>
      <c r="AAI1"/>
      <c r="AAK1"/>
      <c r="AAM1"/>
      <c r="AAO1"/>
      <c r="AAQ1"/>
      <c r="AAS1"/>
      <c r="AAU1"/>
      <c r="AAW1"/>
      <c r="AAY1"/>
      <c r="ABA1"/>
      <c r="ABC1"/>
      <c r="ABE1"/>
      <c r="ABG1"/>
      <c r="ABI1"/>
      <c r="ABK1"/>
      <c r="ABM1"/>
      <c r="ABO1"/>
      <c r="ABQ1"/>
      <c r="ABS1"/>
      <c r="ABU1"/>
      <c r="ABW1"/>
      <c r="ABY1"/>
      <c r="ACA1"/>
      <c r="ACC1"/>
      <c r="ACE1"/>
      <c r="ACG1"/>
      <c r="ACI1"/>
      <c r="ACK1"/>
      <c r="ACM1"/>
      <c r="ACO1"/>
      <c r="ACQ1"/>
      <c r="ACS1"/>
      <c r="ACU1"/>
      <c r="ACW1"/>
      <c r="ACY1"/>
      <c r="ADA1"/>
      <c r="ADC1"/>
      <c r="ADE1"/>
      <c r="ADG1"/>
      <c r="ADI1"/>
      <c r="ADK1"/>
      <c r="ADM1"/>
      <c r="ADO1"/>
      <c r="ADQ1"/>
      <c r="ADS1"/>
      <c r="ADU1"/>
      <c r="ADW1"/>
      <c r="ADY1"/>
      <c r="AEA1"/>
      <c r="AEC1"/>
      <c r="AEE1"/>
      <c r="AEG1"/>
      <c r="AEI1"/>
      <c r="AEK1"/>
      <c r="AEM1"/>
      <c r="AEO1"/>
      <c r="AEQ1"/>
      <c r="AES1"/>
      <c r="AEU1"/>
      <c r="AEW1"/>
      <c r="AEY1"/>
      <c r="AFA1"/>
      <c r="AFC1"/>
      <c r="AFE1"/>
      <c r="AFG1"/>
      <c r="AFI1"/>
      <c r="AFK1"/>
      <c r="AFM1"/>
      <c r="AFO1"/>
      <c r="AFQ1"/>
      <c r="AFS1"/>
      <c r="AFU1"/>
      <c r="AFW1"/>
      <c r="AFY1"/>
      <c r="AGA1"/>
      <c r="AGC1"/>
      <c r="AGE1"/>
      <c r="AGG1"/>
      <c r="AGI1"/>
      <c r="AGK1"/>
      <c r="AGM1"/>
      <c r="AGO1"/>
      <c r="AGQ1"/>
      <c r="AGS1"/>
      <c r="AGU1"/>
      <c r="AGW1"/>
      <c r="AGY1"/>
      <c r="AHA1"/>
      <c r="AHC1"/>
      <c r="AHE1"/>
      <c r="AHG1"/>
      <c r="AHI1"/>
      <c r="AHK1"/>
      <c r="AHM1"/>
      <c r="AHO1"/>
      <c r="AHQ1"/>
      <c r="AHS1"/>
      <c r="AHU1"/>
      <c r="AHW1"/>
      <c r="AHY1"/>
      <c r="AIA1"/>
      <c r="AIC1"/>
      <c r="AIE1"/>
      <c r="AIG1"/>
      <c r="AII1"/>
      <c r="AIK1"/>
      <c r="AIM1"/>
      <c r="AIO1"/>
      <c r="AIQ1"/>
      <c r="AIS1"/>
      <c r="AIU1"/>
      <c r="AIW1"/>
      <c r="AIY1"/>
      <c r="AJA1"/>
      <c r="AJC1"/>
      <c r="AJE1"/>
      <c r="AJG1"/>
      <c r="AJI1"/>
      <c r="AJK1"/>
      <c r="AJM1"/>
      <c r="AJO1"/>
      <c r="AJQ1"/>
      <c r="AJS1"/>
      <c r="AJU1"/>
      <c r="AJW1"/>
      <c r="AJY1"/>
      <c r="AKA1"/>
      <c r="AKC1"/>
      <c r="AKE1"/>
      <c r="AKG1"/>
      <c r="AKI1"/>
      <c r="AKK1"/>
      <c r="AKM1"/>
      <c r="AKO1"/>
      <c r="AKQ1"/>
      <c r="AKS1"/>
      <c r="AKU1"/>
      <c r="AKW1"/>
      <c r="AKY1"/>
      <c r="ALA1"/>
      <c r="ALC1"/>
      <c r="ALE1"/>
      <c r="ALG1"/>
      <c r="ALI1"/>
      <c r="ALK1"/>
      <c r="ALM1"/>
      <c r="ALO1"/>
      <c r="ALQ1"/>
      <c r="ALS1"/>
      <c r="ALU1"/>
      <c r="ALW1"/>
      <c r="ALY1"/>
      <c r="AMA1"/>
      <c r="AMC1"/>
      <c r="AME1"/>
      <c r="AMG1"/>
      <c r="AMI1"/>
      <c r="AMK1"/>
      <c r="AMM1"/>
      <c r="AMO1"/>
      <c r="AMQ1"/>
      <c r="AMS1"/>
      <c r="AMU1"/>
      <c r="AMW1"/>
      <c r="AMY1"/>
      <c r="ANA1"/>
      <c r="ANC1"/>
      <c r="ANE1"/>
      <c r="ANG1"/>
      <c r="ANI1"/>
      <c r="ANK1"/>
      <c r="ANM1"/>
      <c r="ANO1"/>
      <c r="ANQ1"/>
      <c r="ANS1"/>
      <c r="ANU1"/>
      <c r="ANW1"/>
      <c r="ANY1"/>
      <c r="AOA1"/>
      <c r="AOC1"/>
      <c r="AOE1"/>
      <c r="AOG1"/>
      <c r="AOI1"/>
      <c r="AOK1"/>
      <c r="AOM1"/>
      <c r="AOO1"/>
      <c r="AOQ1"/>
      <c r="AOS1"/>
      <c r="AOU1"/>
      <c r="AOW1"/>
      <c r="AOY1"/>
      <c r="APA1"/>
      <c r="APC1"/>
      <c r="APE1"/>
      <c r="APG1"/>
      <c r="API1"/>
      <c r="APK1"/>
      <c r="APM1"/>
      <c r="APO1"/>
      <c r="APQ1"/>
      <c r="APS1"/>
      <c r="APU1"/>
      <c r="APW1"/>
      <c r="APY1"/>
      <c r="AQA1"/>
      <c r="AQC1"/>
      <c r="AQE1"/>
      <c r="AQG1"/>
      <c r="AQI1"/>
      <c r="AQK1"/>
      <c r="AQM1"/>
      <c r="AQO1"/>
      <c r="AQQ1"/>
      <c r="AQS1"/>
      <c r="AQU1"/>
      <c r="AQW1"/>
      <c r="AQY1"/>
      <c r="ARA1"/>
      <c r="ARC1"/>
      <c r="ARE1"/>
      <c r="ARG1"/>
      <c r="ARI1"/>
      <c r="ARK1"/>
      <c r="ARM1"/>
      <c r="ARO1"/>
      <c r="ARQ1"/>
      <c r="ARS1"/>
      <c r="ARU1"/>
      <c r="ARW1"/>
      <c r="ARY1"/>
      <c r="ASA1"/>
      <c r="ASC1"/>
      <c r="ASE1"/>
      <c r="ASG1"/>
      <c r="ASI1"/>
      <c r="ASK1"/>
      <c r="ASM1"/>
      <c r="ASO1"/>
      <c r="ASQ1"/>
      <c r="ASS1"/>
      <c r="ASU1"/>
      <c r="ASW1"/>
      <c r="ASY1"/>
      <c r="ATA1"/>
      <c r="ATC1"/>
      <c r="ATE1"/>
      <c r="ATG1"/>
      <c r="ATI1"/>
      <c r="ATK1"/>
      <c r="ATM1"/>
      <c r="ATO1"/>
      <c r="ATQ1"/>
      <c r="ATS1"/>
      <c r="ATU1"/>
      <c r="ATW1"/>
      <c r="ATY1"/>
      <c r="AUA1"/>
      <c r="AUC1"/>
      <c r="AUE1"/>
      <c r="AUG1"/>
      <c r="AUI1"/>
      <c r="AUK1"/>
      <c r="AUM1"/>
      <c r="AUO1"/>
      <c r="AUQ1"/>
      <c r="AUS1"/>
      <c r="AUU1"/>
      <c r="AUW1"/>
      <c r="AUY1"/>
      <c r="AVA1"/>
      <c r="AVC1"/>
      <c r="AVE1"/>
      <c r="AVG1"/>
      <c r="AVI1"/>
      <c r="AVK1"/>
      <c r="AVM1"/>
      <c r="AVO1"/>
      <c r="AVQ1"/>
      <c r="AVS1"/>
      <c r="AVU1"/>
      <c r="AVW1"/>
      <c r="AVY1"/>
      <c r="AWA1"/>
      <c r="AWC1"/>
      <c r="AWE1"/>
      <c r="AWG1"/>
      <c r="AWI1"/>
      <c r="AWK1"/>
      <c r="AWM1"/>
      <c r="AWO1"/>
      <c r="AWQ1"/>
      <c r="AWS1"/>
      <c r="AWU1"/>
      <c r="AWW1"/>
      <c r="AWY1"/>
      <c r="AXA1"/>
      <c r="AXC1"/>
      <c r="AXE1"/>
      <c r="AXG1"/>
      <c r="AXI1"/>
      <c r="AXK1"/>
      <c r="AXM1"/>
      <c r="AXO1"/>
      <c r="AXQ1"/>
      <c r="AXS1"/>
      <c r="AXU1"/>
      <c r="AXW1"/>
      <c r="AXY1"/>
      <c r="AYA1"/>
      <c r="AYC1"/>
      <c r="AYE1"/>
      <c r="AYG1"/>
      <c r="AYI1"/>
      <c r="AYK1"/>
      <c r="AYM1"/>
      <c r="AYO1"/>
      <c r="AYQ1"/>
      <c r="AYS1"/>
      <c r="AYU1"/>
      <c r="AYW1"/>
      <c r="AYY1"/>
      <c r="AZA1"/>
      <c r="AZC1"/>
      <c r="AZE1"/>
      <c r="AZG1"/>
      <c r="AZI1"/>
      <c r="AZK1"/>
      <c r="AZM1"/>
      <c r="AZO1"/>
      <c r="AZQ1"/>
      <c r="AZS1"/>
      <c r="AZU1"/>
      <c r="AZW1"/>
      <c r="AZY1"/>
      <c r="BAA1"/>
      <c r="BAC1"/>
      <c r="BAE1"/>
      <c r="BAG1"/>
      <c r="BAI1"/>
      <c r="BAK1"/>
      <c r="BAM1"/>
      <c r="BAO1"/>
      <c r="BAQ1"/>
      <c r="BAS1"/>
      <c r="BAU1"/>
      <c r="BAW1"/>
      <c r="BAY1"/>
      <c r="BBA1"/>
      <c r="BBC1"/>
      <c r="BBE1"/>
      <c r="BBG1"/>
      <c r="BBI1"/>
      <c r="BBK1"/>
      <c r="BBM1"/>
      <c r="BBO1"/>
      <c r="BBQ1"/>
      <c r="BBS1"/>
      <c r="BBU1"/>
      <c r="BBW1"/>
      <c r="BBY1"/>
      <c r="BCA1"/>
      <c r="BCC1"/>
      <c r="BCE1"/>
      <c r="BCG1"/>
      <c r="BCI1"/>
      <c r="BCK1"/>
      <c r="BCM1"/>
      <c r="BCO1"/>
      <c r="BCQ1"/>
      <c r="BCS1"/>
      <c r="BCU1"/>
      <c r="BCW1"/>
      <c r="BCY1"/>
      <c r="BDA1"/>
      <c r="BDC1"/>
      <c r="BDE1"/>
      <c r="BDG1"/>
      <c r="BDI1"/>
      <c r="BDK1"/>
      <c r="BDM1"/>
      <c r="BDO1"/>
      <c r="BDQ1"/>
      <c r="BDS1"/>
      <c r="BDU1"/>
      <c r="BDW1"/>
      <c r="BDY1"/>
      <c r="BEA1"/>
      <c r="BEC1"/>
      <c r="BEE1"/>
      <c r="BEG1"/>
      <c r="BEI1"/>
      <c r="BEK1"/>
      <c r="BEM1"/>
      <c r="BEO1"/>
      <c r="BEQ1"/>
      <c r="BES1"/>
      <c r="BEU1"/>
      <c r="BEW1"/>
      <c r="BEY1"/>
      <c r="BFA1"/>
      <c r="BFC1"/>
      <c r="BFE1"/>
      <c r="BFG1"/>
      <c r="BFI1"/>
      <c r="BFK1"/>
      <c r="BFM1"/>
      <c r="BFO1"/>
      <c r="BFQ1"/>
      <c r="BFS1"/>
      <c r="BFU1"/>
      <c r="BFW1"/>
      <c r="BFY1"/>
      <c r="BGA1"/>
      <c r="BGC1"/>
      <c r="BGE1"/>
      <c r="BGG1"/>
      <c r="BGI1"/>
      <c r="BGK1"/>
      <c r="BGM1"/>
      <c r="BGO1"/>
      <c r="BGQ1"/>
      <c r="BGS1"/>
      <c r="BGU1"/>
      <c r="BGW1"/>
      <c r="BGY1"/>
      <c r="BHA1"/>
      <c r="BHC1"/>
      <c r="BHE1"/>
      <c r="BHG1"/>
      <c r="BHI1"/>
      <c r="BHK1"/>
      <c r="BHM1"/>
      <c r="BHO1"/>
      <c r="BHQ1"/>
      <c r="BHS1"/>
      <c r="BHU1"/>
      <c r="BHW1"/>
      <c r="BHY1"/>
      <c r="BIA1"/>
      <c r="BIC1"/>
      <c r="BIE1"/>
      <c r="BIG1"/>
      <c r="BII1"/>
      <c r="BIK1"/>
      <c r="BIM1"/>
      <c r="BIO1"/>
      <c r="BIQ1"/>
      <c r="BIS1"/>
      <c r="BIU1"/>
      <c r="BIW1"/>
      <c r="BIY1"/>
      <c r="BJA1"/>
      <c r="BJC1"/>
      <c r="BJE1"/>
      <c r="BJG1"/>
      <c r="BJI1"/>
      <c r="BJK1"/>
      <c r="BJM1"/>
      <c r="BJO1"/>
      <c r="BJQ1"/>
      <c r="BJS1"/>
      <c r="BJU1"/>
      <c r="BJW1"/>
      <c r="BJY1"/>
      <c r="BKA1"/>
      <c r="BKC1"/>
      <c r="BKE1"/>
      <c r="BKG1"/>
      <c r="BKI1"/>
      <c r="BKK1"/>
      <c r="BKM1"/>
      <c r="BKO1"/>
      <c r="BKQ1"/>
      <c r="BKS1"/>
      <c r="BKU1"/>
      <c r="BKW1"/>
      <c r="BKY1"/>
      <c r="BLA1"/>
      <c r="BLC1"/>
      <c r="BLE1"/>
      <c r="BLG1"/>
      <c r="BLI1"/>
      <c r="BLK1"/>
      <c r="BLM1"/>
      <c r="BLO1"/>
      <c r="BLQ1"/>
      <c r="BLS1"/>
      <c r="BLU1"/>
      <c r="BLW1"/>
      <c r="BLY1"/>
      <c r="BMA1"/>
      <c r="BMC1"/>
      <c r="BME1"/>
      <c r="BMG1"/>
      <c r="BMI1"/>
      <c r="BMK1"/>
      <c r="BMM1"/>
      <c r="BMO1"/>
      <c r="BMQ1"/>
      <c r="BMS1"/>
      <c r="BMU1"/>
      <c r="BMW1"/>
      <c r="BMY1"/>
      <c r="BNA1"/>
      <c r="BNC1"/>
      <c r="BNE1"/>
      <c r="BNG1"/>
      <c r="BNI1"/>
      <c r="BNK1"/>
      <c r="BNM1"/>
      <c r="BNO1"/>
      <c r="BNQ1"/>
      <c r="BNS1"/>
      <c r="BNU1"/>
      <c r="BNW1"/>
      <c r="BNY1"/>
      <c r="BOA1"/>
      <c r="BOC1"/>
      <c r="BOE1"/>
      <c r="BOG1"/>
      <c r="BOI1"/>
      <c r="BOK1"/>
      <c r="BOM1"/>
      <c r="BOO1"/>
      <c r="BOQ1"/>
      <c r="BOS1"/>
      <c r="BOU1"/>
      <c r="BOW1"/>
      <c r="BOY1"/>
      <c r="BPA1"/>
      <c r="BPC1"/>
      <c r="BPE1"/>
      <c r="BPG1"/>
      <c r="BPI1"/>
      <c r="BPK1"/>
      <c r="BPM1"/>
      <c r="BPO1"/>
      <c r="BPQ1"/>
      <c r="BPS1"/>
      <c r="BPU1"/>
      <c r="BPW1"/>
      <c r="BPY1"/>
      <c r="BQA1"/>
      <c r="BQC1"/>
      <c r="BQE1"/>
      <c r="BQG1"/>
      <c r="BQI1"/>
      <c r="BQK1"/>
      <c r="BQM1"/>
      <c r="BQO1"/>
      <c r="BQQ1"/>
      <c r="BQS1"/>
      <c r="BQU1"/>
      <c r="BQW1"/>
      <c r="BQY1"/>
      <c r="BRA1"/>
      <c r="BRC1"/>
      <c r="BRE1"/>
      <c r="BRG1"/>
      <c r="BRI1"/>
      <c r="BRK1"/>
      <c r="BRM1"/>
      <c r="BRO1"/>
      <c r="BRQ1"/>
      <c r="BRS1"/>
      <c r="BRU1"/>
      <c r="BRW1"/>
      <c r="BRY1"/>
      <c r="BSA1"/>
      <c r="BSC1"/>
      <c r="BSE1"/>
      <c r="BSG1"/>
      <c r="BSI1"/>
      <c r="BSK1"/>
      <c r="BSM1"/>
      <c r="BSO1"/>
      <c r="BSQ1"/>
      <c r="BSS1"/>
      <c r="BSU1"/>
      <c r="BSW1"/>
      <c r="BSY1"/>
      <c r="BTA1"/>
      <c r="BTC1"/>
      <c r="BTE1"/>
      <c r="BTG1"/>
      <c r="BTI1"/>
      <c r="BTK1"/>
      <c r="BTM1"/>
      <c r="BTO1"/>
      <c r="BTQ1"/>
      <c r="BTS1"/>
      <c r="BTU1"/>
      <c r="BTW1"/>
      <c r="BTY1"/>
      <c r="BUA1"/>
      <c r="BUC1"/>
      <c r="BUE1"/>
      <c r="BUG1"/>
      <c r="BUI1"/>
      <c r="BUK1"/>
      <c r="BUM1"/>
      <c r="BUO1"/>
      <c r="BUQ1"/>
      <c r="BUS1"/>
      <c r="BUU1"/>
      <c r="BUW1"/>
      <c r="BUY1"/>
      <c r="BVA1"/>
      <c r="BVC1"/>
      <c r="BVE1"/>
      <c r="BVG1"/>
      <c r="BVI1"/>
      <c r="BVK1"/>
      <c r="BVM1"/>
      <c r="BVO1"/>
      <c r="BVQ1"/>
      <c r="BVS1"/>
      <c r="BVU1"/>
      <c r="BVW1"/>
      <c r="BVY1"/>
      <c r="BWA1"/>
      <c r="BWC1"/>
      <c r="BWE1"/>
      <c r="BWG1"/>
      <c r="BWI1"/>
      <c r="BWK1"/>
      <c r="BWM1"/>
      <c r="BWO1"/>
      <c r="BWQ1"/>
      <c r="BWS1"/>
      <c r="BWU1"/>
      <c r="BWW1"/>
      <c r="BWY1"/>
      <c r="BXA1"/>
      <c r="BXC1"/>
      <c r="BXE1"/>
      <c r="BXG1"/>
      <c r="BXI1"/>
      <c r="BXK1"/>
      <c r="BXM1"/>
      <c r="BXO1"/>
      <c r="BXQ1"/>
      <c r="BXS1"/>
      <c r="BXU1"/>
      <c r="BXW1"/>
      <c r="BXY1"/>
      <c r="BYA1"/>
      <c r="BYC1"/>
      <c r="BYE1"/>
      <c r="BYG1"/>
      <c r="BYI1"/>
      <c r="BYK1"/>
      <c r="BYM1"/>
      <c r="BYO1"/>
      <c r="BYQ1"/>
      <c r="BYS1"/>
      <c r="BYU1"/>
      <c r="BYW1"/>
      <c r="BYY1"/>
      <c r="BZA1"/>
      <c r="BZC1"/>
      <c r="BZE1"/>
      <c r="BZG1"/>
      <c r="BZI1"/>
      <c r="BZK1"/>
      <c r="BZM1"/>
      <c r="BZO1"/>
      <c r="BZQ1"/>
      <c r="BZS1"/>
      <c r="BZU1"/>
      <c r="BZW1"/>
      <c r="BZY1"/>
      <c r="CAA1"/>
      <c r="CAC1"/>
      <c r="CAE1"/>
      <c r="CAG1"/>
      <c r="CAI1"/>
      <c r="CAK1"/>
      <c r="CAM1"/>
      <c r="CAO1"/>
      <c r="CAQ1"/>
      <c r="CAS1"/>
      <c r="CAU1"/>
      <c r="CAW1"/>
      <c r="CAY1"/>
      <c r="CBA1"/>
      <c r="CBC1"/>
      <c r="CBE1"/>
      <c r="CBG1"/>
      <c r="CBI1"/>
      <c r="CBK1"/>
      <c r="CBM1"/>
      <c r="CBO1"/>
      <c r="CBQ1"/>
      <c r="CBS1"/>
      <c r="CBU1"/>
      <c r="CBW1"/>
      <c r="CBY1"/>
      <c r="CCA1"/>
      <c r="CCC1"/>
      <c r="CCE1"/>
      <c r="CCG1"/>
      <c r="CCI1"/>
      <c r="CCK1"/>
      <c r="CCM1"/>
      <c r="CCO1"/>
      <c r="CCQ1"/>
      <c r="CCS1"/>
      <c r="CCU1"/>
      <c r="CCW1"/>
      <c r="CCY1"/>
      <c r="CDA1"/>
      <c r="CDC1"/>
      <c r="CDE1"/>
      <c r="CDG1"/>
      <c r="CDI1"/>
      <c r="CDK1"/>
      <c r="CDM1"/>
      <c r="CDO1"/>
      <c r="CDQ1"/>
      <c r="CDS1"/>
      <c r="CDU1"/>
      <c r="CDW1"/>
      <c r="CDY1"/>
      <c r="CEA1"/>
      <c r="CEC1"/>
      <c r="CEE1"/>
      <c r="CEG1"/>
      <c r="CEI1"/>
      <c r="CEK1"/>
      <c r="CEM1"/>
      <c r="CEO1"/>
      <c r="CEQ1"/>
      <c r="CES1"/>
      <c r="CEU1"/>
      <c r="CEW1"/>
      <c r="CEY1"/>
      <c r="CFA1"/>
      <c r="CFC1"/>
      <c r="CFE1"/>
      <c r="CFG1"/>
      <c r="CFI1"/>
      <c r="CFK1"/>
      <c r="CFM1"/>
      <c r="CFO1"/>
      <c r="CFQ1"/>
      <c r="CFS1"/>
      <c r="CFU1"/>
      <c r="CFW1"/>
      <c r="CFY1"/>
      <c r="CGA1"/>
      <c r="CGC1"/>
      <c r="CGE1"/>
      <c r="CGG1"/>
      <c r="CGI1"/>
      <c r="CGK1"/>
      <c r="CGM1"/>
      <c r="CGO1"/>
      <c r="CGQ1"/>
      <c r="CGS1"/>
      <c r="CGU1"/>
      <c r="CGW1"/>
      <c r="CGY1"/>
      <c r="CHA1"/>
      <c r="CHC1"/>
      <c r="CHE1"/>
      <c r="CHG1"/>
      <c r="CHI1"/>
      <c r="CHK1"/>
      <c r="CHM1"/>
      <c r="CHO1"/>
      <c r="CHQ1"/>
      <c r="CHS1"/>
      <c r="CHU1"/>
      <c r="CHW1"/>
      <c r="CHY1"/>
      <c r="CIA1"/>
      <c r="CIC1"/>
      <c r="CIE1"/>
      <c r="CIG1"/>
      <c r="CII1"/>
      <c r="CIK1"/>
      <c r="CIM1"/>
      <c r="CIO1"/>
      <c r="CIQ1"/>
      <c r="CIS1"/>
      <c r="CIU1"/>
      <c r="CIW1"/>
      <c r="CIY1"/>
      <c r="CJA1"/>
      <c r="CJC1"/>
      <c r="CJE1"/>
      <c r="CJG1"/>
      <c r="CJI1"/>
      <c r="CJK1"/>
      <c r="CJM1"/>
      <c r="CJO1"/>
      <c r="CJQ1"/>
      <c r="CJS1"/>
      <c r="CJU1"/>
      <c r="CJW1"/>
      <c r="CJY1"/>
      <c r="CKA1"/>
      <c r="CKC1"/>
      <c r="CKE1"/>
      <c r="CKG1"/>
      <c r="CKI1"/>
      <c r="CKK1"/>
      <c r="CKM1"/>
      <c r="CKO1"/>
      <c r="CKQ1"/>
      <c r="CKS1"/>
      <c r="CKU1"/>
      <c r="CKW1"/>
      <c r="CKY1"/>
      <c r="CLA1"/>
      <c r="CLC1"/>
      <c r="CLE1"/>
      <c r="CLG1"/>
      <c r="CLI1"/>
      <c r="CLK1"/>
      <c r="CLM1"/>
      <c r="CLO1"/>
      <c r="CLQ1"/>
      <c r="CLS1"/>
      <c r="CLU1"/>
      <c r="CLW1"/>
      <c r="CLY1"/>
      <c r="CMA1"/>
      <c r="CMC1"/>
      <c r="CME1"/>
      <c r="CMG1"/>
      <c r="CMI1"/>
      <c r="CMK1"/>
      <c r="CMM1"/>
      <c r="CMO1"/>
      <c r="CMQ1"/>
      <c r="CMS1"/>
      <c r="CMU1"/>
      <c r="CMW1"/>
      <c r="CMY1"/>
      <c r="CNA1"/>
      <c r="CNC1"/>
      <c r="CNE1"/>
      <c r="CNG1"/>
      <c r="CNI1"/>
      <c r="CNK1"/>
      <c r="CNM1"/>
      <c r="CNO1"/>
      <c r="CNQ1"/>
      <c r="CNS1"/>
      <c r="CNU1"/>
      <c r="CNW1"/>
      <c r="CNY1"/>
      <c r="COA1"/>
      <c r="COC1"/>
      <c r="COE1"/>
      <c r="COG1"/>
      <c r="COI1"/>
      <c r="COK1"/>
      <c r="COM1"/>
      <c r="COO1"/>
      <c r="COQ1"/>
      <c r="COS1"/>
      <c r="COU1"/>
      <c r="COW1"/>
      <c r="COY1"/>
      <c r="CPA1"/>
      <c r="CPC1"/>
      <c r="CPE1"/>
      <c r="CPG1"/>
      <c r="CPI1"/>
      <c r="CPK1"/>
      <c r="CPM1"/>
      <c r="CPO1"/>
      <c r="CPQ1"/>
      <c r="CPS1"/>
      <c r="CPU1"/>
      <c r="CPW1"/>
      <c r="CPY1"/>
      <c r="CQA1"/>
      <c r="CQC1"/>
      <c r="CQE1"/>
      <c r="CQG1"/>
      <c r="CQI1"/>
      <c r="CQK1"/>
      <c r="CQM1"/>
      <c r="CQO1"/>
      <c r="CQQ1"/>
      <c r="CQS1"/>
      <c r="CQU1"/>
      <c r="CQW1"/>
      <c r="CQY1"/>
      <c r="CRA1"/>
      <c r="CRC1"/>
      <c r="CRE1"/>
      <c r="CRG1"/>
      <c r="CRI1"/>
      <c r="CRK1"/>
      <c r="CRM1"/>
      <c r="CRO1"/>
      <c r="CRQ1"/>
      <c r="CRS1"/>
      <c r="CRU1"/>
      <c r="CRW1"/>
      <c r="CRY1"/>
      <c r="CSA1"/>
      <c r="CSC1"/>
      <c r="CSE1"/>
      <c r="CSG1"/>
      <c r="CSI1"/>
      <c r="CSK1"/>
      <c r="CSM1"/>
      <c r="CSO1"/>
      <c r="CSQ1"/>
      <c r="CSS1"/>
      <c r="CSU1"/>
      <c r="CSW1"/>
      <c r="CSY1"/>
      <c r="CTA1"/>
      <c r="CTC1"/>
      <c r="CTE1"/>
      <c r="CTG1"/>
      <c r="CTI1"/>
      <c r="CTK1"/>
      <c r="CTM1"/>
      <c r="CTO1"/>
      <c r="CTQ1"/>
      <c r="CTS1"/>
      <c r="CTU1"/>
      <c r="CTW1"/>
      <c r="CTY1"/>
      <c r="CUA1"/>
      <c r="CUC1"/>
      <c r="CUE1"/>
      <c r="CUG1"/>
      <c r="CUI1"/>
      <c r="CUK1"/>
      <c r="CUM1"/>
      <c r="CUO1"/>
      <c r="CUQ1"/>
      <c r="CUS1"/>
      <c r="CUU1"/>
      <c r="CUW1"/>
      <c r="CUY1"/>
      <c r="CVA1"/>
      <c r="CVC1"/>
      <c r="CVE1"/>
      <c r="CVG1"/>
      <c r="CVI1"/>
      <c r="CVK1"/>
      <c r="CVM1"/>
      <c r="CVO1"/>
      <c r="CVQ1"/>
      <c r="CVS1"/>
      <c r="CVU1"/>
      <c r="CVW1"/>
      <c r="CVY1"/>
      <c r="CWA1"/>
      <c r="CWC1"/>
      <c r="CWE1"/>
      <c r="CWG1"/>
      <c r="CWI1"/>
      <c r="CWK1"/>
      <c r="CWM1"/>
      <c r="CWO1"/>
      <c r="CWQ1"/>
      <c r="CWS1"/>
      <c r="CWU1"/>
      <c r="CWW1"/>
      <c r="CWY1"/>
      <c r="CXA1"/>
      <c r="CXC1"/>
      <c r="CXE1"/>
      <c r="CXG1"/>
      <c r="CXI1"/>
      <c r="CXK1"/>
      <c r="CXM1"/>
      <c r="CXO1"/>
      <c r="CXQ1"/>
      <c r="CXS1"/>
      <c r="CXU1"/>
      <c r="CXW1"/>
      <c r="CXY1"/>
      <c r="CYA1"/>
      <c r="CYC1"/>
      <c r="CYE1"/>
      <c r="CYG1"/>
      <c r="CYI1"/>
      <c r="CYK1"/>
      <c r="CYM1"/>
      <c r="CYO1"/>
      <c r="CYQ1"/>
      <c r="CYS1"/>
      <c r="CYU1"/>
      <c r="CYW1"/>
      <c r="CYY1"/>
      <c r="CZA1"/>
      <c r="CZC1"/>
      <c r="CZE1"/>
      <c r="CZG1"/>
      <c r="CZI1"/>
      <c r="CZK1"/>
      <c r="CZM1"/>
      <c r="CZO1"/>
      <c r="CZQ1"/>
      <c r="CZS1"/>
      <c r="CZU1"/>
      <c r="CZW1"/>
      <c r="CZY1"/>
      <c r="DAA1"/>
      <c r="DAC1"/>
      <c r="DAE1"/>
      <c r="DAG1"/>
      <c r="DAI1"/>
      <c r="DAK1"/>
      <c r="DAM1"/>
      <c r="DAO1"/>
      <c r="DAQ1"/>
      <c r="DAS1"/>
      <c r="DAU1"/>
      <c r="DAW1"/>
      <c r="DAY1"/>
      <c r="DBA1"/>
      <c r="DBC1"/>
      <c r="DBE1"/>
      <c r="DBG1"/>
      <c r="DBI1"/>
      <c r="DBK1"/>
      <c r="DBM1"/>
      <c r="DBO1"/>
      <c r="DBQ1"/>
      <c r="DBS1"/>
      <c r="DBU1"/>
      <c r="DBW1"/>
      <c r="DBY1"/>
      <c r="DCA1"/>
      <c r="DCC1"/>
      <c r="DCE1"/>
      <c r="DCG1"/>
      <c r="DCI1"/>
      <c r="DCK1"/>
      <c r="DCM1"/>
      <c r="DCO1"/>
      <c r="DCQ1"/>
      <c r="DCS1"/>
      <c r="DCU1"/>
      <c r="DCW1"/>
      <c r="DCY1"/>
      <c r="DDA1"/>
      <c r="DDC1"/>
      <c r="DDE1"/>
      <c r="DDG1"/>
      <c r="DDI1"/>
      <c r="DDK1"/>
      <c r="DDM1"/>
      <c r="DDO1"/>
      <c r="DDQ1"/>
      <c r="DDS1"/>
      <c r="DDU1"/>
      <c r="DDW1"/>
      <c r="DDY1"/>
      <c r="DEA1"/>
      <c r="DEC1"/>
      <c r="DEE1"/>
      <c r="DEG1"/>
      <c r="DEI1"/>
      <c r="DEK1"/>
      <c r="DEM1"/>
      <c r="DEO1"/>
      <c r="DEQ1"/>
      <c r="DES1"/>
      <c r="DEU1"/>
      <c r="DEW1"/>
      <c r="DEY1"/>
      <c r="DFA1"/>
      <c r="DFC1"/>
      <c r="DFE1"/>
      <c r="DFG1"/>
      <c r="DFI1"/>
      <c r="DFK1"/>
      <c r="DFM1"/>
      <c r="DFO1"/>
      <c r="DFQ1"/>
      <c r="DFS1"/>
      <c r="DFU1"/>
      <c r="DFW1"/>
      <c r="DFY1"/>
      <c r="DGA1"/>
      <c r="DGC1"/>
      <c r="DGE1"/>
      <c r="DGG1"/>
      <c r="DGI1"/>
      <c r="DGK1"/>
      <c r="DGM1"/>
      <c r="DGO1"/>
      <c r="DGQ1"/>
      <c r="DGS1"/>
      <c r="DGU1"/>
      <c r="DGW1"/>
      <c r="DGY1"/>
      <c r="DHA1"/>
      <c r="DHC1"/>
      <c r="DHE1"/>
      <c r="DHG1"/>
      <c r="DHI1"/>
      <c r="DHK1"/>
      <c r="DHM1"/>
      <c r="DHO1"/>
      <c r="DHQ1"/>
      <c r="DHS1"/>
      <c r="DHU1"/>
      <c r="DHW1"/>
      <c r="DHY1"/>
      <c r="DIA1"/>
      <c r="DIC1"/>
      <c r="DIE1"/>
      <c r="DIG1"/>
      <c r="DII1"/>
      <c r="DIK1"/>
      <c r="DIM1"/>
      <c r="DIO1"/>
      <c r="DIQ1"/>
      <c r="DIS1"/>
      <c r="DIU1"/>
      <c r="DIW1"/>
      <c r="DIY1"/>
      <c r="DJA1"/>
      <c r="DJC1"/>
      <c r="DJE1"/>
      <c r="DJG1"/>
      <c r="DJI1"/>
      <c r="DJK1"/>
      <c r="DJM1"/>
      <c r="DJO1"/>
      <c r="DJQ1"/>
      <c r="DJS1"/>
      <c r="DJU1"/>
      <c r="DJW1"/>
      <c r="DJY1"/>
      <c r="DKA1"/>
      <c r="DKC1"/>
      <c r="DKE1"/>
      <c r="DKG1"/>
      <c r="DKI1"/>
      <c r="DKK1"/>
      <c r="DKM1"/>
      <c r="DKO1"/>
      <c r="DKQ1"/>
      <c r="DKS1"/>
      <c r="DKU1"/>
      <c r="DKW1"/>
      <c r="DKY1"/>
      <c r="DLA1"/>
      <c r="DLC1"/>
      <c r="DLE1"/>
      <c r="DLG1"/>
      <c r="DLI1"/>
      <c r="DLK1"/>
      <c r="DLM1"/>
      <c r="DLO1"/>
      <c r="DLQ1"/>
      <c r="DLS1"/>
      <c r="DLU1"/>
      <c r="DLW1"/>
      <c r="DLY1"/>
      <c r="DMA1"/>
      <c r="DMC1"/>
      <c r="DME1"/>
      <c r="DMG1"/>
      <c r="DMI1"/>
      <c r="DMK1"/>
      <c r="DMM1"/>
      <c r="DMO1"/>
      <c r="DMQ1"/>
      <c r="DMS1"/>
      <c r="DMU1"/>
      <c r="DMW1"/>
      <c r="DMY1"/>
      <c r="DNA1"/>
      <c r="DNC1"/>
      <c r="DNE1"/>
      <c r="DNG1"/>
      <c r="DNI1"/>
      <c r="DNK1"/>
      <c r="DNM1"/>
      <c r="DNO1"/>
      <c r="DNQ1"/>
      <c r="DNS1"/>
      <c r="DNU1"/>
      <c r="DNW1"/>
      <c r="DNY1"/>
      <c r="DOA1"/>
      <c r="DOC1"/>
      <c r="DOE1"/>
      <c r="DOG1"/>
      <c r="DOI1"/>
      <c r="DOK1"/>
      <c r="DOM1"/>
      <c r="DOO1"/>
      <c r="DOQ1"/>
      <c r="DOS1"/>
      <c r="DOU1"/>
      <c r="DOW1"/>
      <c r="DOY1"/>
      <c r="DPA1"/>
      <c r="DPC1"/>
      <c r="DPE1"/>
      <c r="DPG1"/>
      <c r="DPI1"/>
      <c r="DPK1"/>
      <c r="DPM1"/>
      <c r="DPO1"/>
      <c r="DPQ1"/>
      <c r="DPS1"/>
      <c r="DPU1"/>
      <c r="DPW1"/>
      <c r="DPY1"/>
      <c r="DQA1"/>
      <c r="DQC1"/>
      <c r="DQE1"/>
      <c r="DQG1"/>
      <c r="DQI1"/>
      <c r="DQK1"/>
      <c r="DQM1"/>
      <c r="DQO1"/>
      <c r="DQQ1"/>
      <c r="DQS1"/>
      <c r="DQU1"/>
      <c r="DQW1"/>
      <c r="DQY1"/>
      <c r="DRA1"/>
      <c r="DRC1"/>
      <c r="DRE1"/>
      <c r="DRG1"/>
      <c r="DRI1"/>
      <c r="DRK1"/>
      <c r="DRM1"/>
      <c r="DRO1"/>
      <c r="DRQ1"/>
      <c r="DRS1"/>
      <c r="DRU1"/>
      <c r="DRW1"/>
      <c r="DRY1"/>
      <c r="DSA1"/>
      <c r="DSC1"/>
      <c r="DSE1"/>
      <c r="DSG1"/>
      <c r="DSI1"/>
      <c r="DSK1"/>
      <c r="DSM1"/>
      <c r="DSO1"/>
      <c r="DSQ1"/>
      <c r="DSS1"/>
      <c r="DSU1"/>
      <c r="DSW1"/>
      <c r="DSY1"/>
      <c r="DTA1"/>
      <c r="DTC1"/>
      <c r="DTE1"/>
      <c r="DTG1"/>
      <c r="DTI1"/>
      <c r="DTK1"/>
      <c r="DTM1"/>
      <c r="DTO1"/>
      <c r="DTQ1"/>
      <c r="DTS1"/>
      <c r="DTU1"/>
      <c r="DTW1"/>
      <c r="DTY1"/>
      <c r="DUA1"/>
      <c r="DUC1"/>
      <c r="DUE1"/>
      <c r="DUG1"/>
      <c r="DUI1"/>
      <c r="DUK1"/>
      <c r="DUM1"/>
      <c r="DUO1"/>
      <c r="DUQ1"/>
      <c r="DUS1"/>
      <c r="DUU1"/>
      <c r="DUW1"/>
      <c r="DUY1"/>
      <c r="DVA1"/>
      <c r="DVC1"/>
      <c r="DVE1"/>
      <c r="DVG1"/>
      <c r="DVI1"/>
      <c r="DVK1"/>
      <c r="DVM1"/>
      <c r="DVO1"/>
      <c r="DVQ1"/>
      <c r="DVS1"/>
      <c r="DVU1"/>
      <c r="DVW1"/>
      <c r="DVY1"/>
      <c r="DWA1"/>
      <c r="DWC1"/>
      <c r="DWE1"/>
      <c r="DWG1"/>
      <c r="DWI1"/>
      <c r="DWK1"/>
      <c r="DWM1"/>
      <c r="DWO1"/>
      <c r="DWQ1"/>
      <c r="DWS1"/>
      <c r="DWU1"/>
      <c r="DWW1"/>
      <c r="DWY1"/>
      <c r="DXA1"/>
      <c r="DXC1"/>
      <c r="DXE1"/>
      <c r="DXG1"/>
      <c r="DXI1"/>
      <c r="DXK1"/>
      <c r="DXM1"/>
      <c r="DXO1"/>
      <c r="DXQ1"/>
      <c r="DXS1"/>
      <c r="DXU1"/>
      <c r="DXW1"/>
      <c r="DXY1"/>
      <c r="DYA1"/>
      <c r="DYC1"/>
      <c r="DYE1"/>
      <c r="DYG1"/>
      <c r="DYI1"/>
      <c r="DYK1"/>
      <c r="DYM1"/>
      <c r="DYO1"/>
      <c r="DYQ1"/>
      <c r="DYS1"/>
      <c r="DYU1"/>
      <c r="DYW1"/>
      <c r="DYY1"/>
      <c r="DZA1"/>
      <c r="DZC1"/>
      <c r="DZE1"/>
      <c r="DZG1"/>
      <c r="DZI1"/>
      <c r="DZK1"/>
      <c r="DZM1"/>
      <c r="DZO1"/>
      <c r="DZQ1"/>
      <c r="DZS1"/>
      <c r="DZU1"/>
      <c r="DZW1"/>
      <c r="DZY1"/>
      <c r="EAA1"/>
      <c r="EAC1"/>
      <c r="EAE1"/>
      <c r="EAG1"/>
      <c r="EAI1"/>
      <c r="EAK1"/>
      <c r="EAM1"/>
      <c r="EAO1"/>
      <c r="EAQ1"/>
      <c r="EAS1"/>
      <c r="EAU1"/>
      <c r="EAW1"/>
      <c r="EAY1"/>
      <c r="EBA1"/>
      <c r="EBC1"/>
      <c r="EBE1"/>
      <c r="EBG1"/>
      <c r="EBI1"/>
      <c r="EBK1"/>
      <c r="EBM1"/>
      <c r="EBO1"/>
      <c r="EBQ1"/>
      <c r="EBS1"/>
      <c r="EBU1"/>
      <c r="EBW1"/>
      <c r="EBY1"/>
      <c r="ECA1"/>
      <c r="ECC1"/>
      <c r="ECE1"/>
      <c r="ECG1"/>
      <c r="ECI1"/>
      <c r="ECK1"/>
      <c r="ECM1"/>
      <c r="ECO1"/>
      <c r="ECQ1"/>
      <c r="ECS1"/>
      <c r="ECU1"/>
      <c r="ECW1"/>
      <c r="ECY1"/>
      <c r="EDA1"/>
      <c r="EDC1"/>
      <c r="EDE1"/>
      <c r="EDG1"/>
      <c r="EDI1"/>
      <c r="EDK1"/>
      <c r="EDM1"/>
      <c r="EDO1"/>
      <c r="EDQ1"/>
      <c r="EDS1"/>
      <c r="EDU1"/>
      <c r="EDW1"/>
      <c r="EDY1"/>
      <c r="EEA1"/>
      <c r="EEC1"/>
      <c r="EEE1"/>
      <c r="EEG1"/>
      <c r="EEI1"/>
      <c r="EEK1"/>
      <c r="EEM1"/>
      <c r="EEO1"/>
      <c r="EEQ1"/>
      <c r="EES1"/>
      <c r="EEU1"/>
      <c r="EEW1"/>
      <c r="EEY1"/>
      <c r="EFA1"/>
      <c r="EFC1"/>
      <c r="EFE1"/>
      <c r="EFG1"/>
      <c r="EFI1"/>
      <c r="EFK1"/>
      <c r="EFM1"/>
      <c r="EFO1"/>
      <c r="EFQ1"/>
      <c r="EFS1"/>
      <c r="EFU1"/>
      <c r="EFW1"/>
      <c r="EFY1"/>
      <c r="EGA1"/>
      <c r="EGC1"/>
      <c r="EGE1"/>
      <c r="EGG1"/>
      <c r="EGI1"/>
      <c r="EGK1"/>
      <c r="EGM1"/>
      <c r="EGO1"/>
      <c r="EGQ1"/>
      <c r="EGS1"/>
      <c r="EGU1"/>
      <c r="EGW1"/>
      <c r="EGY1"/>
      <c r="EHA1"/>
      <c r="EHC1"/>
      <c r="EHE1"/>
      <c r="EHG1"/>
      <c r="EHI1"/>
      <c r="EHK1"/>
      <c r="EHM1"/>
      <c r="EHO1"/>
      <c r="EHQ1"/>
      <c r="EHS1"/>
      <c r="EHU1"/>
      <c r="EHW1"/>
      <c r="EHY1"/>
      <c r="EIA1"/>
      <c r="EIC1"/>
      <c r="EIE1"/>
      <c r="EIG1"/>
      <c r="EII1"/>
      <c r="EIK1"/>
      <c r="EIM1"/>
      <c r="EIO1"/>
      <c r="EIQ1"/>
      <c r="EIS1"/>
      <c r="EIU1"/>
      <c r="EIW1"/>
      <c r="EIY1"/>
      <c r="EJA1"/>
      <c r="EJC1"/>
      <c r="EJE1"/>
      <c r="EJG1"/>
      <c r="EJI1"/>
      <c r="EJK1"/>
      <c r="EJM1"/>
      <c r="EJO1"/>
      <c r="EJQ1"/>
      <c r="EJS1"/>
      <c r="EJU1"/>
      <c r="EJW1"/>
      <c r="EJY1"/>
      <c r="EKA1"/>
      <c r="EKC1"/>
      <c r="EKE1"/>
      <c r="EKG1"/>
      <c r="EKI1"/>
      <c r="EKK1"/>
      <c r="EKM1"/>
      <c r="EKO1"/>
      <c r="EKQ1"/>
      <c r="EKS1"/>
      <c r="EKU1"/>
      <c r="EKW1"/>
      <c r="EKY1"/>
      <c r="ELA1"/>
      <c r="ELC1"/>
      <c r="ELE1"/>
      <c r="ELG1"/>
      <c r="ELI1"/>
      <c r="ELK1"/>
      <c r="ELM1"/>
      <c r="ELO1"/>
      <c r="ELQ1"/>
      <c r="ELS1"/>
      <c r="ELU1"/>
      <c r="ELW1"/>
      <c r="ELY1"/>
      <c r="EMA1"/>
      <c r="EMC1"/>
      <c r="EME1"/>
      <c r="EMG1"/>
      <c r="EMI1"/>
      <c r="EMK1"/>
      <c r="EMM1"/>
      <c r="EMO1"/>
      <c r="EMQ1"/>
      <c r="EMS1"/>
      <c r="EMU1"/>
      <c r="EMW1"/>
      <c r="EMY1"/>
      <c r="ENA1"/>
      <c r="ENC1"/>
      <c r="ENE1"/>
      <c r="ENG1"/>
      <c r="ENI1"/>
      <c r="ENK1"/>
      <c r="ENM1"/>
      <c r="ENO1"/>
      <c r="ENQ1"/>
      <c r="ENS1"/>
      <c r="ENU1"/>
      <c r="ENW1"/>
      <c r="ENY1"/>
      <c r="EOA1"/>
      <c r="EOC1"/>
      <c r="EOE1"/>
      <c r="EOG1"/>
      <c r="EOI1"/>
      <c r="EOK1"/>
      <c r="EOM1"/>
      <c r="EOO1"/>
      <c r="EOQ1"/>
      <c r="EOS1"/>
      <c r="EOU1"/>
      <c r="EOW1"/>
      <c r="EOY1"/>
      <c r="EPA1"/>
      <c r="EPC1"/>
      <c r="EPE1"/>
      <c r="EPG1"/>
      <c r="EPI1"/>
      <c r="EPK1"/>
      <c r="EPM1"/>
      <c r="EPO1"/>
      <c r="EPQ1"/>
      <c r="EPS1"/>
      <c r="EPU1"/>
      <c r="EPW1"/>
      <c r="EPY1"/>
      <c r="EQA1"/>
      <c r="EQC1"/>
      <c r="EQE1"/>
      <c r="EQG1"/>
      <c r="EQI1"/>
      <c r="EQK1"/>
      <c r="EQM1"/>
      <c r="EQO1"/>
      <c r="EQQ1"/>
      <c r="EQS1"/>
      <c r="EQU1"/>
      <c r="EQW1"/>
      <c r="EQY1"/>
      <c r="ERA1"/>
      <c r="ERC1"/>
      <c r="ERE1"/>
      <c r="ERG1"/>
      <c r="ERI1"/>
      <c r="ERK1"/>
      <c r="ERM1"/>
      <c r="ERO1"/>
      <c r="ERQ1"/>
      <c r="ERS1"/>
      <c r="ERU1"/>
      <c r="ERW1"/>
      <c r="ERY1"/>
      <c r="ESA1"/>
      <c r="ESC1"/>
      <c r="ESE1"/>
      <c r="ESG1"/>
      <c r="ESI1"/>
      <c r="ESK1"/>
      <c r="ESM1"/>
      <c r="ESO1"/>
      <c r="ESQ1"/>
      <c r="ESS1"/>
      <c r="ESU1"/>
      <c r="ESW1"/>
      <c r="ESY1"/>
      <c r="ETA1"/>
      <c r="ETC1"/>
      <c r="ETE1"/>
      <c r="ETG1"/>
      <c r="ETI1"/>
      <c r="ETK1"/>
      <c r="ETM1"/>
      <c r="ETO1"/>
      <c r="ETQ1"/>
      <c r="ETS1"/>
      <c r="ETU1"/>
      <c r="ETW1"/>
      <c r="ETY1"/>
      <c r="EUA1"/>
      <c r="EUC1"/>
      <c r="EUE1"/>
      <c r="EUG1"/>
      <c r="EUI1"/>
      <c r="EUK1"/>
      <c r="EUM1"/>
      <c r="EUO1"/>
      <c r="EUQ1"/>
      <c r="EUS1"/>
      <c r="EUU1"/>
      <c r="EUW1"/>
      <c r="EUY1"/>
      <c r="EVA1"/>
      <c r="EVC1"/>
      <c r="EVE1"/>
      <c r="EVG1"/>
      <c r="EVI1"/>
      <c r="EVK1"/>
      <c r="EVM1"/>
      <c r="EVO1"/>
      <c r="EVQ1"/>
      <c r="EVS1"/>
      <c r="EVU1"/>
      <c r="EVW1"/>
      <c r="EVY1"/>
      <c r="EWA1"/>
      <c r="EWC1"/>
      <c r="EWE1"/>
      <c r="EWG1"/>
      <c r="EWI1"/>
      <c r="EWK1"/>
      <c r="EWM1"/>
      <c r="EWO1"/>
      <c r="EWQ1"/>
      <c r="EWS1"/>
      <c r="EWU1"/>
      <c r="EWW1"/>
      <c r="EWY1"/>
      <c r="EXA1"/>
      <c r="EXC1"/>
      <c r="EXE1"/>
      <c r="EXG1"/>
      <c r="EXI1"/>
      <c r="EXK1"/>
      <c r="EXM1"/>
      <c r="EXO1"/>
      <c r="EXQ1"/>
      <c r="EXS1"/>
      <c r="EXU1"/>
      <c r="EXW1"/>
      <c r="EXY1"/>
      <c r="EYA1"/>
      <c r="EYC1"/>
      <c r="EYE1"/>
      <c r="EYG1"/>
      <c r="EYI1"/>
      <c r="EYK1"/>
      <c r="EYM1"/>
      <c r="EYO1"/>
      <c r="EYQ1"/>
      <c r="EYS1"/>
      <c r="EYU1"/>
      <c r="EYW1"/>
      <c r="EYY1"/>
      <c r="EZA1"/>
      <c r="EZC1"/>
      <c r="EZE1"/>
      <c r="EZG1"/>
      <c r="EZI1"/>
      <c r="EZK1"/>
      <c r="EZM1"/>
      <c r="EZO1"/>
      <c r="EZQ1"/>
      <c r="EZS1"/>
      <c r="EZU1"/>
      <c r="EZW1"/>
      <c r="EZY1"/>
      <c r="FAA1"/>
      <c r="FAC1"/>
      <c r="FAE1"/>
      <c r="FAG1"/>
      <c r="FAI1"/>
      <c r="FAK1"/>
      <c r="FAM1"/>
      <c r="FAO1"/>
      <c r="FAQ1"/>
      <c r="FAS1"/>
      <c r="FAU1"/>
      <c r="FAW1"/>
      <c r="FAY1"/>
      <c r="FBA1"/>
      <c r="FBC1"/>
      <c r="FBE1"/>
      <c r="FBG1"/>
      <c r="FBI1"/>
      <c r="FBK1"/>
      <c r="FBM1"/>
      <c r="FBO1"/>
      <c r="FBQ1"/>
      <c r="FBS1"/>
      <c r="FBU1"/>
      <c r="FBW1"/>
      <c r="FBY1"/>
      <c r="FCA1"/>
      <c r="FCC1"/>
      <c r="FCE1"/>
      <c r="FCG1"/>
      <c r="FCI1"/>
      <c r="FCK1"/>
      <c r="FCM1"/>
      <c r="FCO1"/>
      <c r="FCQ1"/>
      <c r="FCS1"/>
      <c r="FCU1"/>
      <c r="FCW1"/>
      <c r="FCY1"/>
      <c r="FDA1"/>
      <c r="FDC1"/>
      <c r="FDE1"/>
      <c r="FDG1"/>
      <c r="FDI1"/>
      <c r="FDK1"/>
      <c r="FDM1"/>
      <c r="FDO1"/>
      <c r="FDQ1"/>
      <c r="FDS1"/>
      <c r="FDU1"/>
      <c r="FDW1"/>
      <c r="FDY1"/>
      <c r="FEA1"/>
      <c r="FEC1"/>
      <c r="FEE1"/>
      <c r="FEG1"/>
      <c r="FEI1"/>
      <c r="FEK1"/>
      <c r="FEM1"/>
      <c r="FEO1"/>
      <c r="FEQ1"/>
      <c r="FES1"/>
      <c r="FEU1"/>
      <c r="FEW1"/>
      <c r="FEY1"/>
      <c r="FFA1"/>
      <c r="FFC1"/>
      <c r="FFE1"/>
      <c r="FFG1"/>
      <c r="FFI1"/>
      <c r="FFK1"/>
      <c r="FFM1"/>
      <c r="FFO1"/>
      <c r="FFQ1"/>
      <c r="FFS1"/>
      <c r="FFU1"/>
      <c r="FFW1"/>
      <c r="FFY1"/>
      <c r="FGA1"/>
      <c r="FGC1"/>
      <c r="FGE1"/>
      <c r="FGG1"/>
      <c r="FGI1"/>
      <c r="FGK1"/>
      <c r="FGM1"/>
      <c r="FGO1"/>
      <c r="FGQ1"/>
      <c r="FGS1"/>
      <c r="FGU1"/>
      <c r="FGW1"/>
      <c r="FGY1"/>
      <c r="FHA1"/>
      <c r="FHC1"/>
      <c r="FHE1"/>
      <c r="FHG1"/>
      <c r="FHI1"/>
      <c r="FHK1"/>
      <c r="FHM1"/>
      <c r="FHO1"/>
      <c r="FHQ1"/>
      <c r="FHS1"/>
      <c r="FHU1"/>
      <c r="FHW1"/>
      <c r="FHY1"/>
      <c r="FIA1"/>
      <c r="FIC1"/>
      <c r="FIE1"/>
      <c r="FIG1"/>
      <c r="FII1"/>
      <c r="FIK1"/>
      <c r="FIM1"/>
      <c r="FIO1"/>
      <c r="FIQ1"/>
      <c r="FIS1"/>
      <c r="FIU1"/>
      <c r="FIW1"/>
      <c r="FIY1"/>
      <c r="FJA1"/>
      <c r="FJC1"/>
      <c r="FJE1"/>
      <c r="FJG1"/>
      <c r="FJI1"/>
      <c r="FJK1"/>
      <c r="FJM1"/>
      <c r="FJO1"/>
      <c r="FJQ1"/>
      <c r="FJS1"/>
      <c r="FJU1"/>
      <c r="FJW1"/>
      <c r="FJY1"/>
      <c r="FKA1"/>
      <c r="FKC1"/>
      <c r="FKE1"/>
      <c r="FKG1"/>
      <c r="FKI1"/>
      <c r="FKK1"/>
      <c r="FKM1"/>
      <c r="FKO1"/>
      <c r="FKQ1"/>
      <c r="FKS1"/>
      <c r="FKU1"/>
      <c r="FKW1"/>
      <c r="FKY1"/>
      <c r="FLA1"/>
      <c r="FLC1"/>
      <c r="FLE1"/>
      <c r="FLG1"/>
      <c r="FLI1"/>
      <c r="FLK1"/>
      <c r="FLM1"/>
      <c r="FLO1"/>
      <c r="FLQ1"/>
      <c r="FLS1"/>
      <c r="FLU1"/>
      <c r="FLW1"/>
      <c r="FLY1"/>
      <c r="FMA1"/>
      <c r="FMC1"/>
      <c r="FME1"/>
      <c r="FMG1"/>
      <c r="FMI1"/>
      <c r="FMK1"/>
      <c r="FMM1"/>
      <c r="FMO1"/>
      <c r="FMQ1"/>
      <c r="FMS1"/>
      <c r="FMU1"/>
      <c r="FMW1"/>
      <c r="FMY1"/>
      <c r="FNA1"/>
      <c r="FNC1"/>
      <c r="FNE1"/>
      <c r="FNG1"/>
      <c r="FNI1"/>
      <c r="FNK1"/>
      <c r="FNM1"/>
      <c r="FNO1"/>
      <c r="FNQ1"/>
      <c r="FNS1"/>
      <c r="FNU1"/>
      <c r="FNW1"/>
      <c r="FNY1"/>
      <c r="FOA1"/>
      <c r="FOC1"/>
      <c r="FOE1"/>
      <c r="FOG1"/>
      <c r="FOI1"/>
      <c r="FOK1"/>
      <c r="FOM1"/>
      <c r="FOO1"/>
      <c r="FOQ1"/>
      <c r="FOS1"/>
      <c r="FOU1"/>
      <c r="FOW1"/>
      <c r="FOY1"/>
      <c r="FPA1"/>
      <c r="FPC1"/>
      <c r="FPE1"/>
      <c r="FPG1"/>
      <c r="FPI1"/>
      <c r="FPK1"/>
      <c r="FPM1"/>
      <c r="FPO1"/>
      <c r="FPQ1"/>
      <c r="FPS1"/>
      <c r="FPU1"/>
      <c r="FPW1"/>
      <c r="FPY1"/>
      <c r="FQA1"/>
      <c r="FQC1"/>
      <c r="FQE1"/>
      <c r="FQG1"/>
      <c r="FQI1"/>
      <c r="FQK1"/>
      <c r="FQM1"/>
      <c r="FQO1"/>
      <c r="FQQ1"/>
      <c r="FQS1"/>
      <c r="FQU1"/>
      <c r="FQW1"/>
      <c r="FQY1"/>
      <c r="FRA1"/>
      <c r="FRC1"/>
      <c r="FRE1"/>
      <c r="FRG1"/>
      <c r="FRI1"/>
      <c r="FRK1"/>
      <c r="FRM1"/>
      <c r="FRO1"/>
      <c r="FRQ1"/>
      <c r="FRS1"/>
      <c r="FRU1"/>
      <c r="FRW1"/>
      <c r="FRY1"/>
      <c r="FSA1"/>
      <c r="FSC1"/>
      <c r="FSE1"/>
      <c r="FSG1"/>
      <c r="FSI1"/>
      <c r="FSK1"/>
      <c r="FSM1"/>
      <c r="FSO1"/>
      <c r="FSQ1"/>
      <c r="FSS1"/>
      <c r="FSU1"/>
      <c r="FSW1"/>
      <c r="FSY1"/>
      <c r="FTA1"/>
      <c r="FTC1"/>
      <c r="FTE1"/>
      <c r="FTG1"/>
      <c r="FTI1"/>
      <c r="FTK1"/>
      <c r="FTM1"/>
      <c r="FTO1"/>
      <c r="FTQ1"/>
      <c r="FTS1"/>
      <c r="FTU1"/>
      <c r="FTW1"/>
      <c r="FTY1"/>
      <c r="FUA1"/>
      <c r="FUC1"/>
      <c r="FUE1"/>
      <c r="FUG1"/>
      <c r="FUI1"/>
      <c r="FUK1"/>
      <c r="FUM1"/>
      <c r="FUO1"/>
      <c r="FUQ1"/>
      <c r="FUS1"/>
      <c r="FUU1"/>
      <c r="FUW1"/>
      <c r="FUY1"/>
      <c r="FVA1"/>
      <c r="FVC1"/>
      <c r="FVE1"/>
      <c r="FVG1"/>
      <c r="FVI1"/>
      <c r="FVK1"/>
      <c r="FVM1"/>
      <c r="FVO1"/>
      <c r="FVQ1"/>
      <c r="FVS1"/>
      <c r="FVU1"/>
      <c r="FVW1"/>
      <c r="FVY1"/>
      <c r="FWA1"/>
      <c r="FWC1"/>
      <c r="FWE1"/>
      <c r="FWG1"/>
      <c r="FWI1"/>
      <c r="FWK1"/>
      <c r="FWM1"/>
      <c r="FWO1"/>
      <c r="FWQ1"/>
      <c r="FWS1"/>
      <c r="FWU1"/>
      <c r="FWW1"/>
      <c r="FWY1"/>
      <c r="FXA1"/>
      <c r="FXC1"/>
      <c r="FXE1"/>
      <c r="FXG1"/>
      <c r="FXI1"/>
      <c r="FXK1"/>
      <c r="FXM1"/>
      <c r="FXO1"/>
      <c r="FXQ1"/>
      <c r="FXS1"/>
      <c r="FXU1"/>
      <c r="FXW1"/>
      <c r="FXY1"/>
      <c r="FYA1"/>
      <c r="FYC1"/>
      <c r="FYE1"/>
      <c r="FYG1"/>
      <c r="FYI1"/>
      <c r="FYK1"/>
      <c r="FYM1"/>
      <c r="FYO1"/>
      <c r="FYQ1"/>
      <c r="FYS1"/>
      <c r="FYU1"/>
      <c r="FYW1"/>
      <c r="FYY1"/>
      <c r="FZA1"/>
      <c r="FZC1"/>
      <c r="FZE1"/>
      <c r="FZG1"/>
      <c r="FZI1"/>
      <c r="FZK1"/>
      <c r="FZM1"/>
      <c r="FZO1"/>
      <c r="FZQ1"/>
      <c r="FZS1"/>
      <c r="FZU1"/>
      <c r="FZW1"/>
      <c r="FZY1"/>
      <c r="GAA1"/>
      <c r="GAC1"/>
      <c r="GAE1"/>
      <c r="GAG1"/>
      <c r="GAI1"/>
      <c r="GAK1"/>
      <c r="GAM1"/>
      <c r="GAO1"/>
      <c r="GAQ1"/>
      <c r="GAS1"/>
      <c r="GAU1"/>
      <c r="GAW1"/>
      <c r="GAY1"/>
      <c r="GBA1"/>
      <c r="GBC1"/>
      <c r="GBE1"/>
      <c r="GBG1"/>
      <c r="GBI1"/>
      <c r="GBK1"/>
      <c r="GBM1"/>
      <c r="GBO1"/>
      <c r="GBQ1"/>
      <c r="GBS1"/>
      <c r="GBU1"/>
      <c r="GBW1"/>
      <c r="GBY1"/>
      <c r="GCA1"/>
      <c r="GCC1"/>
      <c r="GCE1"/>
      <c r="GCG1"/>
      <c r="GCI1"/>
      <c r="GCK1"/>
      <c r="GCM1"/>
      <c r="GCO1"/>
      <c r="GCQ1"/>
      <c r="GCS1"/>
      <c r="GCU1"/>
      <c r="GCW1"/>
      <c r="GCY1"/>
      <c r="GDA1"/>
      <c r="GDC1"/>
      <c r="GDE1"/>
      <c r="GDG1"/>
      <c r="GDI1"/>
      <c r="GDK1"/>
      <c r="GDM1"/>
      <c r="GDO1"/>
      <c r="GDQ1"/>
      <c r="GDS1"/>
      <c r="GDU1"/>
      <c r="GDW1"/>
      <c r="GDY1"/>
      <c r="GEA1"/>
      <c r="GEC1"/>
      <c r="GEE1"/>
      <c r="GEG1"/>
      <c r="GEI1"/>
      <c r="GEK1"/>
      <c r="GEM1"/>
      <c r="GEO1"/>
      <c r="GEQ1"/>
      <c r="GES1"/>
      <c r="GEU1"/>
      <c r="GEW1"/>
      <c r="GEY1"/>
      <c r="GFA1"/>
      <c r="GFC1"/>
      <c r="GFE1"/>
      <c r="GFG1"/>
      <c r="GFI1"/>
      <c r="GFK1"/>
      <c r="GFM1"/>
      <c r="GFO1"/>
      <c r="GFQ1"/>
      <c r="GFS1"/>
      <c r="GFU1"/>
      <c r="GFW1"/>
      <c r="GFY1"/>
      <c r="GGA1"/>
      <c r="GGC1"/>
      <c r="GGE1"/>
      <c r="GGG1"/>
      <c r="GGI1"/>
      <c r="GGK1"/>
      <c r="GGM1"/>
      <c r="GGO1"/>
      <c r="GGQ1"/>
      <c r="GGS1"/>
      <c r="GGU1"/>
      <c r="GGW1"/>
      <c r="GGY1"/>
      <c r="GHA1"/>
      <c r="GHC1"/>
      <c r="GHE1"/>
      <c r="GHG1"/>
      <c r="GHI1"/>
      <c r="GHK1"/>
      <c r="GHM1"/>
      <c r="GHO1"/>
      <c r="GHQ1"/>
      <c r="GHS1"/>
      <c r="GHU1"/>
      <c r="GHW1"/>
      <c r="GHY1"/>
      <c r="GIA1"/>
      <c r="GIC1"/>
      <c r="GIE1"/>
      <c r="GIG1"/>
      <c r="GII1"/>
      <c r="GIK1"/>
      <c r="GIM1"/>
      <c r="GIO1"/>
      <c r="GIQ1"/>
      <c r="GIS1"/>
      <c r="GIU1"/>
      <c r="GIW1"/>
      <c r="GIY1"/>
      <c r="GJA1"/>
      <c r="GJC1"/>
      <c r="GJE1"/>
      <c r="GJG1"/>
      <c r="GJI1"/>
      <c r="GJK1"/>
      <c r="GJM1"/>
      <c r="GJO1"/>
      <c r="GJQ1"/>
      <c r="GJS1"/>
      <c r="GJU1"/>
      <c r="GJW1"/>
      <c r="GJY1"/>
      <c r="GKA1"/>
      <c r="GKC1"/>
      <c r="GKE1"/>
      <c r="GKG1"/>
      <c r="GKI1"/>
      <c r="GKK1"/>
      <c r="GKM1"/>
      <c r="GKO1"/>
      <c r="GKQ1"/>
      <c r="GKS1"/>
      <c r="GKU1"/>
      <c r="GKW1"/>
      <c r="GKY1"/>
      <c r="GLA1"/>
      <c r="GLC1"/>
      <c r="GLE1"/>
      <c r="GLG1"/>
      <c r="GLI1"/>
      <c r="GLK1"/>
      <c r="GLM1"/>
      <c r="GLO1"/>
      <c r="GLQ1"/>
      <c r="GLS1"/>
      <c r="GLU1"/>
      <c r="GLW1"/>
      <c r="GLY1"/>
      <c r="GMA1"/>
      <c r="GMC1"/>
      <c r="GME1"/>
      <c r="GMG1"/>
      <c r="GMI1"/>
      <c r="GMK1"/>
      <c r="GMM1"/>
      <c r="GMO1"/>
      <c r="GMQ1"/>
      <c r="GMS1"/>
      <c r="GMU1"/>
      <c r="GMW1"/>
      <c r="GMY1"/>
      <c r="GNA1"/>
      <c r="GNC1"/>
      <c r="GNE1"/>
      <c r="GNG1"/>
      <c r="GNI1"/>
      <c r="GNK1"/>
      <c r="GNM1"/>
      <c r="GNO1"/>
      <c r="GNQ1"/>
      <c r="GNS1"/>
      <c r="GNU1"/>
      <c r="GNW1"/>
      <c r="GNY1"/>
      <c r="GOA1"/>
      <c r="GOC1"/>
      <c r="GOE1"/>
      <c r="GOG1"/>
      <c r="GOI1"/>
      <c r="GOK1"/>
      <c r="GOM1"/>
      <c r="GOO1"/>
      <c r="GOQ1"/>
      <c r="GOS1"/>
      <c r="GOU1"/>
      <c r="GOW1"/>
      <c r="GOY1"/>
      <c r="GPA1"/>
      <c r="GPC1"/>
      <c r="GPE1"/>
      <c r="GPG1"/>
      <c r="GPI1"/>
      <c r="GPK1"/>
      <c r="GPM1"/>
      <c r="GPO1"/>
      <c r="GPQ1"/>
      <c r="GPS1"/>
      <c r="GPU1"/>
      <c r="GPW1"/>
      <c r="GPY1"/>
      <c r="GQA1"/>
      <c r="GQC1"/>
      <c r="GQE1"/>
      <c r="GQG1"/>
      <c r="GQI1"/>
      <c r="GQK1"/>
      <c r="GQM1"/>
      <c r="GQO1"/>
      <c r="GQQ1"/>
      <c r="GQS1"/>
      <c r="GQU1"/>
      <c r="GQW1"/>
      <c r="GQY1"/>
      <c r="GRA1"/>
      <c r="GRC1"/>
      <c r="GRE1"/>
      <c r="GRG1"/>
      <c r="GRI1"/>
      <c r="GRK1"/>
      <c r="GRM1"/>
      <c r="GRO1"/>
      <c r="GRQ1"/>
      <c r="GRS1"/>
      <c r="GRU1"/>
      <c r="GRW1"/>
      <c r="GRY1"/>
      <c r="GSA1"/>
      <c r="GSC1"/>
      <c r="GSE1"/>
      <c r="GSG1"/>
      <c r="GSI1"/>
      <c r="GSK1"/>
      <c r="GSM1"/>
      <c r="GSO1"/>
      <c r="GSQ1"/>
      <c r="GSS1"/>
      <c r="GSU1"/>
      <c r="GSW1"/>
      <c r="GSY1"/>
      <c r="GTA1"/>
      <c r="GTC1"/>
      <c r="GTE1"/>
      <c r="GTG1"/>
      <c r="GTI1"/>
      <c r="GTK1"/>
      <c r="GTM1"/>
      <c r="GTO1"/>
      <c r="GTQ1"/>
      <c r="GTS1"/>
      <c r="GTU1"/>
      <c r="GTW1"/>
      <c r="GTY1"/>
      <c r="GUA1"/>
      <c r="GUC1"/>
      <c r="GUE1"/>
      <c r="GUG1"/>
      <c r="GUI1"/>
      <c r="GUK1"/>
      <c r="GUM1"/>
      <c r="GUO1"/>
      <c r="GUQ1"/>
      <c r="GUS1"/>
      <c r="GUU1"/>
      <c r="GUW1"/>
      <c r="GUY1"/>
      <c r="GVA1"/>
      <c r="GVC1"/>
      <c r="GVE1"/>
      <c r="GVG1"/>
      <c r="GVI1"/>
      <c r="GVK1"/>
      <c r="GVM1"/>
      <c r="GVO1"/>
      <c r="GVQ1"/>
      <c r="GVS1"/>
      <c r="GVU1"/>
      <c r="GVW1"/>
      <c r="GVY1"/>
      <c r="GWA1"/>
      <c r="GWC1"/>
      <c r="GWE1"/>
      <c r="GWG1"/>
      <c r="GWI1"/>
      <c r="GWK1"/>
      <c r="GWM1"/>
      <c r="GWO1"/>
      <c r="GWQ1"/>
      <c r="GWS1"/>
      <c r="GWU1"/>
      <c r="GWW1"/>
      <c r="GWY1"/>
      <c r="GXA1"/>
      <c r="GXC1"/>
      <c r="GXE1"/>
      <c r="GXG1"/>
      <c r="GXI1"/>
      <c r="GXK1"/>
      <c r="GXM1"/>
      <c r="GXO1"/>
      <c r="GXQ1"/>
      <c r="GXS1"/>
      <c r="GXU1"/>
      <c r="GXW1"/>
      <c r="GXY1"/>
      <c r="GYA1"/>
      <c r="GYC1"/>
      <c r="GYE1"/>
      <c r="GYG1"/>
      <c r="GYI1"/>
      <c r="GYK1"/>
      <c r="GYM1"/>
      <c r="GYO1"/>
      <c r="GYQ1"/>
      <c r="GYS1"/>
      <c r="GYU1"/>
      <c r="GYW1"/>
      <c r="GYY1"/>
      <c r="GZA1"/>
      <c r="GZC1"/>
      <c r="GZE1"/>
      <c r="GZG1"/>
      <c r="GZI1"/>
      <c r="GZK1"/>
      <c r="GZM1"/>
      <c r="GZO1"/>
      <c r="GZQ1"/>
      <c r="GZS1"/>
      <c r="GZU1"/>
      <c r="GZW1"/>
      <c r="GZY1"/>
      <c r="HAA1"/>
      <c r="HAC1"/>
      <c r="HAE1"/>
      <c r="HAG1"/>
      <c r="HAI1"/>
      <c r="HAK1"/>
      <c r="HAM1"/>
      <c r="HAO1"/>
      <c r="HAQ1"/>
      <c r="HAS1"/>
      <c r="HAU1"/>
      <c r="HAW1"/>
      <c r="HAY1"/>
      <c r="HBA1"/>
      <c r="HBC1"/>
      <c r="HBE1"/>
      <c r="HBG1"/>
      <c r="HBI1"/>
      <c r="HBK1"/>
      <c r="HBM1"/>
      <c r="HBO1"/>
      <c r="HBQ1"/>
      <c r="HBS1"/>
      <c r="HBU1"/>
      <c r="HBW1"/>
      <c r="HBY1"/>
      <c r="HCA1"/>
      <c r="HCC1"/>
      <c r="HCE1"/>
      <c r="HCG1"/>
      <c r="HCI1"/>
      <c r="HCK1"/>
      <c r="HCM1"/>
      <c r="HCO1"/>
      <c r="HCQ1"/>
      <c r="HCS1"/>
      <c r="HCU1"/>
      <c r="HCW1"/>
      <c r="HCY1"/>
      <c r="HDA1"/>
      <c r="HDC1"/>
      <c r="HDE1"/>
      <c r="HDG1"/>
      <c r="HDI1"/>
      <c r="HDK1"/>
      <c r="HDM1"/>
      <c r="HDO1"/>
      <c r="HDQ1"/>
      <c r="HDS1"/>
      <c r="HDU1"/>
      <c r="HDW1"/>
      <c r="HDY1"/>
      <c r="HEA1"/>
      <c r="HEC1"/>
      <c r="HEE1"/>
      <c r="HEG1"/>
      <c r="HEI1"/>
      <c r="HEK1"/>
      <c r="HEM1"/>
      <c r="HEO1"/>
      <c r="HEQ1"/>
      <c r="HES1"/>
      <c r="HEU1"/>
      <c r="HEW1"/>
      <c r="HEY1"/>
      <c r="HFA1"/>
      <c r="HFC1"/>
      <c r="HFE1"/>
      <c r="HFG1"/>
      <c r="HFI1"/>
      <c r="HFK1"/>
      <c r="HFM1"/>
      <c r="HFO1"/>
      <c r="HFQ1"/>
      <c r="HFS1"/>
      <c r="HFU1"/>
      <c r="HFW1"/>
      <c r="HFY1"/>
      <c r="HGA1"/>
      <c r="HGC1"/>
      <c r="HGE1"/>
      <c r="HGG1"/>
      <c r="HGI1"/>
      <c r="HGK1"/>
      <c r="HGM1"/>
      <c r="HGO1"/>
      <c r="HGQ1"/>
      <c r="HGS1"/>
      <c r="HGU1"/>
      <c r="HGW1"/>
      <c r="HGY1"/>
      <c r="HHA1"/>
      <c r="HHC1"/>
      <c r="HHE1"/>
      <c r="HHG1"/>
      <c r="HHI1"/>
      <c r="HHK1"/>
      <c r="HHM1"/>
      <c r="HHO1"/>
      <c r="HHQ1"/>
      <c r="HHS1"/>
      <c r="HHU1"/>
      <c r="HHW1"/>
      <c r="HHY1"/>
      <c r="HIA1"/>
      <c r="HIC1"/>
      <c r="HIE1"/>
      <c r="HIG1"/>
      <c r="HII1"/>
      <c r="HIK1"/>
      <c r="HIM1"/>
      <c r="HIO1"/>
      <c r="HIQ1"/>
      <c r="HIS1"/>
      <c r="HIU1"/>
      <c r="HIW1"/>
      <c r="HIY1"/>
      <c r="HJA1"/>
      <c r="HJC1"/>
      <c r="HJE1"/>
      <c r="HJG1"/>
      <c r="HJI1"/>
      <c r="HJK1"/>
      <c r="HJM1"/>
      <c r="HJO1"/>
      <c r="HJQ1"/>
      <c r="HJS1"/>
      <c r="HJU1"/>
      <c r="HJW1"/>
      <c r="HJY1"/>
      <c r="HKA1"/>
      <c r="HKC1"/>
      <c r="HKE1"/>
      <c r="HKG1"/>
      <c r="HKI1"/>
      <c r="HKK1"/>
      <c r="HKM1"/>
      <c r="HKO1"/>
      <c r="HKQ1"/>
      <c r="HKS1"/>
      <c r="HKU1"/>
      <c r="HKW1"/>
      <c r="HKY1"/>
      <c r="HLA1"/>
      <c r="HLC1"/>
      <c r="HLE1"/>
      <c r="HLG1"/>
      <c r="HLI1"/>
      <c r="HLK1"/>
      <c r="HLM1"/>
      <c r="HLO1"/>
      <c r="HLQ1"/>
      <c r="HLS1"/>
      <c r="HLU1"/>
      <c r="HLW1"/>
      <c r="HLY1"/>
      <c r="HMA1"/>
      <c r="HMC1"/>
      <c r="HME1"/>
      <c r="HMG1"/>
      <c r="HMI1"/>
      <c r="HMK1"/>
      <c r="HMM1"/>
      <c r="HMO1"/>
      <c r="HMQ1"/>
      <c r="HMS1"/>
      <c r="HMU1"/>
      <c r="HMW1"/>
      <c r="HMY1"/>
      <c r="HNA1"/>
      <c r="HNC1"/>
      <c r="HNE1"/>
      <c r="HNG1"/>
      <c r="HNI1"/>
      <c r="HNK1"/>
      <c r="HNM1"/>
      <c r="HNO1"/>
      <c r="HNQ1"/>
      <c r="HNS1"/>
      <c r="HNU1"/>
      <c r="HNW1"/>
      <c r="HNY1"/>
      <c r="HOA1"/>
      <c r="HOC1"/>
      <c r="HOE1"/>
      <c r="HOG1"/>
      <c r="HOI1"/>
      <c r="HOK1"/>
      <c r="HOM1"/>
      <c r="HOO1"/>
      <c r="HOQ1"/>
      <c r="HOS1"/>
      <c r="HOU1"/>
      <c r="HOW1"/>
      <c r="HOY1"/>
      <c r="HPA1"/>
      <c r="HPC1"/>
      <c r="HPE1"/>
      <c r="HPG1"/>
      <c r="HPI1"/>
      <c r="HPK1"/>
      <c r="HPM1"/>
      <c r="HPO1"/>
      <c r="HPQ1"/>
      <c r="HPS1"/>
      <c r="HPU1"/>
      <c r="HPW1"/>
      <c r="HPY1"/>
      <c r="HQA1"/>
      <c r="HQC1"/>
      <c r="HQE1"/>
      <c r="HQG1"/>
      <c r="HQI1"/>
      <c r="HQK1"/>
      <c r="HQM1"/>
      <c r="HQO1"/>
      <c r="HQQ1"/>
      <c r="HQS1"/>
      <c r="HQU1"/>
      <c r="HQW1"/>
      <c r="HQY1"/>
      <c r="HRA1"/>
      <c r="HRC1"/>
      <c r="HRE1"/>
      <c r="HRG1"/>
      <c r="HRI1"/>
      <c r="HRK1"/>
      <c r="HRM1"/>
      <c r="HRO1"/>
      <c r="HRQ1"/>
      <c r="HRS1"/>
      <c r="HRU1"/>
      <c r="HRW1"/>
      <c r="HRY1"/>
      <c r="HSA1"/>
      <c r="HSC1"/>
      <c r="HSE1"/>
      <c r="HSG1"/>
      <c r="HSI1"/>
      <c r="HSK1"/>
      <c r="HSM1"/>
      <c r="HSO1"/>
      <c r="HSQ1"/>
      <c r="HSS1"/>
      <c r="HSU1"/>
      <c r="HSW1"/>
      <c r="HSY1"/>
      <c r="HTA1"/>
      <c r="HTC1"/>
      <c r="HTE1"/>
      <c r="HTG1"/>
      <c r="HTI1"/>
      <c r="HTK1"/>
      <c r="HTM1"/>
      <c r="HTO1"/>
      <c r="HTQ1"/>
      <c r="HTS1"/>
      <c r="HTU1"/>
      <c r="HTW1"/>
      <c r="HTY1"/>
      <c r="HUA1"/>
      <c r="HUC1"/>
      <c r="HUE1"/>
      <c r="HUG1"/>
      <c r="HUI1"/>
      <c r="HUK1"/>
      <c r="HUM1"/>
      <c r="HUO1"/>
      <c r="HUQ1"/>
      <c r="HUS1"/>
      <c r="HUU1"/>
      <c r="HUW1"/>
      <c r="HUY1"/>
      <c r="HVA1"/>
      <c r="HVC1"/>
      <c r="HVE1"/>
      <c r="HVG1"/>
      <c r="HVI1"/>
      <c r="HVK1"/>
      <c r="HVM1"/>
      <c r="HVO1"/>
      <c r="HVQ1"/>
      <c r="HVS1"/>
      <c r="HVU1"/>
      <c r="HVW1"/>
      <c r="HVY1"/>
      <c r="HWA1"/>
      <c r="HWC1"/>
      <c r="HWE1"/>
      <c r="HWG1"/>
      <c r="HWI1"/>
      <c r="HWK1"/>
      <c r="HWM1"/>
      <c r="HWO1"/>
      <c r="HWQ1"/>
      <c r="HWS1"/>
      <c r="HWU1"/>
      <c r="HWW1"/>
      <c r="HWY1"/>
      <c r="HXA1"/>
      <c r="HXC1"/>
      <c r="HXE1"/>
      <c r="HXG1"/>
      <c r="HXI1"/>
      <c r="HXK1"/>
      <c r="HXM1"/>
      <c r="HXO1"/>
      <c r="HXQ1"/>
      <c r="HXS1"/>
      <c r="HXU1"/>
      <c r="HXW1"/>
      <c r="HXY1"/>
      <c r="HYA1"/>
      <c r="HYC1"/>
      <c r="HYE1"/>
      <c r="HYG1"/>
      <c r="HYI1"/>
      <c r="HYK1"/>
      <c r="HYM1"/>
      <c r="HYO1"/>
      <c r="HYQ1"/>
      <c r="HYS1"/>
      <c r="HYU1"/>
      <c r="HYW1"/>
      <c r="HYY1"/>
      <c r="HZA1"/>
      <c r="HZC1"/>
      <c r="HZE1"/>
      <c r="HZG1"/>
      <c r="HZI1"/>
      <c r="HZK1"/>
      <c r="HZM1"/>
      <c r="HZO1"/>
      <c r="HZQ1"/>
      <c r="HZS1"/>
      <c r="HZU1"/>
      <c r="HZW1"/>
      <c r="HZY1"/>
      <c r="IAA1"/>
      <c r="IAC1"/>
      <c r="IAE1"/>
      <c r="IAG1"/>
      <c r="IAI1"/>
      <c r="IAK1"/>
      <c r="IAM1"/>
      <c r="IAO1"/>
      <c r="IAQ1"/>
      <c r="IAS1"/>
      <c r="IAU1"/>
      <c r="IAW1"/>
      <c r="IAY1"/>
      <c r="IBA1"/>
      <c r="IBC1"/>
      <c r="IBE1"/>
      <c r="IBG1"/>
      <c r="IBI1"/>
      <c r="IBK1"/>
      <c r="IBM1"/>
      <c r="IBO1"/>
      <c r="IBQ1"/>
      <c r="IBS1"/>
      <c r="IBU1"/>
      <c r="IBW1"/>
      <c r="IBY1"/>
      <c r="ICA1"/>
      <c r="ICC1"/>
      <c r="ICE1"/>
      <c r="ICG1"/>
      <c r="ICI1"/>
      <c r="ICK1"/>
      <c r="ICM1"/>
      <c r="ICO1"/>
      <c r="ICQ1"/>
      <c r="ICS1"/>
      <c r="ICU1"/>
      <c r="ICW1"/>
      <c r="ICY1"/>
      <c r="IDA1"/>
      <c r="IDC1"/>
      <c r="IDE1"/>
      <c r="IDG1"/>
      <c r="IDI1"/>
      <c r="IDK1"/>
      <c r="IDM1"/>
      <c r="IDO1"/>
      <c r="IDQ1"/>
      <c r="IDS1"/>
      <c r="IDU1"/>
      <c r="IDW1"/>
      <c r="IDY1"/>
      <c r="IEA1"/>
      <c r="IEC1"/>
      <c r="IEE1"/>
      <c r="IEG1"/>
      <c r="IEI1"/>
      <c r="IEK1"/>
      <c r="IEM1"/>
      <c r="IEO1"/>
      <c r="IEQ1"/>
      <c r="IES1"/>
      <c r="IEU1"/>
      <c r="IEW1"/>
      <c r="IEY1"/>
      <c r="IFA1"/>
      <c r="IFC1"/>
      <c r="IFE1"/>
      <c r="IFG1"/>
      <c r="IFI1"/>
      <c r="IFK1"/>
      <c r="IFM1"/>
      <c r="IFO1"/>
      <c r="IFQ1"/>
      <c r="IFS1"/>
      <c r="IFU1"/>
      <c r="IFW1"/>
      <c r="IFY1"/>
      <c r="IGA1"/>
      <c r="IGC1"/>
      <c r="IGE1"/>
      <c r="IGG1"/>
      <c r="IGI1"/>
      <c r="IGK1"/>
      <c r="IGM1"/>
      <c r="IGO1"/>
      <c r="IGQ1"/>
      <c r="IGS1"/>
      <c r="IGU1"/>
      <c r="IGW1"/>
      <c r="IGY1"/>
      <c r="IHA1"/>
      <c r="IHC1"/>
      <c r="IHE1"/>
      <c r="IHG1"/>
      <c r="IHI1"/>
      <c r="IHK1"/>
      <c r="IHM1"/>
      <c r="IHO1"/>
      <c r="IHQ1"/>
      <c r="IHS1"/>
      <c r="IHU1"/>
      <c r="IHW1"/>
      <c r="IHY1"/>
      <c r="IIA1"/>
      <c r="IIC1"/>
      <c r="IIE1"/>
      <c r="IIG1"/>
      <c r="III1"/>
      <c r="IIK1"/>
      <c r="IIM1"/>
      <c r="IIO1"/>
      <c r="IIQ1"/>
      <c r="IIS1"/>
      <c r="IIU1"/>
      <c r="IIW1"/>
      <c r="IIY1"/>
      <c r="IJA1"/>
      <c r="IJC1"/>
      <c r="IJE1"/>
      <c r="IJG1"/>
      <c r="IJI1"/>
      <c r="IJK1"/>
      <c r="IJM1"/>
      <c r="IJO1"/>
      <c r="IJQ1"/>
      <c r="IJS1"/>
      <c r="IJU1"/>
      <c r="IJW1"/>
      <c r="IJY1"/>
      <c r="IKA1"/>
      <c r="IKC1"/>
      <c r="IKE1"/>
      <c r="IKG1"/>
      <c r="IKI1"/>
      <c r="IKK1"/>
      <c r="IKM1"/>
      <c r="IKO1"/>
      <c r="IKQ1"/>
      <c r="IKS1"/>
      <c r="IKU1"/>
      <c r="IKW1"/>
      <c r="IKY1"/>
      <c r="ILA1"/>
      <c r="ILC1"/>
      <c r="ILE1"/>
      <c r="ILG1"/>
      <c r="ILI1"/>
      <c r="ILK1"/>
      <c r="ILM1"/>
      <c r="ILO1"/>
      <c r="ILQ1"/>
      <c r="ILS1"/>
      <c r="ILU1"/>
      <c r="ILW1"/>
      <c r="ILY1"/>
      <c r="IMA1"/>
      <c r="IMC1"/>
      <c r="IME1"/>
      <c r="IMG1"/>
      <c r="IMI1"/>
      <c r="IMK1"/>
      <c r="IMM1"/>
      <c r="IMO1"/>
      <c r="IMQ1"/>
      <c r="IMS1"/>
      <c r="IMU1"/>
      <c r="IMW1"/>
      <c r="IMY1"/>
      <c r="INA1"/>
      <c r="INC1"/>
      <c r="INE1"/>
      <c r="ING1"/>
      <c r="INI1"/>
      <c r="INK1"/>
      <c r="INM1"/>
      <c r="INO1"/>
      <c r="INQ1"/>
      <c r="INS1"/>
      <c r="INU1"/>
      <c r="INW1"/>
      <c r="INY1"/>
      <c r="IOA1"/>
      <c r="IOC1"/>
      <c r="IOE1"/>
      <c r="IOG1"/>
      <c r="IOI1"/>
      <c r="IOK1"/>
      <c r="IOM1"/>
      <c r="IOO1"/>
      <c r="IOQ1"/>
      <c r="IOS1"/>
      <c r="IOU1"/>
      <c r="IOW1"/>
      <c r="IOY1"/>
      <c r="IPA1"/>
      <c r="IPC1"/>
      <c r="IPE1"/>
      <c r="IPG1"/>
      <c r="IPI1"/>
      <c r="IPK1"/>
      <c r="IPM1"/>
      <c r="IPO1"/>
      <c r="IPQ1"/>
      <c r="IPS1"/>
      <c r="IPU1"/>
      <c r="IPW1"/>
      <c r="IPY1"/>
      <c r="IQA1"/>
      <c r="IQC1"/>
      <c r="IQE1"/>
      <c r="IQG1"/>
      <c r="IQI1"/>
      <c r="IQK1"/>
      <c r="IQM1"/>
      <c r="IQO1"/>
      <c r="IQQ1"/>
      <c r="IQS1"/>
      <c r="IQU1"/>
      <c r="IQW1"/>
      <c r="IQY1"/>
      <c r="IRA1"/>
      <c r="IRC1"/>
      <c r="IRE1"/>
      <c r="IRG1"/>
      <c r="IRI1"/>
      <c r="IRK1"/>
      <c r="IRM1"/>
      <c r="IRO1"/>
      <c r="IRQ1"/>
      <c r="IRS1"/>
      <c r="IRU1"/>
      <c r="IRW1"/>
      <c r="IRY1"/>
      <c r="ISA1"/>
      <c r="ISC1"/>
      <c r="ISE1"/>
      <c r="ISG1"/>
      <c r="ISI1"/>
      <c r="ISK1"/>
      <c r="ISM1"/>
      <c r="ISO1"/>
      <c r="ISQ1"/>
      <c r="ISS1"/>
      <c r="ISU1"/>
      <c r="ISW1"/>
      <c r="ISY1"/>
      <c r="ITA1"/>
      <c r="ITC1"/>
      <c r="ITE1"/>
      <c r="ITG1"/>
      <c r="ITI1"/>
      <c r="ITK1"/>
      <c r="ITM1"/>
      <c r="ITO1"/>
      <c r="ITQ1"/>
      <c r="ITS1"/>
      <c r="ITU1"/>
      <c r="ITW1"/>
      <c r="ITY1"/>
      <c r="IUA1"/>
      <c r="IUC1"/>
      <c r="IUE1"/>
      <c r="IUG1"/>
      <c r="IUI1"/>
      <c r="IUK1"/>
      <c r="IUM1"/>
      <c r="IUO1"/>
      <c r="IUQ1"/>
      <c r="IUS1"/>
      <c r="IUU1"/>
      <c r="IUW1"/>
      <c r="IUY1"/>
      <c r="IVA1"/>
      <c r="IVC1"/>
      <c r="IVE1"/>
      <c r="IVG1"/>
      <c r="IVI1"/>
      <c r="IVK1"/>
      <c r="IVM1"/>
      <c r="IVO1"/>
      <c r="IVQ1"/>
      <c r="IVS1"/>
      <c r="IVU1"/>
      <c r="IVW1"/>
      <c r="IVY1"/>
      <c r="IWA1"/>
      <c r="IWC1"/>
      <c r="IWE1"/>
      <c r="IWG1"/>
      <c r="IWI1"/>
      <c r="IWK1"/>
      <c r="IWM1"/>
      <c r="IWO1"/>
      <c r="IWQ1"/>
      <c r="IWS1"/>
      <c r="IWU1"/>
      <c r="IWW1"/>
      <c r="IWY1"/>
      <c r="IXA1"/>
      <c r="IXC1"/>
      <c r="IXE1"/>
      <c r="IXG1"/>
      <c r="IXI1"/>
      <c r="IXK1"/>
      <c r="IXM1"/>
      <c r="IXO1"/>
      <c r="IXQ1"/>
      <c r="IXS1"/>
      <c r="IXU1"/>
      <c r="IXW1"/>
      <c r="IXY1"/>
      <c r="IYA1"/>
      <c r="IYC1"/>
      <c r="IYE1"/>
      <c r="IYG1"/>
      <c r="IYI1"/>
      <c r="IYK1"/>
      <c r="IYM1"/>
      <c r="IYO1"/>
      <c r="IYQ1"/>
      <c r="IYS1"/>
      <c r="IYU1"/>
      <c r="IYW1"/>
      <c r="IYY1"/>
      <c r="IZA1"/>
      <c r="IZC1"/>
      <c r="IZE1"/>
      <c r="IZG1"/>
      <c r="IZI1"/>
      <c r="IZK1"/>
      <c r="IZM1"/>
      <c r="IZO1"/>
      <c r="IZQ1"/>
      <c r="IZS1"/>
      <c r="IZU1"/>
      <c r="IZW1"/>
      <c r="IZY1"/>
      <c r="JAA1"/>
      <c r="JAC1"/>
      <c r="JAE1"/>
      <c r="JAG1"/>
      <c r="JAI1"/>
      <c r="JAK1"/>
      <c r="JAM1"/>
      <c r="JAO1"/>
      <c r="JAQ1"/>
      <c r="JAS1"/>
      <c r="JAU1"/>
      <c r="JAW1"/>
      <c r="JAY1"/>
      <c r="JBA1"/>
      <c r="JBC1"/>
      <c r="JBE1"/>
      <c r="JBG1"/>
      <c r="JBI1"/>
      <c r="JBK1"/>
      <c r="JBM1"/>
      <c r="JBO1"/>
      <c r="JBQ1"/>
      <c r="JBS1"/>
      <c r="JBU1"/>
      <c r="JBW1"/>
      <c r="JBY1"/>
      <c r="JCA1"/>
      <c r="JCC1"/>
      <c r="JCE1"/>
      <c r="JCG1"/>
      <c r="JCI1"/>
      <c r="JCK1"/>
      <c r="JCM1"/>
      <c r="JCO1"/>
      <c r="JCQ1"/>
      <c r="JCS1"/>
      <c r="JCU1"/>
      <c r="JCW1"/>
      <c r="JCY1"/>
      <c r="JDA1"/>
      <c r="JDC1"/>
      <c r="JDE1"/>
      <c r="JDG1"/>
      <c r="JDI1"/>
      <c r="JDK1"/>
      <c r="JDM1"/>
      <c r="JDO1"/>
      <c r="JDQ1"/>
      <c r="JDS1"/>
      <c r="JDU1"/>
      <c r="JDW1"/>
      <c r="JDY1"/>
      <c r="JEA1"/>
      <c r="JEC1"/>
      <c r="JEE1"/>
      <c r="JEG1"/>
      <c r="JEI1"/>
      <c r="JEK1"/>
      <c r="JEM1"/>
      <c r="JEO1"/>
      <c r="JEQ1"/>
      <c r="JES1"/>
      <c r="JEU1"/>
      <c r="JEW1"/>
      <c r="JEY1"/>
      <c r="JFA1"/>
      <c r="JFC1"/>
      <c r="JFE1"/>
      <c r="JFG1"/>
      <c r="JFI1"/>
      <c r="JFK1"/>
      <c r="JFM1"/>
      <c r="JFO1"/>
      <c r="JFQ1"/>
      <c r="JFS1"/>
      <c r="JFU1"/>
      <c r="JFW1"/>
      <c r="JFY1"/>
      <c r="JGA1"/>
      <c r="JGC1"/>
      <c r="JGE1"/>
      <c r="JGG1"/>
      <c r="JGI1"/>
      <c r="JGK1"/>
      <c r="JGM1"/>
      <c r="JGO1"/>
      <c r="JGQ1"/>
      <c r="JGS1"/>
      <c r="JGU1"/>
      <c r="JGW1"/>
      <c r="JGY1"/>
      <c r="JHA1"/>
      <c r="JHC1"/>
      <c r="JHE1"/>
      <c r="JHG1"/>
      <c r="JHI1"/>
      <c r="JHK1"/>
      <c r="JHM1"/>
      <c r="JHO1"/>
      <c r="JHQ1"/>
      <c r="JHS1"/>
      <c r="JHU1"/>
      <c r="JHW1"/>
      <c r="JHY1"/>
      <c r="JIA1"/>
      <c r="JIC1"/>
      <c r="JIE1"/>
      <c r="JIG1"/>
      <c r="JII1"/>
      <c r="JIK1"/>
      <c r="JIM1"/>
      <c r="JIO1"/>
      <c r="JIQ1"/>
      <c r="JIS1"/>
      <c r="JIU1"/>
      <c r="JIW1"/>
      <c r="JIY1"/>
      <c r="JJA1"/>
      <c r="JJC1"/>
      <c r="JJE1"/>
      <c r="JJG1"/>
      <c r="JJI1"/>
      <c r="JJK1"/>
      <c r="JJM1"/>
      <c r="JJO1"/>
      <c r="JJQ1"/>
      <c r="JJS1"/>
      <c r="JJU1"/>
      <c r="JJW1"/>
      <c r="JJY1"/>
      <c r="JKA1"/>
      <c r="JKC1"/>
      <c r="JKE1"/>
      <c r="JKG1"/>
      <c r="JKI1"/>
      <c r="JKK1"/>
      <c r="JKM1"/>
      <c r="JKO1"/>
      <c r="JKQ1"/>
      <c r="JKS1"/>
      <c r="JKU1"/>
      <c r="JKW1"/>
      <c r="JKY1"/>
      <c r="JLA1"/>
      <c r="JLC1"/>
      <c r="JLE1"/>
      <c r="JLG1"/>
      <c r="JLI1"/>
      <c r="JLK1"/>
      <c r="JLM1"/>
      <c r="JLO1"/>
      <c r="JLQ1"/>
      <c r="JLS1"/>
      <c r="JLU1"/>
      <c r="JLW1"/>
      <c r="JLY1"/>
      <c r="JMA1"/>
      <c r="JMC1"/>
      <c r="JME1"/>
      <c r="JMG1"/>
      <c r="JMI1"/>
      <c r="JMK1"/>
      <c r="JMM1"/>
      <c r="JMO1"/>
      <c r="JMQ1"/>
      <c r="JMS1"/>
      <c r="JMU1"/>
      <c r="JMW1"/>
      <c r="JMY1"/>
      <c r="JNA1"/>
      <c r="JNC1"/>
      <c r="JNE1"/>
      <c r="JNG1"/>
      <c r="JNI1"/>
      <c r="JNK1"/>
      <c r="JNM1"/>
      <c r="JNO1"/>
      <c r="JNQ1"/>
      <c r="JNS1"/>
      <c r="JNU1"/>
      <c r="JNW1"/>
      <c r="JNY1"/>
      <c r="JOA1"/>
      <c r="JOC1"/>
      <c r="JOE1"/>
      <c r="JOG1"/>
      <c r="JOI1"/>
      <c r="JOK1"/>
      <c r="JOM1"/>
      <c r="JOO1"/>
      <c r="JOQ1"/>
      <c r="JOS1"/>
      <c r="JOU1"/>
      <c r="JOW1"/>
      <c r="JOY1"/>
      <c r="JPA1"/>
      <c r="JPC1"/>
      <c r="JPE1"/>
      <c r="JPG1"/>
      <c r="JPI1"/>
      <c r="JPK1"/>
      <c r="JPM1"/>
      <c r="JPO1"/>
      <c r="JPQ1"/>
      <c r="JPS1"/>
      <c r="JPU1"/>
      <c r="JPW1"/>
      <c r="JPY1"/>
      <c r="JQA1"/>
      <c r="JQC1"/>
      <c r="JQE1"/>
      <c r="JQG1"/>
      <c r="JQI1"/>
      <c r="JQK1"/>
      <c r="JQM1"/>
      <c r="JQO1"/>
      <c r="JQQ1"/>
      <c r="JQS1"/>
      <c r="JQU1"/>
      <c r="JQW1"/>
      <c r="JQY1"/>
      <c r="JRA1"/>
      <c r="JRC1"/>
      <c r="JRE1"/>
      <c r="JRG1"/>
      <c r="JRI1"/>
      <c r="JRK1"/>
      <c r="JRM1"/>
      <c r="JRO1"/>
      <c r="JRQ1"/>
      <c r="JRS1"/>
      <c r="JRU1"/>
      <c r="JRW1"/>
      <c r="JRY1"/>
      <c r="JSA1"/>
      <c r="JSC1"/>
      <c r="JSE1"/>
      <c r="JSG1"/>
      <c r="JSI1"/>
      <c r="JSK1"/>
      <c r="JSM1"/>
      <c r="JSO1"/>
      <c r="JSQ1"/>
      <c r="JSS1"/>
      <c r="JSU1"/>
      <c r="JSW1"/>
      <c r="JSY1"/>
      <c r="JTA1"/>
      <c r="JTC1"/>
      <c r="JTE1"/>
      <c r="JTG1"/>
      <c r="JTI1"/>
      <c r="JTK1"/>
      <c r="JTM1"/>
      <c r="JTO1"/>
      <c r="JTQ1"/>
      <c r="JTS1"/>
      <c r="JTU1"/>
      <c r="JTW1"/>
      <c r="JTY1"/>
      <c r="JUA1"/>
      <c r="JUC1"/>
      <c r="JUE1"/>
      <c r="JUG1"/>
      <c r="JUI1"/>
      <c r="JUK1"/>
      <c r="JUM1"/>
      <c r="JUO1"/>
      <c r="JUQ1"/>
      <c r="JUS1"/>
      <c r="JUU1"/>
      <c r="JUW1"/>
      <c r="JUY1"/>
      <c r="JVA1"/>
      <c r="JVC1"/>
      <c r="JVE1"/>
      <c r="JVG1"/>
      <c r="JVI1"/>
      <c r="JVK1"/>
      <c r="JVM1"/>
      <c r="JVO1"/>
      <c r="JVQ1"/>
      <c r="JVS1"/>
      <c r="JVU1"/>
      <c r="JVW1"/>
      <c r="JVY1"/>
      <c r="JWA1"/>
      <c r="JWC1"/>
      <c r="JWE1"/>
      <c r="JWG1"/>
      <c r="JWI1"/>
      <c r="JWK1"/>
      <c r="JWM1"/>
      <c r="JWO1"/>
      <c r="JWQ1"/>
      <c r="JWS1"/>
      <c r="JWU1"/>
      <c r="JWW1"/>
      <c r="JWY1"/>
      <c r="JXA1"/>
      <c r="JXC1"/>
      <c r="JXE1"/>
      <c r="JXG1"/>
      <c r="JXI1"/>
      <c r="JXK1"/>
      <c r="JXM1"/>
      <c r="JXO1"/>
      <c r="JXQ1"/>
      <c r="JXS1"/>
      <c r="JXU1"/>
      <c r="JXW1"/>
      <c r="JXY1"/>
      <c r="JYA1"/>
      <c r="JYC1"/>
      <c r="JYE1"/>
      <c r="JYG1"/>
      <c r="JYI1"/>
      <c r="JYK1"/>
      <c r="JYM1"/>
      <c r="JYO1"/>
      <c r="JYQ1"/>
      <c r="JYS1"/>
      <c r="JYU1"/>
      <c r="JYW1"/>
      <c r="JYY1"/>
      <c r="JZA1"/>
      <c r="JZC1"/>
      <c r="JZE1"/>
      <c r="JZG1"/>
      <c r="JZI1"/>
      <c r="JZK1"/>
      <c r="JZM1"/>
      <c r="JZO1"/>
      <c r="JZQ1"/>
      <c r="JZS1"/>
      <c r="JZU1"/>
      <c r="JZW1"/>
      <c r="JZY1"/>
      <c r="KAA1"/>
      <c r="KAC1"/>
      <c r="KAE1"/>
      <c r="KAG1"/>
      <c r="KAI1"/>
      <c r="KAK1"/>
      <c r="KAM1"/>
      <c r="KAO1"/>
      <c r="KAQ1"/>
      <c r="KAS1"/>
      <c r="KAU1"/>
      <c r="KAW1"/>
      <c r="KAY1"/>
      <c r="KBA1"/>
      <c r="KBC1"/>
      <c r="KBE1"/>
      <c r="KBG1"/>
      <c r="KBI1"/>
      <c r="KBK1"/>
      <c r="KBM1"/>
      <c r="KBO1"/>
      <c r="KBQ1"/>
      <c r="KBS1"/>
      <c r="KBU1"/>
      <c r="KBW1"/>
      <c r="KBY1"/>
      <c r="KCA1"/>
      <c r="KCC1"/>
      <c r="KCE1"/>
      <c r="KCG1"/>
      <c r="KCI1"/>
      <c r="KCK1"/>
      <c r="KCM1"/>
      <c r="KCO1"/>
      <c r="KCQ1"/>
      <c r="KCS1"/>
      <c r="KCU1"/>
      <c r="KCW1"/>
      <c r="KCY1"/>
      <c r="KDA1"/>
      <c r="KDC1"/>
      <c r="KDE1"/>
      <c r="KDG1"/>
      <c r="KDI1"/>
      <c r="KDK1"/>
      <c r="KDM1"/>
      <c r="KDO1"/>
      <c r="KDQ1"/>
      <c r="KDS1"/>
      <c r="KDU1"/>
      <c r="KDW1"/>
      <c r="KDY1"/>
      <c r="KEA1"/>
      <c r="KEC1"/>
      <c r="KEE1"/>
      <c r="KEG1"/>
      <c r="KEI1"/>
      <c r="KEK1"/>
      <c r="KEM1"/>
      <c r="KEO1"/>
      <c r="KEQ1"/>
      <c r="KES1"/>
      <c r="KEU1"/>
      <c r="KEW1"/>
      <c r="KEY1"/>
      <c r="KFA1"/>
      <c r="KFC1"/>
      <c r="KFE1"/>
      <c r="KFG1"/>
      <c r="KFI1"/>
      <c r="KFK1"/>
      <c r="KFM1"/>
      <c r="KFO1"/>
      <c r="KFQ1"/>
      <c r="KFS1"/>
      <c r="KFU1"/>
      <c r="KFW1"/>
      <c r="KFY1"/>
      <c r="KGA1"/>
      <c r="KGC1"/>
      <c r="KGE1"/>
      <c r="KGG1"/>
      <c r="KGI1"/>
      <c r="KGK1"/>
      <c r="KGM1"/>
      <c r="KGO1"/>
      <c r="KGQ1"/>
      <c r="KGS1"/>
      <c r="KGU1"/>
      <c r="KGW1"/>
      <c r="KGY1"/>
      <c r="KHA1"/>
      <c r="KHC1"/>
      <c r="KHE1"/>
      <c r="KHG1"/>
      <c r="KHI1"/>
      <c r="KHK1"/>
      <c r="KHM1"/>
      <c r="KHO1"/>
      <c r="KHQ1"/>
      <c r="KHS1"/>
      <c r="KHU1"/>
      <c r="KHW1"/>
      <c r="KHY1"/>
      <c r="KIA1"/>
      <c r="KIC1"/>
      <c r="KIE1"/>
      <c r="KIG1"/>
      <c r="KII1"/>
      <c r="KIK1"/>
      <c r="KIM1"/>
      <c r="KIO1"/>
      <c r="KIQ1"/>
      <c r="KIS1"/>
      <c r="KIU1"/>
      <c r="KIW1"/>
      <c r="KIY1"/>
      <c r="KJA1"/>
      <c r="KJC1"/>
      <c r="KJE1"/>
      <c r="KJG1"/>
      <c r="KJI1"/>
      <c r="KJK1"/>
      <c r="KJM1"/>
      <c r="KJO1"/>
      <c r="KJQ1"/>
      <c r="KJS1"/>
      <c r="KJU1"/>
      <c r="KJW1"/>
      <c r="KJY1"/>
      <c r="KKA1"/>
      <c r="KKC1"/>
      <c r="KKE1"/>
      <c r="KKG1"/>
      <c r="KKI1"/>
      <c r="KKK1"/>
      <c r="KKM1"/>
      <c r="KKO1"/>
      <c r="KKQ1"/>
      <c r="KKS1"/>
      <c r="KKU1"/>
      <c r="KKW1"/>
      <c r="KKY1"/>
      <c r="KLA1"/>
      <c r="KLC1"/>
      <c r="KLE1"/>
      <c r="KLG1"/>
      <c r="KLI1"/>
      <c r="KLK1"/>
      <c r="KLM1"/>
      <c r="KLO1"/>
      <c r="KLQ1"/>
      <c r="KLS1"/>
      <c r="KLU1"/>
      <c r="KLW1"/>
      <c r="KLY1"/>
      <c r="KMA1"/>
      <c r="KMC1"/>
      <c r="KME1"/>
      <c r="KMG1"/>
      <c r="KMI1"/>
      <c r="KMK1"/>
      <c r="KMM1"/>
      <c r="KMO1"/>
      <c r="KMQ1"/>
      <c r="KMS1"/>
      <c r="KMU1"/>
      <c r="KMW1"/>
      <c r="KMY1"/>
      <c r="KNA1"/>
      <c r="KNC1"/>
      <c r="KNE1"/>
      <c r="KNG1"/>
      <c r="KNI1"/>
      <c r="KNK1"/>
      <c r="KNM1"/>
      <c r="KNO1"/>
      <c r="KNQ1"/>
      <c r="KNS1"/>
      <c r="KNU1"/>
      <c r="KNW1"/>
      <c r="KNY1"/>
      <c r="KOA1"/>
      <c r="KOC1"/>
      <c r="KOE1"/>
      <c r="KOG1"/>
      <c r="KOI1"/>
      <c r="KOK1"/>
      <c r="KOM1"/>
      <c r="KOO1"/>
      <c r="KOQ1"/>
      <c r="KOS1"/>
      <c r="KOU1"/>
      <c r="KOW1"/>
      <c r="KOY1"/>
      <c r="KPA1"/>
      <c r="KPC1"/>
      <c r="KPE1"/>
      <c r="KPG1"/>
      <c r="KPI1"/>
      <c r="KPK1"/>
      <c r="KPM1"/>
      <c r="KPO1"/>
      <c r="KPQ1"/>
      <c r="KPS1"/>
      <c r="KPU1"/>
      <c r="KPW1"/>
      <c r="KPY1"/>
      <c r="KQA1"/>
      <c r="KQC1"/>
      <c r="KQE1"/>
      <c r="KQG1"/>
      <c r="KQI1"/>
      <c r="KQK1"/>
      <c r="KQM1"/>
      <c r="KQO1"/>
      <c r="KQQ1"/>
      <c r="KQS1"/>
      <c r="KQU1"/>
      <c r="KQW1"/>
      <c r="KQY1"/>
      <c r="KRA1"/>
      <c r="KRC1"/>
      <c r="KRE1"/>
      <c r="KRG1"/>
      <c r="KRI1"/>
      <c r="KRK1"/>
      <c r="KRM1"/>
      <c r="KRO1"/>
      <c r="KRQ1"/>
      <c r="KRS1"/>
      <c r="KRU1"/>
      <c r="KRW1"/>
      <c r="KRY1"/>
      <c r="KSA1"/>
      <c r="KSC1"/>
      <c r="KSE1"/>
      <c r="KSG1"/>
      <c r="KSI1"/>
      <c r="KSK1"/>
      <c r="KSM1"/>
      <c r="KSO1"/>
      <c r="KSQ1"/>
      <c r="KSS1"/>
      <c r="KSU1"/>
      <c r="KSW1"/>
      <c r="KSY1"/>
      <c r="KTA1"/>
      <c r="KTC1"/>
      <c r="KTE1"/>
      <c r="KTG1"/>
      <c r="KTI1"/>
      <c r="KTK1"/>
      <c r="KTM1"/>
      <c r="KTO1"/>
      <c r="KTQ1"/>
      <c r="KTS1"/>
      <c r="KTU1"/>
      <c r="KTW1"/>
      <c r="KTY1"/>
      <c r="KUA1"/>
      <c r="KUC1"/>
      <c r="KUE1"/>
      <c r="KUG1"/>
      <c r="KUI1"/>
      <c r="KUK1"/>
      <c r="KUM1"/>
      <c r="KUO1"/>
      <c r="KUQ1"/>
      <c r="KUS1"/>
      <c r="KUU1"/>
      <c r="KUW1"/>
      <c r="KUY1"/>
      <c r="KVA1"/>
      <c r="KVC1"/>
      <c r="KVE1"/>
      <c r="KVG1"/>
      <c r="KVI1"/>
      <c r="KVK1"/>
      <c r="KVM1"/>
      <c r="KVO1"/>
      <c r="KVQ1"/>
      <c r="KVS1"/>
      <c r="KVU1"/>
      <c r="KVW1"/>
      <c r="KVY1"/>
      <c r="KWA1"/>
      <c r="KWC1"/>
      <c r="KWE1"/>
      <c r="KWG1"/>
      <c r="KWI1"/>
      <c r="KWK1"/>
      <c r="KWM1"/>
      <c r="KWO1"/>
      <c r="KWQ1"/>
      <c r="KWS1"/>
      <c r="KWU1"/>
      <c r="KWW1"/>
      <c r="KWY1"/>
      <c r="KXA1"/>
      <c r="KXC1"/>
      <c r="KXE1"/>
      <c r="KXG1"/>
      <c r="KXI1"/>
      <c r="KXK1"/>
      <c r="KXM1"/>
      <c r="KXO1"/>
      <c r="KXQ1"/>
      <c r="KXS1"/>
      <c r="KXU1"/>
      <c r="KXW1"/>
      <c r="KXY1"/>
      <c r="KYA1"/>
      <c r="KYC1"/>
      <c r="KYE1"/>
      <c r="KYG1"/>
      <c r="KYI1"/>
      <c r="KYK1"/>
      <c r="KYM1"/>
      <c r="KYO1"/>
      <c r="KYQ1"/>
      <c r="KYS1"/>
      <c r="KYU1"/>
      <c r="KYW1"/>
      <c r="KYY1"/>
      <c r="KZA1"/>
      <c r="KZC1"/>
      <c r="KZE1"/>
      <c r="KZG1"/>
      <c r="KZI1"/>
      <c r="KZK1"/>
      <c r="KZM1"/>
      <c r="KZO1"/>
      <c r="KZQ1"/>
      <c r="KZS1"/>
      <c r="KZU1"/>
      <c r="KZW1"/>
      <c r="KZY1"/>
      <c r="LAA1"/>
      <c r="LAC1"/>
      <c r="LAE1"/>
      <c r="LAG1"/>
      <c r="LAI1"/>
      <c r="LAK1"/>
      <c r="LAM1"/>
      <c r="LAO1"/>
      <c r="LAQ1"/>
      <c r="LAS1"/>
      <c r="LAU1"/>
      <c r="LAW1"/>
      <c r="LAY1"/>
      <c r="LBA1"/>
      <c r="LBC1"/>
      <c r="LBE1"/>
      <c r="LBG1"/>
      <c r="LBI1"/>
      <c r="LBK1"/>
      <c r="LBM1"/>
      <c r="LBO1"/>
      <c r="LBQ1"/>
      <c r="LBS1"/>
      <c r="LBU1"/>
      <c r="LBW1"/>
      <c r="LBY1"/>
      <c r="LCA1"/>
      <c r="LCC1"/>
      <c r="LCE1"/>
      <c r="LCG1"/>
      <c r="LCI1"/>
      <c r="LCK1"/>
      <c r="LCM1"/>
      <c r="LCO1"/>
      <c r="LCQ1"/>
      <c r="LCS1"/>
      <c r="LCU1"/>
      <c r="LCW1"/>
      <c r="LCY1"/>
      <c r="LDA1"/>
      <c r="LDC1"/>
      <c r="LDE1"/>
      <c r="LDG1"/>
      <c r="LDI1"/>
      <c r="LDK1"/>
      <c r="LDM1"/>
      <c r="LDO1"/>
      <c r="LDQ1"/>
      <c r="LDS1"/>
      <c r="LDU1"/>
      <c r="LDW1"/>
      <c r="LDY1"/>
      <c r="LEA1"/>
      <c r="LEC1"/>
      <c r="LEE1"/>
      <c r="LEG1"/>
      <c r="LEI1"/>
      <c r="LEK1"/>
      <c r="LEM1"/>
      <c r="LEO1"/>
      <c r="LEQ1"/>
      <c r="LES1"/>
      <c r="LEU1"/>
      <c r="LEW1"/>
      <c r="LEY1"/>
      <c r="LFA1"/>
      <c r="LFC1"/>
      <c r="LFE1"/>
      <c r="LFG1"/>
      <c r="LFI1"/>
      <c r="LFK1"/>
      <c r="LFM1"/>
      <c r="LFO1"/>
      <c r="LFQ1"/>
      <c r="LFS1"/>
      <c r="LFU1"/>
      <c r="LFW1"/>
      <c r="LFY1"/>
      <c r="LGA1"/>
      <c r="LGC1"/>
      <c r="LGE1"/>
      <c r="LGG1"/>
      <c r="LGI1"/>
      <c r="LGK1"/>
      <c r="LGM1"/>
      <c r="LGO1"/>
      <c r="LGQ1"/>
      <c r="LGS1"/>
      <c r="LGU1"/>
      <c r="LGW1"/>
      <c r="LGY1"/>
      <c r="LHA1"/>
      <c r="LHC1"/>
      <c r="LHE1"/>
      <c r="LHG1"/>
      <c r="LHI1"/>
      <c r="LHK1"/>
      <c r="LHM1"/>
      <c r="LHO1"/>
      <c r="LHQ1"/>
      <c r="LHS1"/>
      <c r="LHU1"/>
      <c r="LHW1"/>
      <c r="LHY1"/>
      <c r="LIA1"/>
      <c r="LIC1"/>
      <c r="LIE1"/>
      <c r="LIG1"/>
      <c r="LII1"/>
      <c r="LIK1"/>
      <c r="LIM1"/>
      <c r="LIO1"/>
      <c r="LIQ1"/>
      <c r="LIS1"/>
      <c r="LIU1"/>
      <c r="LIW1"/>
      <c r="LIY1"/>
      <c r="LJA1"/>
      <c r="LJC1"/>
      <c r="LJE1"/>
      <c r="LJG1"/>
      <c r="LJI1"/>
      <c r="LJK1"/>
      <c r="LJM1"/>
      <c r="LJO1"/>
      <c r="LJQ1"/>
      <c r="LJS1"/>
      <c r="LJU1"/>
      <c r="LJW1"/>
      <c r="LJY1"/>
      <c r="LKA1"/>
      <c r="LKC1"/>
      <c r="LKE1"/>
      <c r="LKG1"/>
      <c r="LKI1"/>
      <c r="LKK1"/>
      <c r="LKM1"/>
      <c r="LKO1"/>
      <c r="LKQ1"/>
      <c r="LKS1"/>
      <c r="LKU1"/>
      <c r="LKW1"/>
      <c r="LKY1"/>
      <c r="LLA1"/>
      <c r="LLC1"/>
      <c r="LLE1"/>
      <c r="LLG1"/>
      <c r="LLI1"/>
      <c r="LLK1"/>
      <c r="LLM1"/>
      <c r="LLO1"/>
      <c r="LLQ1"/>
      <c r="LLS1"/>
      <c r="LLU1"/>
      <c r="LLW1"/>
      <c r="LLY1"/>
      <c r="LMA1"/>
      <c r="LMC1"/>
      <c r="LME1"/>
      <c r="LMG1"/>
      <c r="LMI1"/>
      <c r="LMK1"/>
      <c r="LMM1"/>
      <c r="LMO1"/>
      <c r="LMQ1"/>
      <c r="LMS1"/>
      <c r="LMU1"/>
      <c r="LMW1"/>
      <c r="LMY1"/>
      <c r="LNA1"/>
      <c r="LNC1"/>
      <c r="LNE1"/>
      <c r="LNG1"/>
      <c r="LNI1"/>
      <c r="LNK1"/>
      <c r="LNM1"/>
      <c r="LNO1"/>
      <c r="LNQ1"/>
      <c r="LNS1"/>
      <c r="LNU1"/>
      <c r="LNW1"/>
      <c r="LNY1"/>
      <c r="LOA1"/>
      <c r="LOC1"/>
      <c r="LOE1"/>
      <c r="LOG1"/>
      <c r="LOI1"/>
      <c r="LOK1"/>
      <c r="LOM1"/>
      <c r="LOO1"/>
      <c r="LOQ1"/>
      <c r="LOS1"/>
      <c r="LOU1"/>
      <c r="LOW1"/>
      <c r="LOY1"/>
      <c r="LPA1"/>
      <c r="LPC1"/>
      <c r="LPE1"/>
      <c r="LPG1"/>
      <c r="LPI1"/>
      <c r="LPK1"/>
      <c r="LPM1"/>
      <c r="LPO1"/>
      <c r="LPQ1"/>
      <c r="LPS1"/>
      <c r="LPU1"/>
      <c r="LPW1"/>
      <c r="LPY1"/>
      <c r="LQA1"/>
      <c r="LQC1"/>
      <c r="LQE1"/>
      <c r="LQG1"/>
      <c r="LQI1"/>
      <c r="LQK1"/>
      <c r="LQM1"/>
      <c r="LQO1"/>
      <c r="LQQ1"/>
      <c r="LQS1"/>
      <c r="LQU1"/>
      <c r="LQW1"/>
      <c r="LQY1"/>
      <c r="LRA1"/>
      <c r="LRC1"/>
      <c r="LRE1"/>
      <c r="LRG1"/>
      <c r="LRI1"/>
      <c r="LRK1"/>
      <c r="LRM1"/>
      <c r="LRO1"/>
      <c r="LRQ1"/>
      <c r="LRS1"/>
      <c r="LRU1"/>
      <c r="LRW1"/>
      <c r="LRY1"/>
      <c r="LSA1"/>
      <c r="LSC1"/>
      <c r="LSE1"/>
      <c r="LSG1"/>
      <c r="LSI1"/>
      <c r="LSK1"/>
      <c r="LSM1"/>
      <c r="LSO1"/>
      <c r="LSQ1"/>
      <c r="LSS1"/>
      <c r="LSU1"/>
      <c r="LSW1"/>
      <c r="LSY1"/>
      <c r="LTA1"/>
      <c r="LTC1"/>
      <c r="LTE1"/>
      <c r="LTG1"/>
      <c r="LTI1"/>
      <c r="LTK1"/>
      <c r="LTM1"/>
      <c r="LTO1"/>
      <c r="LTQ1"/>
      <c r="LTS1"/>
      <c r="LTU1"/>
      <c r="LTW1"/>
      <c r="LTY1"/>
      <c r="LUA1"/>
      <c r="LUC1"/>
      <c r="LUE1"/>
      <c r="LUG1"/>
      <c r="LUI1"/>
      <c r="LUK1"/>
      <c r="LUM1"/>
      <c r="LUO1"/>
      <c r="LUQ1"/>
      <c r="LUS1"/>
      <c r="LUU1"/>
      <c r="LUW1"/>
      <c r="LUY1"/>
      <c r="LVA1"/>
      <c r="LVC1"/>
      <c r="LVE1"/>
      <c r="LVG1"/>
      <c r="LVI1"/>
      <c r="LVK1"/>
      <c r="LVM1"/>
      <c r="LVO1"/>
      <c r="LVQ1"/>
      <c r="LVS1"/>
      <c r="LVU1"/>
      <c r="LVW1"/>
      <c r="LVY1"/>
      <c r="LWA1"/>
      <c r="LWC1"/>
      <c r="LWE1"/>
      <c r="LWG1"/>
      <c r="LWI1"/>
      <c r="LWK1"/>
      <c r="LWM1"/>
      <c r="LWO1"/>
      <c r="LWQ1"/>
      <c r="LWS1"/>
      <c r="LWU1"/>
      <c r="LWW1"/>
      <c r="LWY1"/>
      <c r="LXA1"/>
      <c r="LXC1"/>
      <c r="LXE1"/>
      <c r="LXG1"/>
      <c r="LXI1"/>
      <c r="LXK1"/>
      <c r="LXM1"/>
      <c r="LXO1"/>
      <c r="LXQ1"/>
      <c r="LXS1"/>
      <c r="LXU1"/>
      <c r="LXW1"/>
      <c r="LXY1"/>
      <c r="LYA1"/>
      <c r="LYC1"/>
      <c r="LYE1"/>
      <c r="LYG1"/>
      <c r="LYI1"/>
      <c r="LYK1"/>
      <c r="LYM1"/>
      <c r="LYO1"/>
      <c r="LYQ1"/>
      <c r="LYS1"/>
      <c r="LYU1"/>
      <c r="LYW1"/>
      <c r="LYY1"/>
      <c r="LZA1"/>
      <c r="LZC1"/>
      <c r="LZE1"/>
      <c r="LZG1"/>
      <c r="LZI1"/>
      <c r="LZK1"/>
      <c r="LZM1"/>
      <c r="LZO1"/>
      <c r="LZQ1"/>
      <c r="LZS1"/>
      <c r="LZU1"/>
      <c r="LZW1"/>
      <c r="LZY1"/>
      <c r="MAA1"/>
      <c r="MAC1"/>
      <c r="MAE1"/>
      <c r="MAG1"/>
      <c r="MAI1"/>
      <c r="MAK1"/>
      <c r="MAM1"/>
      <c r="MAO1"/>
      <c r="MAQ1"/>
      <c r="MAS1"/>
      <c r="MAU1"/>
      <c r="MAW1"/>
      <c r="MAY1"/>
      <c r="MBA1"/>
      <c r="MBC1"/>
      <c r="MBE1"/>
      <c r="MBG1"/>
      <c r="MBI1"/>
      <c r="MBK1"/>
      <c r="MBM1"/>
      <c r="MBO1"/>
      <c r="MBQ1"/>
      <c r="MBS1"/>
      <c r="MBU1"/>
      <c r="MBW1"/>
      <c r="MBY1"/>
      <c r="MCA1"/>
      <c r="MCC1"/>
      <c r="MCE1"/>
      <c r="MCG1"/>
      <c r="MCI1"/>
      <c r="MCK1"/>
      <c r="MCM1"/>
      <c r="MCO1"/>
      <c r="MCQ1"/>
      <c r="MCS1"/>
      <c r="MCU1"/>
      <c r="MCW1"/>
      <c r="MCY1"/>
      <c r="MDA1"/>
      <c r="MDC1"/>
      <c r="MDE1"/>
      <c r="MDG1"/>
      <c r="MDI1"/>
      <c r="MDK1"/>
      <c r="MDM1"/>
      <c r="MDO1"/>
      <c r="MDQ1"/>
      <c r="MDS1"/>
      <c r="MDU1"/>
      <c r="MDW1"/>
      <c r="MDY1"/>
      <c r="MEA1"/>
      <c r="MEC1"/>
      <c r="MEE1"/>
      <c r="MEG1"/>
      <c r="MEI1"/>
      <c r="MEK1"/>
      <c r="MEM1"/>
      <c r="MEO1"/>
      <c r="MEQ1"/>
      <c r="MES1"/>
      <c r="MEU1"/>
      <c r="MEW1"/>
      <c r="MEY1"/>
      <c r="MFA1"/>
      <c r="MFC1"/>
      <c r="MFE1"/>
      <c r="MFG1"/>
      <c r="MFI1"/>
      <c r="MFK1"/>
      <c r="MFM1"/>
      <c r="MFO1"/>
      <c r="MFQ1"/>
      <c r="MFS1"/>
      <c r="MFU1"/>
      <c r="MFW1"/>
      <c r="MFY1"/>
      <c r="MGA1"/>
      <c r="MGC1"/>
      <c r="MGE1"/>
      <c r="MGG1"/>
      <c r="MGI1"/>
      <c r="MGK1"/>
      <c r="MGM1"/>
      <c r="MGO1"/>
      <c r="MGQ1"/>
      <c r="MGS1"/>
      <c r="MGU1"/>
      <c r="MGW1"/>
      <c r="MGY1"/>
      <c r="MHA1"/>
      <c r="MHC1"/>
      <c r="MHE1"/>
      <c r="MHG1"/>
      <c r="MHI1"/>
      <c r="MHK1"/>
      <c r="MHM1"/>
      <c r="MHO1"/>
      <c r="MHQ1"/>
      <c r="MHS1"/>
      <c r="MHU1"/>
      <c r="MHW1"/>
      <c r="MHY1"/>
      <c r="MIA1"/>
      <c r="MIC1"/>
      <c r="MIE1"/>
      <c r="MIG1"/>
      <c r="MII1"/>
      <c r="MIK1"/>
      <c r="MIM1"/>
      <c r="MIO1"/>
      <c r="MIQ1"/>
      <c r="MIS1"/>
      <c r="MIU1"/>
      <c r="MIW1"/>
      <c r="MIY1"/>
      <c r="MJA1"/>
      <c r="MJC1"/>
      <c r="MJE1"/>
      <c r="MJG1"/>
      <c r="MJI1"/>
      <c r="MJK1"/>
      <c r="MJM1"/>
      <c r="MJO1"/>
      <c r="MJQ1"/>
      <c r="MJS1"/>
      <c r="MJU1"/>
      <c r="MJW1"/>
      <c r="MJY1"/>
      <c r="MKA1"/>
      <c r="MKC1"/>
      <c r="MKE1"/>
      <c r="MKG1"/>
      <c r="MKI1"/>
      <c r="MKK1"/>
      <c r="MKM1"/>
      <c r="MKO1"/>
      <c r="MKQ1"/>
      <c r="MKS1"/>
      <c r="MKU1"/>
      <c r="MKW1"/>
      <c r="MKY1"/>
      <c r="MLA1"/>
      <c r="MLC1"/>
      <c r="MLE1"/>
      <c r="MLG1"/>
      <c r="MLI1"/>
      <c r="MLK1"/>
      <c r="MLM1"/>
      <c r="MLO1"/>
      <c r="MLQ1"/>
      <c r="MLS1"/>
      <c r="MLU1"/>
      <c r="MLW1"/>
      <c r="MLY1"/>
      <c r="MMA1"/>
      <c r="MMC1"/>
      <c r="MME1"/>
      <c r="MMG1"/>
      <c r="MMI1"/>
      <c r="MMK1"/>
      <c r="MMM1"/>
      <c r="MMO1"/>
      <c r="MMQ1"/>
      <c r="MMS1"/>
      <c r="MMU1"/>
      <c r="MMW1"/>
      <c r="MMY1"/>
      <c r="MNA1"/>
      <c r="MNC1"/>
      <c r="MNE1"/>
      <c r="MNG1"/>
      <c r="MNI1"/>
      <c r="MNK1"/>
      <c r="MNM1"/>
      <c r="MNO1"/>
      <c r="MNQ1"/>
      <c r="MNS1"/>
      <c r="MNU1"/>
      <c r="MNW1"/>
      <c r="MNY1"/>
      <c r="MOA1"/>
      <c r="MOC1"/>
      <c r="MOE1"/>
      <c r="MOG1"/>
      <c r="MOI1"/>
      <c r="MOK1"/>
      <c r="MOM1"/>
      <c r="MOO1"/>
      <c r="MOQ1"/>
      <c r="MOS1"/>
      <c r="MOU1"/>
      <c r="MOW1"/>
      <c r="MOY1"/>
      <c r="MPA1"/>
      <c r="MPC1"/>
      <c r="MPE1"/>
      <c r="MPG1"/>
      <c r="MPI1"/>
      <c r="MPK1"/>
      <c r="MPM1"/>
      <c r="MPO1"/>
      <c r="MPQ1"/>
      <c r="MPS1"/>
      <c r="MPU1"/>
      <c r="MPW1"/>
      <c r="MPY1"/>
      <c r="MQA1"/>
      <c r="MQC1"/>
      <c r="MQE1"/>
      <c r="MQG1"/>
      <c r="MQI1"/>
      <c r="MQK1"/>
      <c r="MQM1"/>
      <c r="MQO1"/>
      <c r="MQQ1"/>
      <c r="MQS1"/>
      <c r="MQU1"/>
      <c r="MQW1"/>
      <c r="MQY1"/>
      <c r="MRA1"/>
      <c r="MRC1"/>
      <c r="MRE1"/>
      <c r="MRG1"/>
      <c r="MRI1"/>
      <c r="MRK1"/>
      <c r="MRM1"/>
      <c r="MRO1"/>
      <c r="MRQ1"/>
      <c r="MRS1"/>
      <c r="MRU1"/>
      <c r="MRW1"/>
      <c r="MRY1"/>
      <c r="MSA1"/>
      <c r="MSC1"/>
      <c r="MSE1"/>
      <c r="MSG1"/>
      <c r="MSI1"/>
      <c r="MSK1"/>
      <c r="MSM1"/>
      <c r="MSO1"/>
      <c r="MSQ1"/>
      <c r="MSS1"/>
      <c r="MSU1"/>
      <c r="MSW1"/>
      <c r="MSY1"/>
      <c r="MTA1"/>
      <c r="MTC1"/>
      <c r="MTE1"/>
      <c r="MTG1"/>
      <c r="MTI1"/>
      <c r="MTK1"/>
      <c r="MTM1"/>
      <c r="MTO1"/>
      <c r="MTQ1"/>
      <c r="MTS1"/>
      <c r="MTU1"/>
      <c r="MTW1"/>
      <c r="MTY1"/>
      <c r="MUA1"/>
      <c r="MUC1"/>
      <c r="MUE1"/>
      <c r="MUG1"/>
      <c r="MUI1"/>
      <c r="MUK1"/>
      <c r="MUM1"/>
      <c r="MUO1"/>
      <c r="MUQ1"/>
      <c r="MUS1"/>
      <c r="MUU1"/>
      <c r="MUW1"/>
      <c r="MUY1"/>
      <c r="MVA1"/>
      <c r="MVC1"/>
      <c r="MVE1"/>
      <c r="MVG1"/>
      <c r="MVI1"/>
      <c r="MVK1"/>
      <c r="MVM1"/>
      <c r="MVO1"/>
      <c r="MVQ1"/>
      <c r="MVS1"/>
      <c r="MVU1"/>
      <c r="MVW1"/>
      <c r="MVY1"/>
      <c r="MWA1"/>
      <c r="MWC1"/>
      <c r="MWE1"/>
      <c r="MWG1"/>
      <c r="MWI1"/>
      <c r="MWK1"/>
      <c r="MWM1"/>
      <c r="MWO1"/>
      <c r="MWQ1"/>
      <c r="MWS1"/>
      <c r="MWU1"/>
      <c r="MWW1"/>
      <c r="MWY1"/>
      <c r="MXA1"/>
      <c r="MXC1"/>
      <c r="MXE1"/>
      <c r="MXG1"/>
      <c r="MXI1"/>
      <c r="MXK1"/>
      <c r="MXM1"/>
      <c r="MXO1"/>
      <c r="MXQ1"/>
      <c r="MXS1"/>
      <c r="MXU1"/>
      <c r="MXW1"/>
      <c r="MXY1"/>
      <c r="MYA1"/>
      <c r="MYC1"/>
      <c r="MYE1"/>
      <c r="MYG1"/>
      <c r="MYI1"/>
      <c r="MYK1"/>
      <c r="MYM1"/>
      <c r="MYO1"/>
      <c r="MYQ1"/>
      <c r="MYS1"/>
      <c r="MYU1"/>
      <c r="MYW1"/>
      <c r="MYY1"/>
      <c r="MZA1"/>
      <c r="MZC1"/>
      <c r="MZE1"/>
      <c r="MZG1"/>
      <c r="MZI1"/>
      <c r="MZK1"/>
      <c r="MZM1"/>
      <c r="MZO1"/>
      <c r="MZQ1"/>
      <c r="MZS1"/>
      <c r="MZU1"/>
      <c r="MZW1"/>
      <c r="MZY1"/>
      <c r="NAA1"/>
      <c r="NAC1"/>
      <c r="NAE1"/>
      <c r="NAG1"/>
      <c r="NAI1"/>
      <c r="NAK1"/>
      <c r="NAM1"/>
      <c r="NAO1"/>
      <c r="NAQ1"/>
      <c r="NAS1"/>
      <c r="NAU1"/>
      <c r="NAW1"/>
      <c r="NAY1"/>
      <c r="NBA1"/>
      <c r="NBC1"/>
      <c r="NBE1"/>
      <c r="NBG1"/>
      <c r="NBI1"/>
      <c r="NBK1"/>
      <c r="NBM1"/>
      <c r="NBO1"/>
      <c r="NBQ1"/>
      <c r="NBS1"/>
      <c r="NBU1"/>
      <c r="NBW1"/>
      <c r="NBY1"/>
      <c r="NCA1"/>
      <c r="NCC1"/>
      <c r="NCE1"/>
      <c r="NCG1"/>
      <c r="NCI1"/>
      <c r="NCK1"/>
      <c r="NCM1"/>
      <c r="NCO1"/>
      <c r="NCQ1"/>
      <c r="NCS1"/>
      <c r="NCU1"/>
      <c r="NCW1"/>
      <c r="NCY1"/>
      <c r="NDA1"/>
      <c r="NDC1"/>
      <c r="NDE1"/>
      <c r="NDG1"/>
      <c r="NDI1"/>
      <c r="NDK1"/>
      <c r="NDM1"/>
      <c r="NDO1"/>
      <c r="NDQ1"/>
      <c r="NDS1"/>
      <c r="NDU1"/>
      <c r="NDW1"/>
      <c r="NDY1"/>
      <c r="NEA1"/>
      <c r="NEC1"/>
      <c r="NEE1"/>
      <c r="NEG1"/>
      <c r="NEI1"/>
      <c r="NEK1"/>
      <c r="NEM1"/>
      <c r="NEO1"/>
      <c r="NEQ1"/>
      <c r="NES1"/>
      <c r="NEU1"/>
      <c r="NEW1"/>
      <c r="NEY1"/>
      <c r="NFA1"/>
      <c r="NFC1"/>
      <c r="NFE1"/>
      <c r="NFG1"/>
      <c r="NFI1"/>
      <c r="NFK1"/>
      <c r="NFM1"/>
      <c r="NFO1"/>
      <c r="NFQ1"/>
      <c r="NFS1"/>
      <c r="NFU1"/>
      <c r="NFW1"/>
      <c r="NFY1"/>
      <c r="NGA1"/>
      <c r="NGC1"/>
      <c r="NGE1"/>
      <c r="NGG1"/>
      <c r="NGI1"/>
      <c r="NGK1"/>
      <c r="NGM1"/>
      <c r="NGO1"/>
      <c r="NGQ1"/>
      <c r="NGS1"/>
      <c r="NGU1"/>
      <c r="NGW1"/>
      <c r="NGY1"/>
      <c r="NHA1"/>
      <c r="NHC1"/>
      <c r="NHE1"/>
      <c r="NHG1"/>
      <c r="NHI1"/>
      <c r="NHK1"/>
      <c r="NHM1"/>
      <c r="NHO1"/>
      <c r="NHQ1"/>
      <c r="NHS1"/>
      <c r="NHU1"/>
      <c r="NHW1"/>
      <c r="NHY1"/>
      <c r="NIA1"/>
      <c r="NIC1"/>
      <c r="NIE1"/>
      <c r="NIG1"/>
      <c r="NII1"/>
      <c r="NIK1"/>
      <c r="NIM1"/>
      <c r="NIO1"/>
      <c r="NIQ1"/>
      <c r="NIS1"/>
      <c r="NIU1"/>
      <c r="NIW1"/>
      <c r="NIY1"/>
      <c r="NJA1"/>
      <c r="NJC1"/>
      <c r="NJE1"/>
      <c r="NJG1"/>
      <c r="NJI1"/>
      <c r="NJK1"/>
      <c r="NJM1"/>
      <c r="NJO1"/>
      <c r="NJQ1"/>
      <c r="NJS1"/>
      <c r="NJU1"/>
      <c r="NJW1"/>
      <c r="NJY1"/>
      <c r="NKA1"/>
      <c r="NKC1"/>
      <c r="NKE1"/>
      <c r="NKG1"/>
      <c r="NKI1"/>
      <c r="NKK1"/>
      <c r="NKM1"/>
      <c r="NKO1"/>
      <c r="NKQ1"/>
      <c r="NKS1"/>
      <c r="NKU1"/>
      <c r="NKW1"/>
      <c r="NKY1"/>
      <c r="NLA1"/>
      <c r="NLC1"/>
      <c r="NLE1"/>
      <c r="NLG1"/>
      <c r="NLI1"/>
      <c r="NLK1"/>
      <c r="NLM1"/>
      <c r="NLO1"/>
      <c r="NLQ1"/>
      <c r="NLS1"/>
      <c r="NLU1"/>
      <c r="NLW1"/>
      <c r="NLY1"/>
      <c r="NMA1"/>
      <c r="NMC1"/>
      <c r="NME1"/>
      <c r="NMG1"/>
      <c r="NMI1"/>
      <c r="NMK1"/>
      <c r="NMM1"/>
      <c r="NMO1"/>
      <c r="NMQ1"/>
      <c r="NMS1"/>
      <c r="NMU1"/>
      <c r="NMW1"/>
      <c r="NMY1"/>
      <c r="NNA1"/>
      <c r="NNC1"/>
      <c r="NNE1"/>
      <c r="NNG1"/>
      <c r="NNI1"/>
      <c r="NNK1"/>
      <c r="NNM1"/>
      <c r="NNO1"/>
      <c r="NNQ1"/>
      <c r="NNS1"/>
      <c r="NNU1"/>
      <c r="NNW1"/>
      <c r="NNY1"/>
      <c r="NOA1"/>
      <c r="NOC1"/>
      <c r="NOE1"/>
      <c r="NOG1"/>
      <c r="NOI1"/>
      <c r="NOK1"/>
      <c r="NOM1"/>
      <c r="NOO1"/>
      <c r="NOQ1"/>
      <c r="NOS1"/>
      <c r="NOU1"/>
      <c r="NOW1"/>
      <c r="NOY1"/>
      <c r="NPA1"/>
      <c r="NPC1"/>
      <c r="NPE1"/>
      <c r="NPG1"/>
      <c r="NPI1"/>
      <c r="NPK1"/>
      <c r="NPM1"/>
      <c r="NPO1"/>
      <c r="NPQ1"/>
      <c r="NPS1"/>
      <c r="NPU1"/>
      <c r="NPW1"/>
      <c r="NPY1"/>
      <c r="NQA1"/>
      <c r="NQC1"/>
      <c r="NQE1"/>
      <c r="NQG1"/>
      <c r="NQI1"/>
      <c r="NQK1"/>
      <c r="NQM1"/>
      <c r="NQO1"/>
      <c r="NQQ1"/>
      <c r="NQS1"/>
      <c r="NQU1"/>
      <c r="NQW1"/>
      <c r="NQY1"/>
      <c r="NRA1"/>
      <c r="NRC1"/>
      <c r="NRE1"/>
      <c r="NRG1"/>
      <c r="NRI1"/>
      <c r="NRK1"/>
      <c r="NRM1"/>
      <c r="NRO1"/>
      <c r="NRQ1"/>
      <c r="NRS1"/>
      <c r="NRU1"/>
      <c r="NRW1"/>
      <c r="NRY1"/>
      <c r="NSA1"/>
      <c r="NSC1"/>
      <c r="NSE1"/>
      <c r="NSG1"/>
      <c r="NSI1"/>
      <c r="NSK1"/>
      <c r="NSM1"/>
      <c r="NSO1"/>
      <c r="NSQ1"/>
      <c r="NSS1"/>
      <c r="NSU1"/>
      <c r="NSW1"/>
      <c r="NSY1"/>
      <c r="NTA1"/>
      <c r="NTC1"/>
      <c r="NTE1"/>
      <c r="NTG1"/>
      <c r="NTI1"/>
      <c r="NTK1"/>
      <c r="NTM1"/>
      <c r="NTO1"/>
      <c r="NTQ1"/>
      <c r="NTS1"/>
      <c r="NTU1"/>
      <c r="NTW1"/>
      <c r="NTY1"/>
      <c r="NUA1"/>
      <c r="NUC1"/>
      <c r="NUE1"/>
      <c r="NUG1"/>
      <c r="NUI1"/>
      <c r="NUK1"/>
      <c r="NUM1"/>
      <c r="NUO1"/>
      <c r="NUQ1"/>
      <c r="NUS1"/>
      <c r="NUU1"/>
      <c r="NUW1"/>
      <c r="NUY1"/>
      <c r="NVA1"/>
      <c r="NVC1"/>
      <c r="NVE1"/>
      <c r="NVG1"/>
      <c r="NVI1"/>
      <c r="NVK1"/>
      <c r="NVM1"/>
      <c r="NVO1"/>
      <c r="NVQ1"/>
      <c r="NVS1"/>
      <c r="NVU1"/>
      <c r="NVW1"/>
      <c r="NVY1"/>
      <c r="NWA1"/>
      <c r="NWC1"/>
      <c r="NWE1"/>
      <c r="NWG1"/>
      <c r="NWI1"/>
      <c r="NWK1"/>
      <c r="NWM1"/>
      <c r="NWO1"/>
      <c r="NWQ1"/>
      <c r="NWS1"/>
      <c r="NWU1"/>
      <c r="NWW1"/>
      <c r="NWY1"/>
      <c r="NXA1"/>
      <c r="NXC1"/>
      <c r="NXE1"/>
      <c r="NXG1"/>
      <c r="NXI1"/>
      <c r="NXK1"/>
      <c r="NXM1"/>
      <c r="NXO1"/>
      <c r="NXQ1"/>
      <c r="NXS1"/>
      <c r="NXU1"/>
      <c r="NXW1"/>
      <c r="NXY1"/>
      <c r="NYA1"/>
      <c r="NYC1"/>
      <c r="NYE1"/>
      <c r="NYG1"/>
      <c r="NYI1"/>
      <c r="NYK1"/>
      <c r="NYM1"/>
      <c r="NYO1"/>
      <c r="NYQ1"/>
      <c r="NYS1"/>
      <c r="NYU1"/>
      <c r="NYW1"/>
      <c r="NYY1"/>
      <c r="NZA1"/>
      <c r="NZC1"/>
      <c r="NZE1"/>
      <c r="NZG1"/>
      <c r="NZI1"/>
      <c r="NZK1"/>
      <c r="NZM1"/>
      <c r="NZO1"/>
      <c r="NZQ1"/>
      <c r="NZS1"/>
      <c r="NZU1"/>
      <c r="NZW1"/>
      <c r="NZY1"/>
      <c r="OAA1"/>
      <c r="OAC1"/>
      <c r="OAE1"/>
      <c r="OAG1"/>
      <c r="OAI1"/>
      <c r="OAK1"/>
      <c r="OAM1"/>
      <c r="OAO1"/>
      <c r="OAQ1"/>
      <c r="OAS1"/>
      <c r="OAU1"/>
      <c r="OAW1"/>
      <c r="OAY1"/>
      <c r="OBA1"/>
      <c r="OBC1"/>
      <c r="OBE1"/>
      <c r="OBG1"/>
      <c r="OBI1"/>
      <c r="OBK1"/>
      <c r="OBM1"/>
      <c r="OBO1"/>
      <c r="OBQ1"/>
      <c r="OBS1"/>
      <c r="OBU1"/>
      <c r="OBW1"/>
      <c r="OBY1"/>
      <c r="OCA1"/>
      <c r="OCC1"/>
      <c r="OCE1"/>
      <c r="OCG1"/>
      <c r="OCI1"/>
      <c r="OCK1"/>
      <c r="OCM1"/>
      <c r="OCO1"/>
      <c r="OCQ1"/>
      <c r="OCS1"/>
      <c r="OCU1"/>
      <c r="OCW1"/>
      <c r="OCY1"/>
      <c r="ODA1"/>
      <c r="ODC1"/>
      <c r="ODE1"/>
      <c r="ODG1"/>
      <c r="ODI1"/>
      <c r="ODK1"/>
      <c r="ODM1"/>
      <c r="ODO1"/>
      <c r="ODQ1"/>
      <c r="ODS1"/>
      <c r="ODU1"/>
      <c r="ODW1"/>
      <c r="ODY1"/>
      <c r="OEA1"/>
      <c r="OEC1"/>
      <c r="OEE1"/>
      <c r="OEG1"/>
      <c r="OEI1"/>
      <c r="OEK1"/>
      <c r="OEM1"/>
      <c r="OEO1"/>
      <c r="OEQ1"/>
      <c r="OES1"/>
      <c r="OEU1"/>
      <c r="OEW1"/>
      <c r="OEY1"/>
      <c r="OFA1"/>
      <c r="OFC1"/>
      <c r="OFE1"/>
      <c r="OFG1"/>
      <c r="OFI1"/>
      <c r="OFK1"/>
      <c r="OFM1"/>
      <c r="OFO1"/>
      <c r="OFQ1"/>
      <c r="OFS1"/>
      <c r="OFU1"/>
      <c r="OFW1"/>
      <c r="OFY1"/>
      <c r="OGA1"/>
      <c r="OGC1"/>
      <c r="OGE1"/>
      <c r="OGG1"/>
      <c r="OGI1"/>
      <c r="OGK1"/>
      <c r="OGM1"/>
      <c r="OGO1"/>
      <c r="OGQ1"/>
      <c r="OGS1"/>
      <c r="OGU1"/>
      <c r="OGW1"/>
      <c r="OGY1"/>
      <c r="OHA1"/>
      <c r="OHC1"/>
      <c r="OHE1"/>
      <c r="OHG1"/>
      <c r="OHI1"/>
      <c r="OHK1"/>
      <c r="OHM1"/>
      <c r="OHO1"/>
      <c r="OHQ1"/>
      <c r="OHS1"/>
      <c r="OHU1"/>
      <c r="OHW1"/>
      <c r="OHY1"/>
      <c r="OIA1"/>
      <c r="OIC1"/>
      <c r="OIE1"/>
      <c r="OIG1"/>
      <c r="OII1"/>
      <c r="OIK1"/>
      <c r="OIM1"/>
      <c r="OIO1"/>
      <c r="OIQ1"/>
      <c r="OIS1"/>
      <c r="OIU1"/>
      <c r="OIW1"/>
      <c r="OIY1"/>
      <c r="OJA1"/>
      <c r="OJC1"/>
      <c r="OJE1"/>
      <c r="OJG1"/>
      <c r="OJI1"/>
      <c r="OJK1"/>
      <c r="OJM1"/>
      <c r="OJO1"/>
      <c r="OJQ1"/>
      <c r="OJS1"/>
      <c r="OJU1"/>
      <c r="OJW1"/>
      <c r="OJY1"/>
      <c r="OKA1"/>
      <c r="OKC1"/>
      <c r="OKE1"/>
      <c r="OKG1"/>
      <c r="OKI1"/>
      <c r="OKK1"/>
      <c r="OKM1"/>
      <c r="OKO1"/>
      <c r="OKQ1"/>
      <c r="OKS1"/>
      <c r="OKU1"/>
      <c r="OKW1"/>
      <c r="OKY1"/>
      <c r="OLA1"/>
      <c r="OLC1"/>
      <c r="OLE1"/>
      <c r="OLG1"/>
      <c r="OLI1"/>
      <c r="OLK1"/>
      <c r="OLM1"/>
      <c r="OLO1"/>
      <c r="OLQ1"/>
      <c r="OLS1"/>
      <c r="OLU1"/>
      <c r="OLW1"/>
      <c r="OLY1"/>
      <c r="OMA1"/>
      <c r="OMC1"/>
      <c r="OME1"/>
      <c r="OMG1"/>
      <c r="OMI1"/>
      <c r="OMK1"/>
      <c r="OMM1"/>
      <c r="OMO1"/>
      <c r="OMQ1"/>
      <c r="OMS1"/>
      <c r="OMU1"/>
      <c r="OMW1"/>
      <c r="OMY1"/>
      <c r="ONA1"/>
      <c r="ONC1"/>
      <c r="ONE1"/>
      <c r="ONG1"/>
      <c r="ONI1"/>
      <c r="ONK1"/>
      <c r="ONM1"/>
      <c r="ONO1"/>
      <c r="ONQ1"/>
      <c r="ONS1"/>
      <c r="ONU1"/>
      <c r="ONW1"/>
      <c r="ONY1"/>
      <c r="OOA1"/>
      <c r="OOC1"/>
      <c r="OOE1"/>
      <c r="OOG1"/>
      <c r="OOI1"/>
      <c r="OOK1"/>
      <c r="OOM1"/>
      <c r="OOO1"/>
      <c r="OOQ1"/>
      <c r="OOS1"/>
      <c r="OOU1"/>
      <c r="OOW1"/>
      <c r="OOY1"/>
      <c r="OPA1"/>
      <c r="OPC1"/>
      <c r="OPE1"/>
      <c r="OPG1"/>
      <c r="OPI1"/>
      <c r="OPK1"/>
      <c r="OPM1"/>
      <c r="OPO1"/>
      <c r="OPQ1"/>
      <c r="OPS1"/>
      <c r="OPU1"/>
      <c r="OPW1"/>
      <c r="OPY1"/>
      <c r="OQA1"/>
      <c r="OQC1"/>
      <c r="OQE1"/>
      <c r="OQG1"/>
      <c r="OQI1"/>
      <c r="OQK1"/>
      <c r="OQM1"/>
      <c r="OQO1"/>
      <c r="OQQ1"/>
      <c r="OQS1"/>
      <c r="OQU1"/>
      <c r="OQW1"/>
      <c r="OQY1"/>
      <c r="ORA1"/>
      <c r="ORC1"/>
      <c r="ORE1"/>
      <c r="ORG1"/>
      <c r="ORI1"/>
      <c r="ORK1"/>
      <c r="ORM1"/>
      <c r="ORO1"/>
      <c r="ORQ1"/>
      <c r="ORS1"/>
      <c r="ORU1"/>
      <c r="ORW1"/>
      <c r="ORY1"/>
      <c r="OSA1"/>
      <c r="OSC1"/>
      <c r="OSE1"/>
      <c r="OSG1"/>
      <c r="OSI1"/>
      <c r="OSK1"/>
      <c r="OSM1"/>
      <c r="OSO1"/>
      <c r="OSQ1"/>
      <c r="OSS1"/>
      <c r="OSU1"/>
      <c r="OSW1"/>
      <c r="OSY1"/>
      <c r="OTA1"/>
      <c r="OTC1"/>
      <c r="OTE1"/>
      <c r="OTG1"/>
      <c r="OTI1"/>
      <c r="OTK1"/>
      <c r="OTM1"/>
      <c r="OTO1"/>
      <c r="OTQ1"/>
      <c r="OTS1"/>
      <c r="OTU1"/>
      <c r="OTW1"/>
      <c r="OTY1"/>
      <c r="OUA1"/>
      <c r="OUC1"/>
      <c r="OUE1"/>
      <c r="OUG1"/>
      <c r="OUI1"/>
      <c r="OUK1"/>
      <c r="OUM1"/>
      <c r="OUO1"/>
      <c r="OUQ1"/>
      <c r="OUS1"/>
      <c r="OUU1"/>
      <c r="OUW1"/>
      <c r="OUY1"/>
      <c r="OVA1"/>
      <c r="OVC1"/>
      <c r="OVE1"/>
      <c r="OVG1"/>
      <c r="OVI1"/>
      <c r="OVK1"/>
      <c r="OVM1"/>
      <c r="OVO1"/>
      <c r="OVQ1"/>
      <c r="OVS1"/>
      <c r="OVU1"/>
      <c r="OVW1"/>
      <c r="OVY1"/>
      <c r="OWA1"/>
      <c r="OWC1"/>
      <c r="OWE1"/>
      <c r="OWG1"/>
      <c r="OWI1"/>
      <c r="OWK1"/>
      <c r="OWM1"/>
      <c r="OWO1"/>
      <c r="OWQ1"/>
      <c r="OWS1"/>
      <c r="OWU1"/>
      <c r="OWW1"/>
      <c r="OWY1"/>
      <c r="OXA1"/>
      <c r="OXC1"/>
      <c r="OXE1"/>
      <c r="OXG1"/>
      <c r="OXI1"/>
      <c r="OXK1"/>
      <c r="OXM1"/>
      <c r="OXO1"/>
      <c r="OXQ1"/>
      <c r="OXS1"/>
      <c r="OXU1"/>
      <c r="OXW1"/>
      <c r="OXY1"/>
      <c r="OYA1"/>
      <c r="OYC1"/>
      <c r="OYE1"/>
      <c r="OYG1"/>
      <c r="OYI1"/>
      <c r="OYK1"/>
      <c r="OYM1"/>
      <c r="OYO1"/>
      <c r="OYQ1"/>
      <c r="OYS1"/>
      <c r="OYU1"/>
      <c r="OYW1"/>
      <c r="OYY1"/>
      <c r="OZA1"/>
      <c r="OZC1"/>
      <c r="OZE1"/>
      <c r="OZG1"/>
      <c r="OZI1"/>
      <c r="OZK1"/>
      <c r="OZM1"/>
      <c r="OZO1"/>
      <c r="OZQ1"/>
      <c r="OZS1"/>
      <c r="OZU1"/>
      <c r="OZW1"/>
      <c r="OZY1"/>
      <c r="PAA1"/>
      <c r="PAC1"/>
      <c r="PAE1"/>
      <c r="PAG1"/>
      <c r="PAI1"/>
      <c r="PAK1"/>
      <c r="PAM1"/>
      <c r="PAO1"/>
      <c r="PAQ1"/>
      <c r="PAS1"/>
      <c r="PAU1"/>
      <c r="PAW1"/>
      <c r="PAY1"/>
      <c r="PBA1"/>
      <c r="PBC1"/>
      <c r="PBE1"/>
      <c r="PBG1"/>
      <c r="PBI1"/>
      <c r="PBK1"/>
      <c r="PBM1"/>
      <c r="PBO1"/>
      <c r="PBQ1"/>
      <c r="PBS1"/>
      <c r="PBU1"/>
      <c r="PBW1"/>
      <c r="PBY1"/>
      <c r="PCA1"/>
      <c r="PCC1"/>
      <c r="PCE1"/>
      <c r="PCG1"/>
      <c r="PCI1"/>
      <c r="PCK1"/>
      <c r="PCM1"/>
      <c r="PCO1"/>
      <c r="PCQ1"/>
      <c r="PCS1"/>
      <c r="PCU1"/>
      <c r="PCW1"/>
      <c r="PCY1"/>
      <c r="PDA1"/>
      <c r="PDC1"/>
      <c r="PDE1"/>
      <c r="PDG1"/>
      <c r="PDI1"/>
      <c r="PDK1"/>
      <c r="PDM1"/>
      <c r="PDO1"/>
      <c r="PDQ1"/>
      <c r="PDS1"/>
      <c r="PDU1"/>
      <c r="PDW1"/>
      <c r="PDY1"/>
      <c r="PEA1"/>
      <c r="PEC1"/>
      <c r="PEE1"/>
      <c r="PEG1"/>
      <c r="PEI1"/>
      <c r="PEK1"/>
      <c r="PEM1"/>
      <c r="PEO1"/>
      <c r="PEQ1"/>
      <c r="PES1"/>
      <c r="PEU1"/>
      <c r="PEW1"/>
      <c r="PEY1"/>
      <c r="PFA1"/>
      <c r="PFC1"/>
      <c r="PFE1"/>
      <c r="PFG1"/>
      <c r="PFI1"/>
      <c r="PFK1"/>
      <c r="PFM1"/>
      <c r="PFO1"/>
      <c r="PFQ1"/>
      <c r="PFS1"/>
      <c r="PFU1"/>
      <c r="PFW1"/>
      <c r="PFY1"/>
      <c r="PGA1"/>
      <c r="PGC1"/>
      <c r="PGE1"/>
      <c r="PGG1"/>
      <c r="PGI1"/>
      <c r="PGK1"/>
      <c r="PGM1"/>
      <c r="PGO1"/>
      <c r="PGQ1"/>
      <c r="PGS1"/>
      <c r="PGU1"/>
      <c r="PGW1"/>
      <c r="PGY1"/>
      <c r="PHA1"/>
      <c r="PHC1"/>
      <c r="PHE1"/>
      <c r="PHG1"/>
      <c r="PHI1"/>
      <c r="PHK1"/>
      <c r="PHM1"/>
      <c r="PHO1"/>
      <c r="PHQ1"/>
      <c r="PHS1"/>
      <c r="PHU1"/>
      <c r="PHW1"/>
      <c r="PHY1"/>
      <c r="PIA1"/>
      <c r="PIC1"/>
      <c r="PIE1"/>
      <c r="PIG1"/>
      <c r="PII1"/>
      <c r="PIK1"/>
      <c r="PIM1"/>
      <c r="PIO1"/>
      <c r="PIQ1"/>
      <c r="PIS1"/>
      <c r="PIU1"/>
      <c r="PIW1"/>
      <c r="PIY1"/>
      <c r="PJA1"/>
      <c r="PJC1"/>
      <c r="PJE1"/>
      <c r="PJG1"/>
      <c r="PJI1"/>
      <c r="PJK1"/>
      <c r="PJM1"/>
      <c r="PJO1"/>
      <c r="PJQ1"/>
      <c r="PJS1"/>
      <c r="PJU1"/>
      <c r="PJW1"/>
      <c r="PJY1"/>
      <c r="PKA1"/>
      <c r="PKC1"/>
      <c r="PKE1"/>
      <c r="PKG1"/>
      <c r="PKI1"/>
      <c r="PKK1"/>
      <c r="PKM1"/>
      <c r="PKO1"/>
      <c r="PKQ1"/>
      <c r="PKS1"/>
      <c r="PKU1"/>
      <c r="PKW1"/>
      <c r="PKY1"/>
      <c r="PLA1"/>
      <c r="PLC1"/>
      <c r="PLE1"/>
      <c r="PLG1"/>
      <c r="PLI1"/>
      <c r="PLK1"/>
      <c r="PLM1"/>
      <c r="PLO1"/>
      <c r="PLQ1"/>
      <c r="PLS1"/>
      <c r="PLU1"/>
      <c r="PLW1"/>
      <c r="PLY1"/>
      <c r="PMA1"/>
      <c r="PMC1"/>
      <c r="PME1"/>
      <c r="PMG1"/>
      <c r="PMI1"/>
      <c r="PMK1"/>
      <c r="PMM1"/>
      <c r="PMO1"/>
      <c r="PMQ1"/>
      <c r="PMS1"/>
      <c r="PMU1"/>
      <c r="PMW1"/>
      <c r="PMY1"/>
      <c r="PNA1"/>
      <c r="PNC1"/>
      <c r="PNE1"/>
      <c r="PNG1"/>
      <c r="PNI1"/>
      <c r="PNK1"/>
      <c r="PNM1"/>
      <c r="PNO1"/>
      <c r="PNQ1"/>
      <c r="PNS1"/>
      <c r="PNU1"/>
      <c r="PNW1"/>
      <c r="PNY1"/>
      <c r="POA1"/>
      <c r="POC1"/>
      <c r="POE1"/>
      <c r="POG1"/>
      <c r="POI1"/>
      <c r="POK1"/>
      <c r="POM1"/>
      <c r="POO1"/>
      <c r="POQ1"/>
      <c r="POS1"/>
      <c r="POU1"/>
      <c r="POW1"/>
      <c r="POY1"/>
      <c r="PPA1"/>
      <c r="PPC1"/>
      <c r="PPE1"/>
      <c r="PPG1"/>
      <c r="PPI1"/>
      <c r="PPK1"/>
      <c r="PPM1"/>
      <c r="PPO1"/>
      <c r="PPQ1"/>
      <c r="PPS1"/>
      <c r="PPU1"/>
      <c r="PPW1"/>
      <c r="PPY1"/>
      <c r="PQA1"/>
      <c r="PQC1"/>
      <c r="PQE1"/>
      <c r="PQG1"/>
      <c r="PQI1"/>
      <c r="PQK1"/>
      <c r="PQM1"/>
      <c r="PQO1"/>
      <c r="PQQ1"/>
      <c r="PQS1"/>
      <c r="PQU1"/>
      <c r="PQW1"/>
      <c r="PQY1"/>
      <c r="PRA1"/>
      <c r="PRC1"/>
      <c r="PRE1"/>
      <c r="PRG1"/>
      <c r="PRI1"/>
      <c r="PRK1"/>
      <c r="PRM1"/>
      <c r="PRO1"/>
      <c r="PRQ1"/>
      <c r="PRS1"/>
      <c r="PRU1"/>
      <c r="PRW1"/>
      <c r="PRY1"/>
      <c r="PSA1"/>
      <c r="PSC1"/>
      <c r="PSE1"/>
      <c r="PSG1"/>
      <c r="PSI1"/>
      <c r="PSK1"/>
      <c r="PSM1"/>
      <c r="PSO1"/>
      <c r="PSQ1"/>
      <c r="PSS1"/>
      <c r="PSU1"/>
      <c r="PSW1"/>
      <c r="PSY1"/>
      <c r="PTA1"/>
      <c r="PTC1"/>
      <c r="PTE1"/>
      <c r="PTG1"/>
      <c r="PTI1"/>
      <c r="PTK1"/>
      <c r="PTM1"/>
      <c r="PTO1"/>
      <c r="PTQ1"/>
      <c r="PTS1"/>
      <c r="PTU1"/>
      <c r="PTW1"/>
      <c r="PTY1"/>
      <c r="PUA1"/>
      <c r="PUC1"/>
      <c r="PUE1"/>
      <c r="PUG1"/>
      <c r="PUI1"/>
      <c r="PUK1"/>
      <c r="PUM1"/>
      <c r="PUO1"/>
      <c r="PUQ1"/>
      <c r="PUS1"/>
      <c r="PUU1"/>
      <c r="PUW1"/>
      <c r="PUY1"/>
      <c r="PVA1"/>
      <c r="PVC1"/>
      <c r="PVE1"/>
      <c r="PVG1"/>
      <c r="PVI1"/>
      <c r="PVK1"/>
      <c r="PVM1"/>
      <c r="PVO1"/>
      <c r="PVQ1"/>
      <c r="PVS1"/>
      <c r="PVU1"/>
      <c r="PVW1"/>
      <c r="PVY1"/>
      <c r="PWA1"/>
      <c r="PWC1"/>
      <c r="PWE1"/>
      <c r="PWG1"/>
      <c r="PWI1"/>
      <c r="PWK1"/>
      <c r="PWM1"/>
      <c r="PWO1"/>
      <c r="PWQ1"/>
      <c r="PWS1"/>
      <c r="PWU1"/>
      <c r="PWW1"/>
      <c r="PWY1"/>
      <c r="PXA1"/>
      <c r="PXC1"/>
      <c r="PXE1"/>
      <c r="PXG1"/>
      <c r="PXI1"/>
      <c r="PXK1"/>
      <c r="PXM1"/>
      <c r="PXO1"/>
      <c r="PXQ1"/>
      <c r="PXS1"/>
      <c r="PXU1"/>
      <c r="PXW1"/>
      <c r="PXY1"/>
      <c r="PYA1"/>
      <c r="PYC1"/>
      <c r="PYE1"/>
      <c r="PYG1"/>
      <c r="PYI1"/>
      <c r="PYK1"/>
      <c r="PYM1"/>
      <c r="PYO1"/>
      <c r="PYQ1"/>
      <c r="PYS1"/>
      <c r="PYU1"/>
      <c r="PYW1"/>
      <c r="PYY1"/>
      <c r="PZA1"/>
      <c r="PZC1"/>
      <c r="PZE1"/>
      <c r="PZG1"/>
      <c r="PZI1"/>
      <c r="PZK1"/>
      <c r="PZM1"/>
      <c r="PZO1"/>
      <c r="PZQ1"/>
      <c r="PZS1"/>
      <c r="PZU1"/>
      <c r="PZW1"/>
      <c r="PZY1"/>
      <c r="QAA1"/>
      <c r="QAC1"/>
      <c r="QAE1"/>
      <c r="QAG1"/>
      <c r="QAI1"/>
      <c r="QAK1"/>
      <c r="QAM1"/>
      <c r="QAO1"/>
      <c r="QAQ1"/>
      <c r="QAS1"/>
      <c r="QAU1"/>
      <c r="QAW1"/>
      <c r="QAY1"/>
      <c r="QBA1"/>
      <c r="QBC1"/>
      <c r="QBE1"/>
      <c r="QBG1"/>
      <c r="QBI1"/>
      <c r="QBK1"/>
      <c r="QBM1"/>
      <c r="QBO1"/>
      <c r="QBQ1"/>
      <c r="QBS1"/>
      <c r="QBU1"/>
      <c r="QBW1"/>
      <c r="QBY1"/>
      <c r="QCA1"/>
      <c r="QCC1"/>
      <c r="QCE1"/>
      <c r="QCG1"/>
      <c r="QCI1"/>
      <c r="QCK1"/>
      <c r="QCM1"/>
      <c r="QCO1"/>
      <c r="QCQ1"/>
      <c r="QCS1"/>
      <c r="QCU1"/>
      <c r="QCW1"/>
      <c r="QCY1"/>
      <c r="QDA1"/>
      <c r="QDC1"/>
      <c r="QDE1"/>
      <c r="QDG1"/>
      <c r="QDI1"/>
      <c r="QDK1"/>
      <c r="QDM1"/>
      <c r="QDO1"/>
      <c r="QDQ1"/>
      <c r="QDS1"/>
      <c r="QDU1"/>
      <c r="QDW1"/>
      <c r="QDY1"/>
      <c r="QEA1"/>
      <c r="QEC1"/>
      <c r="QEE1"/>
      <c r="QEG1"/>
      <c r="QEI1"/>
      <c r="QEK1"/>
      <c r="QEM1"/>
      <c r="QEO1"/>
      <c r="QEQ1"/>
      <c r="QES1"/>
      <c r="QEU1"/>
      <c r="QEW1"/>
      <c r="QEY1"/>
      <c r="QFA1"/>
      <c r="QFC1"/>
      <c r="QFE1"/>
      <c r="QFG1"/>
      <c r="QFI1"/>
      <c r="QFK1"/>
      <c r="QFM1"/>
      <c r="QFO1"/>
      <c r="QFQ1"/>
      <c r="QFS1"/>
      <c r="QFU1"/>
      <c r="QFW1"/>
      <c r="QFY1"/>
      <c r="QGA1"/>
      <c r="QGC1"/>
      <c r="QGE1"/>
      <c r="QGG1"/>
      <c r="QGI1"/>
      <c r="QGK1"/>
      <c r="QGM1"/>
      <c r="QGO1"/>
      <c r="QGQ1"/>
      <c r="QGS1"/>
      <c r="QGU1"/>
      <c r="QGW1"/>
      <c r="QGY1"/>
      <c r="QHA1"/>
      <c r="QHC1"/>
      <c r="QHE1"/>
      <c r="QHG1"/>
      <c r="QHI1"/>
      <c r="QHK1"/>
      <c r="QHM1"/>
      <c r="QHO1"/>
      <c r="QHQ1"/>
      <c r="QHS1"/>
      <c r="QHU1"/>
      <c r="QHW1"/>
      <c r="QHY1"/>
      <c r="QIA1"/>
      <c r="QIC1"/>
      <c r="QIE1"/>
      <c r="QIG1"/>
      <c r="QII1"/>
      <c r="QIK1"/>
      <c r="QIM1"/>
      <c r="QIO1"/>
      <c r="QIQ1"/>
      <c r="QIS1"/>
      <c r="QIU1"/>
      <c r="QIW1"/>
      <c r="QIY1"/>
      <c r="QJA1"/>
      <c r="QJC1"/>
      <c r="QJE1"/>
      <c r="QJG1"/>
      <c r="QJI1"/>
      <c r="QJK1"/>
      <c r="QJM1"/>
      <c r="QJO1"/>
      <c r="QJQ1"/>
      <c r="QJS1"/>
      <c r="QJU1"/>
      <c r="QJW1"/>
      <c r="QJY1"/>
      <c r="QKA1"/>
      <c r="QKC1"/>
      <c r="QKE1"/>
      <c r="QKG1"/>
      <c r="QKI1"/>
      <c r="QKK1"/>
      <c r="QKM1"/>
      <c r="QKO1"/>
      <c r="QKQ1"/>
      <c r="QKS1"/>
      <c r="QKU1"/>
      <c r="QKW1"/>
      <c r="QKY1"/>
      <c r="QLA1"/>
      <c r="QLC1"/>
      <c r="QLE1"/>
      <c r="QLG1"/>
      <c r="QLI1"/>
      <c r="QLK1"/>
      <c r="QLM1"/>
      <c r="QLO1"/>
      <c r="QLQ1"/>
      <c r="QLS1"/>
      <c r="QLU1"/>
      <c r="QLW1"/>
      <c r="QLY1"/>
      <c r="QMA1"/>
      <c r="QMC1"/>
      <c r="QME1"/>
      <c r="QMG1"/>
      <c r="QMI1"/>
      <c r="QMK1"/>
      <c r="QMM1"/>
      <c r="QMO1"/>
      <c r="QMQ1"/>
      <c r="QMS1"/>
      <c r="QMU1"/>
      <c r="QMW1"/>
      <c r="QMY1"/>
      <c r="QNA1"/>
      <c r="QNC1"/>
      <c r="QNE1"/>
      <c r="QNG1"/>
      <c r="QNI1"/>
      <c r="QNK1"/>
      <c r="QNM1"/>
      <c r="QNO1"/>
      <c r="QNQ1"/>
      <c r="QNS1"/>
      <c r="QNU1"/>
      <c r="QNW1"/>
      <c r="QNY1"/>
      <c r="QOA1"/>
      <c r="QOC1"/>
      <c r="QOE1"/>
      <c r="QOG1"/>
      <c r="QOI1"/>
      <c r="QOK1"/>
      <c r="QOM1"/>
      <c r="QOO1"/>
      <c r="QOQ1"/>
      <c r="QOS1"/>
      <c r="QOU1"/>
      <c r="QOW1"/>
      <c r="QOY1"/>
      <c r="QPA1"/>
      <c r="QPC1"/>
      <c r="QPE1"/>
      <c r="QPG1"/>
      <c r="QPI1"/>
      <c r="QPK1"/>
      <c r="QPM1"/>
      <c r="QPO1"/>
      <c r="QPQ1"/>
      <c r="QPS1"/>
      <c r="QPU1"/>
      <c r="QPW1"/>
      <c r="QPY1"/>
      <c r="QQA1"/>
      <c r="QQC1"/>
      <c r="QQE1"/>
      <c r="QQG1"/>
      <c r="QQI1"/>
      <c r="QQK1"/>
      <c r="QQM1"/>
      <c r="QQO1"/>
      <c r="QQQ1"/>
      <c r="QQS1"/>
      <c r="QQU1"/>
      <c r="QQW1"/>
      <c r="QQY1"/>
      <c r="QRA1"/>
      <c r="QRC1"/>
      <c r="QRE1"/>
      <c r="QRG1"/>
      <c r="QRI1"/>
      <c r="QRK1"/>
      <c r="QRM1"/>
      <c r="QRO1"/>
      <c r="QRQ1"/>
      <c r="QRS1"/>
      <c r="QRU1"/>
      <c r="QRW1"/>
      <c r="QRY1"/>
      <c r="QSA1"/>
      <c r="QSC1"/>
      <c r="QSE1"/>
      <c r="QSG1"/>
      <c r="QSI1"/>
      <c r="QSK1"/>
      <c r="QSM1"/>
      <c r="QSO1"/>
      <c r="QSQ1"/>
      <c r="QSS1"/>
      <c r="QSU1"/>
      <c r="QSW1"/>
      <c r="QSY1"/>
      <c r="QTA1"/>
      <c r="QTC1"/>
      <c r="QTE1"/>
      <c r="QTG1"/>
      <c r="QTI1"/>
      <c r="QTK1"/>
      <c r="QTM1"/>
      <c r="QTO1"/>
      <c r="QTQ1"/>
      <c r="QTS1"/>
      <c r="QTU1"/>
      <c r="QTW1"/>
      <c r="QTY1"/>
      <c r="QUA1"/>
      <c r="QUC1"/>
      <c r="QUE1"/>
      <c r="QUG1"/>
      <c r="QUI1"/>
      <c r="QUK1"/>
      <c r="QUM1"/>
      <c r="QUO1"/>
      <c r="QUQ1"/>
      <c r="QUS1"/>
      <c r="QUU1"/>
      <c r="QUW1"/>
      <c r="QUY1"/>
      <c r="QVA1"/>
      <c r="QVC1"/>
      <c r="QVE1"/>
      <c r="QVG1"/>
      <c r="QVI1"/>
      <c r="QVK1"/>
      <c r="QVM1"/>
      <c r="QVO1"/>
      <c r="QVQ1"/>
      <c r="QVS1"/>
      <c r="QVU1"/>
      <c r="QVW1"/>
      <c r="QVY1"/>
      <c r="QWA1"/>
      <c r="QWC1"/>
      <c r="QWE1"/>
      <c r="QWG1"/>
      <c r="QWI1"/>
      <c r="QWK1"/>
      <c r="QWM1"/>
      <c r="QWO1"/>
      <c r="QWQ1"/>
      <c r="QWS1"/>
      <c r="QWU1"/>
      <c r="QWW1"/>
      <c r="QWY1"/>
      <c r="QXA1"/>
      <c r="QXC1"/>
      <c r="QXE1"/>
      <c r="QXG1"/>
      <c r="QXI1"/>
      <c r="QXK1"/>
      <c r="QXM1"/>
      <c r="QXO1"/>
      <c r="QXQ1"/>
      <c r="QXS1"/>
      <c r="QXU1"/>
      <c r="QXW1"/>
      <c r="QXY1"/>
      <c r="QYA1"/>
      <c r="QYC1"/>
      <c r="QYE1"/>
      <c r="QYG1"/>
      <c r="QYI1"/>
      <c r="QYK1"/>
      <c r="QYM1"/>
      <c r="QYO1"/>
      <c r="QYQ1"/>
      <c r="QYS1"/>
      <c r="QYU1"/>
      <c r="QYW1"/>
      <c r="QYY1"/>
      <c r="QZA1"/>
      <c r="QZC1"/>
      <c r="QZE1"/>
      <c r="QZG1"/>
      <c r="QZI1"/>
      <c r="QZK1"/>
      <c r="QZM1"/>
      <c r="QZO1"/>
      <c r="QZQ1"/>
      <c r="QZS1"/>
      <c r="QZU1"/>
      <c r="QZW1"/>
      <c r="QZY1"/>
      <c r="RAA1"/>
      <c r="RAC1"/>
      <c r="RAE1"/>
      <c r="RAG1"/>
      <c r="RAI1"/>
      <c r="RAK1"/>
      <c r="RAM1"/>
      <c r="RAO1"/>
      <c r="RAQ1"/>
      <c r="RAS1"/>
      <c r="RAU1"/>
      <c r="RAW1"/>
      <c r="RAY1"/>
      <c r="RBA1"/>
      <c r="RBC1"/>
      <c r="RBE1"/>
      <c r="RBG1"/>
      <c r="RBI1"/>
      <c r="RBK1"/>
      <c r="RBM1"/>
      <c r="RBO1"/>
      <c r="RBQ1"/>
      <c r="RBS1"/>
      <c r="RBU1"/>
      <c r="RBW1"/>
      <c r="RBY1"/>
      <c r="RCA1"/>
      <c r="RCC1"/>
      <c r="RCE1"/>
      <c r="RCG1"/>
      <c r="RCI1"/>
      <c r="RCK1"/>
      <c r="RCM1"/>
      <c r="RCO1"/>
      <c r="RCQ1"/>
      <c r="RCS1"/>
      <c r="RCU1"/>
      <c r="RCW1"/>
      <c r="RCY1"/>
      <c r="RDA1"/>
      <c r="RDC1"/>
      <c r="RDE1"/>
      <c r="RDG1"/>
      <c r="RDI1"/>
      <c r="RDK1"/>
      <c r="RDM1"/>
      <c r="RDO1"/>
      <c r="RDQ1"/>
      <c r="RDS1"/>
      <c r="RDU1"/>
      <c r="RDW1"/>
      <c r="RDY1"/>
      <c r="REA1"/>
      <c r="REC1"/>
      <c r="REE1"/>
      <c r="REG1"/>
      <c r="REI1"/>
      <c r="REK1"/>
      <c r="REM1"/>
      <c r="REO1"/>
      <c r="REQ1"/>
      <c r="RES1"/>
      <c r="REU1"/>
      <c r="REW1"/>
      <c r="REY1"/>
      <c r="RFA1"/>
      <c r="RFC1"/>
      <c r="RFE1"/>
      <c r="RFG1"/>
      <c r="RFI1"/>
      <c r="RFK1"/>
      <c r="RFM1"/>
      <c r="RFO1"/>
      <c r="RFQ1"/>
      <c r="RFS1"/>
      <c r="RFU1"/>
      <c r="RFW1"/>
      <c r="RFY1"/>
      <c r="RGA1"/>
      <c r="RGC1"/>
      <c r="RGE1"/>
      <c r="RGG1"/>
      <c r="RGI1"/>
      <c r="RGK1"/>
      <c r="RGM1"/>
      <c r="RGO1"/>
      <c r="RGQ1"/>
      <c r="RGS1"/>
      <c r="RGU1"/>
      <c r="RGW1"/>
      <c r="RGY1"/>
      <c r="RHA1"/>
      <c r="RHC1"/>
      <c r="RHE1"/>
      <c r="RHG1"/>
      <c r="RHI1"/>
      <c r="RHK1"/>
      <c r="RHM1"/>
      <c r="RHO1"/>
      <c r="RHQ1"/>
      <c r="RHS1"/>
      <c r="RHU1"/>
      <c r="RHW1"/>
      <c r="RHY1"/>
      <c r="RIA1"/>
      <c r="RIC1"/>
      <c r="RIE1"/>
      <c r="RIG1"/>
      <c r="RII1"/>
      <c r="RIK1"/>
      <c r="RIM1"/>
      <c r="RIO1"/>
      <c r="RIQ1"/>
      <c r="RIS1"/>
      <c r="RIU1"/>
      <c r="RIW1"/>
      <c r="RIY1"/>
      <c r="RJA1"/>
      <c r="RJC1"/>
      <c r="RJE1"/>
      <c r="RJG1"/>
      <c r="RJI1"/>
      <c r="RJK1"/>
      <c r="RJM1"/>
      <c r="RJO1"/>
      <c r="RJQ1"/>
      <c r="RJS1"/>
      <c r="RJU1"/>
      <c r="RJW1"/>
      <c r="RJY1"/>
      <c r="RKA1"/>
      <c r="RKC1"/>
      <c r="RKE1"/>
      <c r="RKG1"/>
      <c r="RKI1"/>
      <c r="RKK1"/>
      <c r="RKM1"/>
      <c r="RKO1"/>
      <c r="RKQ1"/>
      <c r="RKS1"/>
      <c r="RKU1"/>
      <c r="RKW1"/>
      <c r="RKY1"/>
      <c r="RLA1"/>
      <c r="RLC1"/>
      <c r="RLE1"/>
      <c r="RLG1"/>
      <c r="RLI1"/>
      <c r="RLK1"/>
      <c r="RLM1"/>
      <c r="RLO1"/>
      <c r="RLQ1"/>
      <c r="RLS1"/>
      <c r="RLU1"/>
      <c r="RLW1"/>
      <c r="RLY1"/>
      <c r="RMA1"/>
      <c r="RMC1"/>
      <c r="RME1"/>
      <c r="RMG1"/>
      <c r="RMI1"/>
      <c r="RMK1"/>
      <c r="RMM1"/>
      <c r="RMO1"/>
      <c r="RMQ1"/>
      <c r="RMS1"/>
      <c r="RMU1"/>
      <c r="RMW1"/>
      <c r="RMY1"/>
      <c r="RNA1"/>
      <c r="RNC1"/>
      <c r="RNE1"/>
      <c r="RNG1"/>
      <c r="RNI1"/>
      <c r="RNK1"/>
      <c r="RNM1"/>
      <c r="RNO1"/>
      <c r="RNQ1"/>
      <c r="RNS1"/>
      <c r="RNU1"/>
      <c r="RNW1"/>
      <c r="RNY1"/>
      <c r="ROA1"/>
      <c r="ROC1"/>
      <c r="ROE1"/>
      <c r="ROG1"/>
      <c r="ROI1"/>
      <c r="ROK1"/>
      <c r="ROM1"/>
      <c r="ROO1"/>
      <c r="ROQ1"/>
      <c r="ROS1"/>
      <c r="ROU1"/>
      <c r="ROW1"/>
      <c r="ROY1"/>
      <c r="RPA1"/>
      <c r="RPC1"/>
      <c r="RPE1"/>
      <c r="RPG1"/>
      <c r="RPI1"/>
      <c r="RPK1"/>
      <c r="RPM1"/>
      <c r="RPO1"/>
      <c r="RPQ1"/>
      <c r="RPS1"/>
      <c r="RPU1"/>
      <c r="RPW1"/>
      <c r="RPY1"/>
      <c r="RQA1"/>
      <c r="RQC1"/>
      <c r="RQE1"/>
      <c r="RQG1"/>
      <c r="RQI1"/>
      <c r="RQK1"/>
      <c r="RQM1"/>
      <c r="RQO1"/>
      <c r="RQQ1"/>
      <c r="RQS1"/>
      <c r="RQU1"/>
      <c r="RQW1"/>
      <c r="RQY1"/>
      <c r="RRA1"/>
      <c r="RRC1"/>
      <c r="RRE1"/>
      <c r="RRG1"/>
      <c r="RRI1"/>
      <c r="RRK1"/>
      <c r="RRM1"/>
      <c r="RRO1"/>
      <c r="RRQ1"/>
      <c r="RRS1"/>
      <c r="RRU1"/>
      <c r="RRW1"/>
      <c r="RRY1"/>
      <c r="RSA1"/>
      <c r="RSC1"/>
      <c r="RSE1"/>
      <c r="RSG1"/>
      <c r="RSI1"/>
      <c r="RSK1"/>
      <c r="RSM1"/>
      <c r="RSO1"/>
      <c r="RSQ1"/>
      <c r="RSS1"/>
      <c r="RSU1"/>
      <c r="RSW1"/>
      <c r="RSY1"/>
      <c r="RTA1"/>
      <c r="RTC1"/>
      <c r="RTE1"/>
      <c r="RTG1"/>
      <c r="RTI1"/>
      <c r="RTK1"/>
      <c r="RTM1"/>
      <c r="RTO1"/>
      <c r="RTQ1"/>
      <c r="RTS1"/>
      <c r="RTU1"/>
      <c r="RTW1"/>
      <c r="RTY1"/>
      <c r="RUA1"/>
      <c r="RUC1"/>
      <c r="RUE1"/>
      <c r="RUG1"/>
      <c r="RUI1"/>
      <c r="RUK1"/>
      <c r="RUM1"/>
      <c r="RUO1"/>
      <c r="RUQ1"/>
      <c r="RUS1"/>
      <c r="RUU1"/>
      <c r="RUW1"/>
      <c r="RUY1"/>
      <c r="RVA1"/>
      <c r="RVC1"/>
      <c r="RVE1"/>
      <c r="RVG1"/>
      <c r="RVI1"/>
      <c r="RVK1"/>
      <c r="RVM1"/>
      <c r="RVO1"/>
      <c r="RVQ1"/>
      <c r="RVS1"/>
      <c r="RVU1"/>
      <c r="RVW1"/>
      <c r="RVY1"/>
      <c r="RWA1"/>
      <c r="RWC1"/>
      <c r="RWE1"/>
      <c r="RWG1"/>
      <c r="RWI1"/>
      <c r="RWK1"/>
      <c r="RWM1"/>
      <c r="RWO1"/>
      <c r="RWQ1"/>
      <c r="RWS1"/>
      <c r="RWU1"/>
      <c r="RWW1"/>
      <c r="RWY1"/>
      <c r="RXA1"/>
      <c r="RXC1"/>
      <c r="RXE1"/>
      <c r="RXG1"/>
      <c r="RXI1"/>
      <c r="RXK1"/>
      <c r="RXM1"/>
      <c r="RXO1"/>
      <c r="RXQ1"/>
      <c r="RXS1"/>
      <c r="RXU1"/>
      <c r="RXW1"/>
      <c r="RXY1"/>
      <c r="RYA1"/>
      <c r="RYC1"/>
      <c r="RYE1"/>
      <c r="RYG1"/>
      <c r="RYI1"/>
      <c r="RYK1"/>
      <c r="RYM1"/>
      <c r="RYO1"/>
      <c r="RYQ1"/>
      <c r="RYS1"/>
      <c r="RYU1"/>
      <c r="RYW1"/>
      <c r="RYY1"/>
      <c r="RZA1"/>
      <c r="RZC1"/>
      <c r="RZE1"/>
      <c r="RZG1"/>
      <c r="RZI1"/>
      <c r="RZK1"/>
      <c r="RZM1"/>
      <c r="RZO1"/>
      <c r="RZQ1"/>
      <c r="RZS1"/>
      <c r="RZU1"/>
      <c r="RZW1"/>
      <c r="RZY1"/>
      <c r="SAA1"/>
      <c r="SAC1"/>
      <c r="SAE1"/>
      <c r="SAG1"/>
      <c r="SAI1"/>
      <c r="SAK1"/>
      <c r="SAM1"/>
      <c r="SAO1"/>
      <c r="SAQ1"/>
      <c r="SAS1"/>
      <c r="SAU1"/>
      <c r="SAW1"/>
      <c r="SAY1"/>
      <c r="SBA1"/>
      <c r="SBC1"/>
      <c r="SBE1"/>
      <c r="SBG1"/>
      <c r="SBI1"/>
      <c r="SBK1"/>
      <c r="SBM1"/>
      <c r="SBO1"/>
      <c r="SBQ1"/>
      <c r="SBS1"/>
      <c r="SBU1"/>
      <c r="SBW1"/>
      <c r="SBY1"/>
      <c r="SCA1"/>
      <c r="SCC1"/>
      <c r="SCE1"/>
      <c r="SCG1"/>
      <c r="SCI1"/>
      <c r="SCK1"/>
      <c r="SCM1"/>
      <c r="SCO1"/>
      <c r="SCQ1"/>
      <c r="SCS1"/>
      <c r="SCU1"/>
      <c r="SCW1"/>
      <c r="SCY1"/>
      <c r="SDA1"/>
      <c r="SDC1"/>
      <c r="SDE1"/>
      <c r="SDG1"/>
      <c r="SDI1"/>
      <c r="SDK1"/>
      <c r="SDM1"/>
      <c r="SDO1"/>
      <c r="SDQ1"/>
      <c r="SDS1"/>
      <c r="SDU1"/>
      <c r="SDW1"/>
      <c r="SDY1"/>
      <c r="SEA1"/>
      <c r="SEC1"/>
      <c r="SEE1"/>
      <c r="SEG1"/>
      <c r="SEI1"/>
      <c r="SEK1"/>
      <c r="SEM1"/>
      <c r="SEO1"/>
      <c r="SEQ1"/>
      <c r="SES1"/>
      <c r="SEU1"/>
      <c r="SEW1"/>
      <c r="SEY1"/>
      <c r="SFA1"/>
      <c r="SFC1"/>
      <c r="SFE1"/>
      <c r="SFG1"/>
      <c r="SFI1"/>
      <c r="SFK1"/>
      <c r="SFM1"/>
      <c r="SFO1"/>
      <c r="SFQ1"/>
      <c r="SFS1"/>
      <c r="SFU1"/>
      <c r="SFW1"/>
      <c r="SFY1"/>
      <c r="SGA1"/>
      <c r="SGC1"/>
      <c r="SGE1"/>
      <c r="SGG1"/>
      <c r="SGI1"/>
      <c r="SGK1"/>
      <c r="SGM1"/>
      <c r="SGO1"/>
      <c r="SGQ1"/>
      <c r="SGS1"/>
      <c r="SGU1"/>
      <c r="SGW1"/>
      <c r="SGY1"/>
      <c r="SHA1"/>
      <c r="SHC1"/>
      <c r="SHE1"/>
      <c r="SHG1"/>
      <c r="SHI1"/>
      <c r="SHK1"/>
      <c r="SHM1"/>
      <c r="SHO1"/>
      <c r="SHQ1"/>
      <c r="SHS1"/>
      <c r="SHU1"/>
      <c r="SHW1"/>
      <c r="SHY1"/>
      <c r="SIA1"/>
      <c r="SIC1"/>
      <c r="SIE1"/>
      <c r="SIG1"/>
      <c r="SII1"/>
      <c r="SIK1"/>
      <c r="SIM1"/>
      <c r="SIO1"/>
      <c r="SIQ1"/>
      <c r="SIS1"/>
      <c r="SIU1"/>
      <c r="SIW1"/>
      <c r="SIY1"/>
      <c r="SJA1"/>
      <c r="SJC1"/>
      <c r="SJE1"/>
      <c r="SJG1"/>
      <c r="SJI1"/>
      <c r="SJK1"/>
      <c r="SJM1"/>
      <c r="SJO1"/>
      <c r="SJQ1"/>
      <c r="SJS1"/>
      <c r="SJU1"/>
      <c r="SJW1"/>
      <c r="SJY1"/>
      <c r="SKA1"/>
      <c r="SKC1"/>
      <c r="SKE1"/>
      <c r="SKG1"/>
      <c r="SKI1"/>
      <c r="SKK1"/>
      <c r="SKM1"/>
      <c r="SKO1"/>
      <c r="SKQ1"/>
      <c r="SKS1"/>
      <c r="SKU1"/>
      <c r="SKW1"/>
      <c r="SKY1"/>
      <c r="SLA1"/>
      <c r="SLC1"/>
      <c r="SLE1"/>
      <c r="SLG1"/>
      <c r="SLI1"/>
      <c r="SLK1"/>
      <c r="SLM1"/>
      <c r="SLO1"/>
      <c r="SLQ1"/>
      <c r="SLS1"/>
      <c r="SLU1"/>
      <c r="SLW1"/>
      <c r="SLY1"/>
      <c r="SMA1"/>
      <c r="SMC1"/>
      <c r="SME1"/>
      <c r="SMG1"/>
      <c r="SMI1"/>
      <c r="SMK1"/>
      <c r="SMM1"/>
      <c r="SMO1"/>
      <c r="SMQ1"/>
      <c r="SMS1"/>
      <c r="SMU1"/>
      <c r="SMW1"/>
      <c r="SMY1"/>
      <c r="SNA1"/>
      <c r="SNC1"/>
      <c r="SNE1"/>
      <c r="SNG1"/>
      <c r="SNI1"/>
      <c r="SNK1"/>
      <c r="SNM1"/>
      <c r="SNO1"/>
      <c r="SNQ1"/>
      <c r="SNS1"/>
      <c r="SNU1"/>
      <c r="SNW1"/>
      <c r="SNY1"/>
      <c r="SOA1"/>
      <c r="SOC1"/>
      <c r="SOE1"/>
      <c r="SOG1"/>
      <c r="SOI1"/>
      <c r="SOK1"/>
      <c r="SOM1"/>
      <c r="SOO1"/>
      <c r="SOQ1"/>
      <c r="SOS1"/>
      <c r="SOU1"/>
      <c r="SOW1"/>
      <c r="SOY1"/>
      <c r="SPA1"/>
      <c r="SPC1"/>
      <c r="SPE1"/>
      <c r="SPG1"/>
      <c r="SPI1"/>
      <c r="SPK1"/>
      <c r="SPM1"/>
      <c r="SPO1"/>
      <c r="SPQ1"/>
      <c r="SPS1"/>
      <c r="SPU1"/>
      <c r="SPW1"/>
      <c r="SPY1"/>
      <c r="SQA1"/>
      <c r="SQC1"/>
      <c r="SQE1"/>
      <c r="SQG1"/>
      <c r="SQI1"/>
      <c r="SQK1"/>
      <c r="SQM1"/>
      <c r="SQO1"/>
      <c r="SQQ1"/>
      <c r="SQS1"/>
      <c r="SQU1"/>
      <c r="SQW1"/>
      <c r="SQY1"/>
      <c r="SRA1"/>
      <c r="SRC1"/>
      <c r="SRE1"/>
      <c r="SRG1"/>
      <c r="SRI1"/>
      <c r="SRK1"/>
      <c r="SRM1"/>
      <c r="SRO1"/>
      <c r="SRQ1"/>
      <c r="SRS1"/>
      <c r="SRU1"/>
      <c r="SRW1"/>
      <c r="SRY1"/>
      <c r="SSA1"/>
      <c r="SSC1"/>
      <c r="SSE1"/>
      <c r="SSG1"/>
      <c r="SSI1"/>
      <c r="SSK1"/>
      <c r="SSM1"/>
      <c r="SSO1"/>
      <c r="SSQ1"/>
      <c r="SSS1"/>
      <c r="SSU1"/>
      <c r="SSW1"/>
      <c r="SSY1"/>
      <c r="STA1"/>
      <c r="STC1"/>
      <c r="STE1"/>
      <c r="STG1"/>
      <c r="STI1"/>
      <c r="STK1"/>
      <c r="STM1"/>
      <c r="STO1"/>
      <c r="STQ1"/>
      <c r="STS1"/>
      <c r="STU1"/>
      <c r="STW1"/>
      <c r="STY1"/>
      <c r="SUA1"/>
      <c r="SUC1"/>
      <c r="SUE1"/>
      <c r="SUG1"/>
      <c r="SUI1"/>
      <c r="SUK1"/>
      <c r="SUM1"/>
      <c r="SUO1"/>
      <c r="SUQ1"/>
      <c r="SUS1"/>
      <c r="SUU1"/>
      <c r="SUW1"/>
      <c r="SUY1"/>
      <c r="SVA1"/>
      <c r="SVC1"/>
      <c r="SVE1"/>
      <c r="SVG1"/>
      <c r="SVI1"/>
      <c r="SVK1"/>
      <c r="SVM1"/>
      <c r="SVO1"/>
      <c r="SVQ1"/>
      <c r="SVS1"/>
      <c r="SVU1"/>
      <c r="SVW1"/>
      <c r="SVY1"/>
      <c r="SWA1"/>
      <c r="SWC1"/>
      <c r="SWE1"/>
      <c r="SWG1"/>
      <c r="SWI1"/>
      <c r="SWK1"/>
      <c r="SWM1"/>
      <c r="SWO1"/>
      <c r="SWQ1"/>
      <c r="SWS1"/>
      <c r="SWU1"/>
      <c r="SWW1"/>
      <c r="SWY1"/>
      <c r="SXA1"/>
      <c r="SXC1"/>
      <c r="SXE1"/>
      <c r="SXG1"/>
      <c r="SXI1"/>
      <c r="SXK1"/>
      <c r="SXM1"/>
      <c r="SXO1"/>
      <c r="SXQ1"/>
      <c r="SXS1"/>
      <c r="SXU1"/>
      <c r="SXW1"/>
      <c r="SXY1"/>
      <c r="SYA1"/>
      <c r="SYC1"/>
      <c r="SYE1"/>
      <c r="SYG1"/>
      <c r="SYI1"/>
      <c r="SYK1"/>
      <c r="SYM1"/>
      <c r="SYO1"/>
      <c r="SYQ1"/>
      <c r="SYS1"/>
      <c r="SYU1"/>
      <c r="SYW1"/>
      <c r="SYY1"/>
      <c r="SZA1"/>
      <c r="SZC1"/>
      <c r="SZE1"/>
      <c r="SZG1"/>
      <c r="SZI1"/>
      <c r="SZK1"/>
      <c r="SZM1"/>
      <c r="SZO1"/>
      <c r="SZQ1"/>
      <c r="SZS1"/>
      <c r="SZU1"/>
      <c r="SZW1"/>
      <c r="SZY1"/>
      <c r="TAA1"/>
      <c r="TAC1"/>
      <c r="TAE1"/>
      <c r="TAG1"/>
      <c r="TAI1"/>
      <c r="TAK1"/>
      <c r="TAM1"/>
      <c r="TAO1"/>
      <c r="TAQ1"/>
      <c r="TAS1"/>
      <c r="TAU1"/>
      <c r="TAW1"/>
      <c r="TAY1"/>
      <c r="TBA1"/>
      <c r="TBC1"/>
      <c r="TBE1"/>
      <c r="TBG1"/>
      <c r="TBI1"/>
      <c r="TBK1"/>
      <c r="TBM1"/>
      <c r="TBO1"/>
      <c r="TBQ1"/>
      <c r="TBS1"/>
      <c r="TBU1"/>
      <c r="TBW1"/>
      <c r="TBY1"/>
      <c r="TCA1"/>
      <c r="TCC1"/>
      <c r="TCE1"/>
      <c r="TCG1"/>
      <c r="TCI1"/>
      <c r="TCK1"/>
      <c r="TCM1"/>
      <c r="TCO1"/>
      <c r="TCQ1"/>
      <c r="TCS1"/>
      <c r="TCU1"/>
      <c r="TCW1"/>
      <c r="TCY1"/>
      <c r="TDA1"/>
      <c r="TDC1"/>
      <c r="TDE1"/>
      <c r="TDG1"/>
      <c r="TDI1"/>
      <c r="TDK1"/>
      <c r="TDM1"/>
      <c r="TDO1"/>
      <c r="TDQ1"/>
      <c r="TDS1"/>
      <c r="TDU1"/>
      <c r="TDW1"/>
      <c r="TDY1"/>
      <c r="TEA1"/>
      <c r="TEC1"/>
      <c r="TEE1"/>
      <c r="TEG1"/>
      <c r="TEI1"/>
      <c r="TEK1"/>
      <c r="TEM1"/>
      <c r="TEO1"/>
      <c r="TEQ1"/>
      <c r="TES1"/>
      <c r="TEU1"/>
      <c r="TEW1"/>
      <c r="TEY1"/>
      <c r="TFA1"/>
      <c r="TFC1"/>
      <c r="TFE1"/>
      <c r="TFG1"/>
      <c r="TFI1"/>
      <c r="TFK1"/>
      <c r="TFM1"/>
      <c r="TFO1"/>
      <c r="TFQ1"/>
      <c r="TFS1"/>
      <c r="TFU1"/>
      <c r="TFW1"/>
      <c r="TFY1"/>
      <c r="TGA1"/>
      <c r="TGC1"/>
      <c r="TGE1"/>
      <c r="TGG1"/>
      <c r="TGI1"/>
      <c r="TGK1"/>
      <c r="TGM1"/>
      <c r="TGO1"/>
      <c r="TGQ1"/>
      <c r="TGS1"/>
      <c r="TGU1"/>
      <c r="TGW1"/>
      <c r="TGY1"/>
      <c r="THA1"/>
      <c r="THC1"/>
      <c r="THE1"/>
      <c r="THG1"/>
      <c r="THI1"/>
      <c r="THK1"/>
      <c r="THM1"/>
      <c r="THO1"/>
      <c r="THQ1"/>
      <c r="THS1"/>
      <c r="THU1"/>
      <c r="THW1"/>
      <c r="THY1"/>
      <c r="TIA1"/>
      <c r="TIC1"/>
      <c r="TIE1"/>
      <c r="TIG1"/>
      <c r="TII1"/>
      <c r="TIK1"/>
      <c r="TIM1"/>
      <c r="TIO1"/>
      <c r="TIQ1"/>
      <c r="TIS1"/>
      <c r="TIU1"/>
      <c r="TIW1"/>
      <c r="TIY1"/>
      <c r="TJA1"/>
      <c r="TJC1"/>
      <c r="TJE1"/>
      <c r="TJG1"/>
      <c r="TJI1"/>
      <c r="TJK1"/>
      <c r="TJM1"/>
      <c r="TJO1"/>
      <c r="TJQ1"/>
      <c r="TJS1"/>
      <c r="TJU1"/>
      <c r="TJW1"/>
      <c r="TJY1"/>
      <c r="TKA1"/>
      <c r="TKC1"/>
      <c r="TKE1"/>
      <c r="TKG1"/>
      <c r="TKI1"/>
      <c r="TKK1"/>
      <c r="TKM1"/>
      <c r="TKO1"/>
      <c r="TKQ1"/>
      <c r="TKS1"/>
      <c r="TKU1"/>
      <c r="TKW1"/>
      <c r="TKY1"/>
      <c r="TLA1"/>
      <c r="TLC1"/>
      <c r="TLE1"/>
      <c r="TLG1"/>
      <c r="TLI1"/>
      <c r="TLK1"/>
      <c r="TLM1"/>
      <c r="TLO1"/>
      <c r="TLQ1"/>
      <c r="TLS1"/>
      <c r="TLU1"/>
      <c r="TLW1"/>
      <c r="TLY1"/>
      <c r="TMA1"/>
      <c r="TMC1"/>
      <c r="TME1"/>
      <c r="TMG1"/>
      <c r="TMI1"/>
      <c r="TMK1"/>
      <c r="TMM1"/>
      <c r="TMO1"/>
      <c r="TMQ1"/>
      <c r="TMS1"/>
      <c r="TMU1"/>
      <c r="TMW1"/>
      <c r="TMY1"/>
      <c r="TNA1"/>
      <c r="TNC1"/>
      <c r="TNE1"/>
      <c r="TNG1"/>
      <c r="TNI1"/>
      <c r="TNK1"/>
      <c r="TNM1"/>
      <c r="TNO1"/>
      <c r="TNQ1"/>
      <c r="TNS1"/>
      <c r="TNU1"/>
      <c r="TNW1"/>
      <c r="TNY1"/>
      <c r="TOA1"/>
      <c r="TOC1"/>
      <c r="TOE1"/>
      <c r="TOG1"/>
      <c r="TOI1"/>
      <c r="TOK1"/>
      <c r="TOM1"/>
      <c r="TOO1"/>
      <c r="TOQ1"/>
      <c r="TOS1"/>
      <c r="TOU1"/>
      <c r="TOW1"/>
      <c r="TOY1"/>
      <c r="TPA1"/>
      <c r="TPC1"/>
      <c r="TPE1"/>
      <c r="TPG1"/>
      <c r="TPI1"/>
      <c r="TPK1"/>
      <c r="TPM1"/>
      <c r="TPO1"/>
      <c r="TPQ1"/>
      <c r="TPS1"/>
      <c r="TPU1"/>
      <c r="TPW1"/>
      <c r="TPY1"/>
      <c r="TQA1"/>
      <c r="TQC1"/>
      <c r="TQE1"/>
      <c r="TQG1"/>
      <c r="TQI1"/>
      <c r="TQK1"/>
      <c r="TQM1"/>
      <c r="TQO1"/>
      <c r="TQQ1"/>
      <c r="TQS1"/>
      <c r="TQU1"/>
      <c r="TQW1"/>
      <c r="TQY1"/>
      <c r="TRA1"/>
      <c r="TRC1"/>
      <c r="TRE1"/>
      <c r="TRG1"/>
      <c r="TRI1"/>
      <c r="TRK1"/>
      <c r="TRM1"/>
      <c r="TRO1"/>
      <c r="TRQ1"/>
      <c r="TRS1"/>
      <c r="TRU1"/>
      <c r="TRW1"/>
      <c r="TRY1"/>
      <c r="TSA1"/>
      <c r="TSC1"/>
      <c r="TSE1"/>
      <c r="TSG1"/>
      <c r="TSI1"/>
      <c r="TSK1"/>
      <c r="TSM1"/>
      <c r="TSO1"/>
      <c r="TSQ1"/>
      <c r="TSS1"/>
      <c r="TSU1"/>
      <c r="TSW1"/>
      <c r="TSY1"/>
      <c r="TTA1"/>
      <c r="TTC1"/>
      <c r="TTE1"/>
      <c r="TTG1"/>
      <c r="TTI1"/>
      <c r="TTK1"/>
      <c r="TTM1"/>
      <c r="TTO1"/>
      <c r="TTQ1"/>
      <c r="TTS1"/>
      <c r="TTU1"/>
      <c r="TTW1"/>
      <c r="TTY1"/>
      <c r="TUA1"/>
      <c r="TUC1"/>
      <c r="TUE1"/>
      <c r="TUG1"/>
      <c r="TUI1"/>
      <c r="TUK1"/>
      <c r="TUM1"/>
      <c r="TUO1"/>
      <c r="TUQ1"/>
      <c r="TUS1"/>
      <c r="TUU1"/>
      <c r="TUW1"/>
      <c r="TUY1"/>
      <c r="TVA1"/>
      <c r="TVC1"/>
      <c r="TVE1"/>
      <c r="TVG1"/>
      <c r="TVI1"/>
      <c r="TVK1"/>
      <c r="TVM1"/>
      <c r="TVO1"/>
      <c r="TVQ1"/>
      <c r="TVS1"/>
      <c r="TVU1"/>
      <c r="TVW1"/>
      <c r="TVY1"/>
      <c r="TWA1"/>
      <c r="TWC1"/>
      <c r="TWE1"/>
      <c r="TWG1"/>
      <c r="TWI1"/>
      <c r="TWK1"/>
      <c r="TWM1"/>
      <c r="TWO1"/>
      <c r="TWQ1"/>
      <c r="TWS1"/>
      <c r="TWU1"/>
      <c r="TWW1"/>
      <c r="TWY1"/>
      <c r="TXA1"/>
      <c r="TXC1"/>
      <c r="TXE1"/>
      <c r="TXG1"/>
      <c r="TXI1"/>
      <c r="TXK1"/>
      <c r="TXM1"/>
      <c r="TXO1"/>
      <c r="TXQ1"/>
      <c r="TXS1"/>
      <c r="TXU1"/>
      <c r="TXW1"/>
      <c r="TXY1"/>
      <c r="TYA1"/>
      <c r="TYC1"/>
      <c r="TYE1"/>
      <c r="TYG1"/>
      <c r="TYI1"/>
      <c r="TYK1"/>
      <c r="TYM1"/>
      <c r="TYO1"/>
      <c r="TYQ1"/>
      <c r="TYS1"/>
      <c r="TYU1"/>
      <c r="TYW1"/>
      <c r="TYY1"/>
      <c r="TZA1"/>
      <c r="TZC1"/>
      <c r="TZE1"/>
      <c r="TZG1"/>
      <c r="TZI1"/>
      <c r="TZK1"/>
      <c r="TZM1"/>
      <c r="TZO1"/>
      <c r="TZQ1"/>
      <c r="TZS1"/>
      <c r="TZU1"/>
      <c r="TZW1"/>
      <c r="TZY1"/>
      <c r="UAA1"/>
      <c r="UAC1"/>
      <c r="UAE1"/>
      <c r="UAG1"/>
      <c r="UAI1"/>
      <c r="UAK1"/>
      <c r="UAM1"/>
      <c r="UAO1"/>
      <c r="UAQ1"/>
      <c r="UAS1"/>
      <c r="UAU1"/>
      <c r="UAW1"/>
      <c r="UAY1"/>
      <c r="UBA1"/>
      <c r="UBC1"/>
      <c r="UBE1"/>
      <c r="UBG1"/>
      <c r="UBI1"/>
      <c r="UBK1"/>
      <c r="UBM1"/>
      <c r="UBO1"/>
      <c r="UBQ1"/>
      <c r="UBS1"/>
      <c r="UBU1"/>
      <c r="UBW1"/>
      <c r="UBY1"/>
      <c r="UCA1"/>
      <c r="UCC1"/>
      <c r="UCE1"/>
      <c r="UCG1"/>
      <c r="UCI1"/>
      <c r="UCK1"/>
      <c r="UCM1"/>
      <c r="UCO1"/>
      <c r="UCQ1"/>
      <c r="UCS1"/>
      <c r="UCU1"/>
      <c r="UCW1"/>
      <c r="UCY1"/>
      <c r="UDA1"/>
      <c r="UDC1"/>
      <c r="UDE1"/>
      <c r="UDG1"/>
      <c r="UDI1"/>
      <c r="UDK1"/>
      <c r="UDM1"/>
      <c r="UDO1"/>
      <c r="UDQ1"/>
      <c r="UDS1"/>
      <c r="UDU1"/>
      <c r="UDW1"/>
      <c r="UDY1"/>
      <c r="UEA1"/>
      <c r="UEC1"/>
      <c r="UEE1"/>
      <c r="UEG1"/>
      <c r="UEI1"/>
      <c r="UEK1"/>
      <c r="UEM1"/>
      <c r="UEO1"/>
      <c r="UEQ1"/>
      <c r="UES1"/>
      <c r="UEU1"/>
      <c r="UEW1"/>
      <c r="UEY1"/>
      <c r="UFA1"/>
      <c r="UFC1"/>
      <c r="UFE1"/>
      <c r="UFG1"/>
      <c r="UFI1"/>
      <c r="UFK1"/>
      <c r="UFM1"/>
      <c r="UFO1"/>
      <c r="UFQ1"/>
      <c r="UFS1"/>
      <c r="UFU1"/>
      <c r="UFW1"/>
      <c r="UFY1"/>
      <c r="UGA1"/>
      <c r="UGC1"/>
      <c r="UGE1"/>
      <c r="UGG1"/>
      <c r="UGI1"/>
      <c r="UGK1"/>
      <c r="UGM1"/>
      <c r="UGO1"/>
      <c r="UGQ1"/>
      <c r="UGS1"/>
      <c r="UGU1"/>
      <c r="UGW1"/>
      <c r="UGY1"/>
      <c r="UHA1"/>
      <c r="UHC1"/>
      <c r="UHE1"/>
      <c r="UHG1"/>
      <c r="UHI1"/>
      <c r="UHK1"/>
      <c r="UHM1"/>
      <c r="UHO1"/>
      <c r="UHQ1"/>
      <c r="UHS1"/>
      <c r="UHU1"/>
      <c r="UHW1"/>
      <c r="UHY1"/>
      <c r="UIA1"/>
      <c r="UIC1"/>
      <c r="UIE1"/>
      <c r="UIG1"/>
      <c r="UII1"/>
      <c r="UIK1"/>
      <c r="UIM1"/>
      <c r="UIO1"/>
      <c r="UIQ1"/>
      <c r="UIS1"/>
      <c r="UIU1"/>
      <c r="UIW1"/>
      <c r="UIY1"/>
      <c r="UJA1"/>
      <c r="UJC1"/>
      <c r="UJE1"/>
      <c r="UJG1"/>
      <c r="UJI1"/>
      <c r="UJK1"/>
      <c r="UJM1"/>
      <c r="UJO1"/>
      <c r="UJQ1"/>
      <c r="UJS1"/>
      <c r="UJU1"/>
      <c r="UJW1"/>
      <c r="UJY1"/>
      <c r="UKA1"/>
      <c r="UKC1"/>
      <c r="UKE1"/>
      <c r="UKG1"/>
      <c r="UKI1"/>
      <c r="UKK1"/>
      <c r="UKM1"/>
      <c r="UKO1"/>
      <c r="UKQ1"/>
      <c r="UKS1"/>
      <c r="UKU1"/>
      <c r="UKW1"/>
      <c r="UKY1"/>
      <c r="ULA1"/>
      <c r="ULC1"/>
      <c r="ULE1"/>
      <c r="ULG1"/>
      <c r="ULI1"/>
      <c r="ULK1"/>
      <c r="ULM1"/>
      <c r="ULO1"/>
      <c r="ULQ1"/>
      <c r="ULS1"/>
      <c r="ULU1"/>
      <c r="ULW1"/>
      <c r="ULY1"/>
      <c r="UMA1"/>
      <c r="UMC1"/>
      <c r="UME1"/>
      <c r="UMG1"/>
      <c r="UMI1"/>
      <c r="UMK1"/>
      <c r="UMM1"/>
      <c r="UMO1"/>
      <c r="UMQ1"/>
      <c r="UMS1"/>
      <c r="UMU1"/>
      <c r="UMW1"/>
      <c r="UMY1"/>
      <c r="UNA1"/>
      <c r="UNC1"/>
      <c r="UNE1"/>
      <c r="UNG1"/>
      <c r="UNI1"/>
      <c r="UNK1"/>
      <c r="UNM1"/>
      <c r="UNO1"/>
      <c r="UNQ1"/>
      <c r="UNS1"/>
      <c r="UNU1"/>
      <c r="UNW1"/>
      <c r="UNY1"/>
      <c r="UOA1"/>
      <c r="UOC1"/>
      <c r="UOE1"/>
      <c r="UOG1"/>
      <c r="UOI1"/>
      <c r="UOK1"/>
      <c r="UOM1"/>
      <c r="UOO1"/>
      <c r="UOQ1"/>
      <c r="UOS1"/>
      <c r="UOU1"/>
      <c r="UOW1"/>
      <c r="UOY1"/>
      <c r="UPA1"/>
      <c r="UPC1"/>
      <c r="UPE1"/>
      <c r="UPG1"/>
      <c r="UPI1"/>
      <c r="UPK1"/>
      <c r="UPM1"/>
      <c r="UPO1"/>
      <c r="UPQ1"/>
      <c r="UPS1"/>
      <c r="UPU1"/>
      <c r="UPW1"/>
      <c r="UPY1"/>
      <c r="UQA1"/>
      <c r="UQC1"/>
      <c r="UQE1"/>
      <c r="UQG1"/>
      <c r="UQI1"/>
      <c r="UQK1"/>
      <c r="UQM1"/>
      <c r="UQO1"/>
      <c r="UQQ1"/>
      <c r="UQS1"/>
      <c r="UQU1"/>
      <c r="UQW1"/>
      <c r="UQY1"/>
      <c r="URA1"/>
      <c r="URC1"/>
      <c r="URE1"/>
      <c r="URG1"/>
      <c r="URI1"/>
      <c r="URK1"/>
      <c r="URM1"/>
      <c r="URO1"/>
      <c r="URQ1"/>
      <c r="URS1"/>
      <c r="URU1"/>
      <c r="URW1"/>
      <c r="URY1"/>
      <c r="USA1"/>
      <c r="USC1"/>
      <c r="USE1"/>
      <c r="USG1"/>
      <c r="USI1"/>
      <c r="USK1"/>
      <c r="USM1"/>
      <c r="USO1"/>
      <c r="USQ1"/>
      <c r="USS1"/>
      <c r="USU1"/>
      <c r="USW1"/>
      <c r="USY1"/>
      <c r="UTA1"/>
      <c r="UTC1"/>
      <c r="UTE1"/>
      <c r="UTG1"/>
      <c r="UTI1"/>
      <c r="UTK1"/>
      <c r="UTM1"/>
      <c r="UTO1"/>
      <c r="UTQ1"/>
      <c r="UTS1"/>
      <c r="UTU1"/>
      <c r="UTW1"/>
      <c r="UTY1"/>
      <c r="UUA1"/>
      <c r="UUC1"/>
      <c r="UUE1"/>
      <c r="UUG1"/>
      <c r="UUI1"/>
      <c r="UUK1"/>
      <c r="UUM1"/>
      <c r="UUO1"/>
      <c r="UUQ1"/>
      <c r="UUS1"/>
      <c r="UUU1"/>
      <c r="UUW1"/>
      <c r="UUY1"/>
      <c r="UVA1"/>
      <c r="UVC1"/>
      <c r="UVE1"/>
      <c r="UVG1"/>
      <c r="UVI1"/>
      <c r="UVK1"/>
      <c r="UVM1"/>
      <c r="UVO1"/>
      <c r="UVQ1"/>
      <c r="UVS1"/>
      <c r="UVU1"/>
      <c r="UVW1"/>
      <c r="UVY1"/>
      <c r="UWA1"/>
      <c r="UWC1"/>
      <c r="UWE1"/>
      <c r="UWG1"/>
      <c r="UWI1"/>
      <c r="UWK1"/>
      <c r="UWM1"/>
      <c r="UWO1"/>
      <c r="UWQ1"/>
      <c r="UWS1"/>
      <c r="UWU1"/>
      <c r="UWW1"/>
      <c r="UWY1"/>
      <c r="UXA1"/>
      <c r="UXC1"/>
      <c r="UXE1"/>
      <c r="UXG1"/>
      <c r="UXI1"/>
      <c r="UXK1"/>
      <c r="UXM1"/>
      <c r="UXO1"/>
      <c r="UXQ1"/>
      <c r="UXS1"/>
      <c r="UXU1"/>
      <c r="UXW1"/>
      <c r="UXY1"/>
      <c r="UYA1"/>
      <c r="UYC1"/>
      <c r="UYE1"/>
      <c r="UYG1"/>
      <c r="UYI1"/>
      <c r="UYK1"/>
      <c r="UYM1"/>
      <c r="UYO1"/>
      <c r="UYQ1"/>
      <c r="UYS1"/>
      <c r="UYU1"/>
      <c r="UYW1"/>
      <c r="UYY1"/>
      <c r="UZA1"/>
      <c r="UZC1"/>
      <c r="UZE1"/>
      <c r="UZG1"/>
      <c r="UZI1"/>
      <c r="UZK1"/>
      <c r="UZM1"/>
      <c r="UZO1"/>
      <c r="UZQ1"/>
      <c r="UZS1"/>
      <c r="UZU1"/>
      <c r="UZW1"/>
      <c r="UZY1"/>
      <c r="VAA1"/>
      <c r="VAC1"/>
      <c r="VAE1"/>
      <c r="VAG1"/>
      <c r="VAI1"/>
      <c r="VAK1"/>
      <c r="VAM1"/>
      <c r="VAO1"/>
      <c r="VAQ1"/>
      <c r="VAS1"/>
      <c r="VAU1"/>
      <c r="VAW1"/>
      <c r="VAY1"/>
      <c r="VBA1"/>
      <c r="VBC1"/>
      <c r="VBE1"/>
      <c r="VBG1"/>
      <c r="VBI1"/>
      <c r="VBK1"/>
      <c r="VBM1"/>
      <c r="VBO1"/>
      <c r="VBQ1"/>
      <c r="VBS1"/>
      <c r="VBU1"/>
      <c r="VBW1"/>
      <c r="VBY1"/>
      <c r="VCA1"/>
      <c r="VCC1"/>
      <c r="VCE1"/>
      <c r="VCG1"/>
      <c r="VCI1"/>
      <c r="VCK1"/>
      <c r="VCM1"/>
      <c r="VCO1"/>
      <c r="VCQ1"/>
      <c r="VCS1"/>
      <c r="VCU1"/>
      <c r="VCW1"/>
      <c r="VCY1"/>
      <c r="VDA1"/>
      <c r="VDC1"/>
      <c r="VDE1"/>
      <c r="VDG1"/>
      <c r="VDI1"/>
      <c r="VDK1"/>
      <c r="VDM1"/>
      <c r="VDO1"/>
      <c r="VDQ1"/>
      <c r="VDS1"/>
      <c r="VDU1"/>
      <c r="VDW1"/>
      <c r="VDY1"/>
      <c r="VEA1"/>
      <c r="VEC1"/>
      <c r="VEE1"/>
      <c r="VEG1"/>
      <c r="VEI1"/>
      <c r="VEK1"/>
      <c r="VEM1"/>
      <c r="VEO1"/>
      <c r="VEQ1"/>
      <c r="VES1"/>
      <c r="VEU1"/>
      <c r="VEW1"/>
      <c r="VEY1"/>
      <c r="VFA1"/>
      <c r="VFC1"/>
      <c r="VFE1"/>
      <c r="VFG1"/>
      <c r="VFI1"/>
      <c r="VFK1"/>
      <c r="VFM1"/>
      <c r="VFO1"/>
      <c r="VFQ1"/>
      <c r="VFS1"/>
      <c r="VFU1"/>
      <c r="VFW1"/>
      <c r="VFY1"/>
      <c r="VGA1"/>
      <c r="VGC1"/>
      <c r="VGE1"/>
      <c r="VGG1"/>
      <c r="VGI1"/>
      <c r="VGK1"/>
      <c r="VGM1"/>
      <c r="VGO1"/>
      <c r="VGQ1"/>
      <c r="VGS1"/>
      <c r="VGU1"/>
      <c r="VGW1"/>
      <c r="VGY1"/>
      <c r="VHA1"/>
      <c r="VHC1"/>
      <c r="VHE1"/>
      <c r="VHG1"/>
      <c r="VHI1"/>
      <c r="VHK1"/>
      <c r="VHM1"/>
      <c r="VHO1"/>
      <c r="VHQ1"/>
      <c r="VHS1"/>
      <c r="VHU1"/>
      <c r="VHW1"/>
      <c r="VHY1"/>
      <c r="VIA1"/>
      <c r="VIC1"/>
      <c r="VIE1"/>
      <c r="VIG1"/>
      <c r="VII1"/>
      <c r="VIK1"/>
      <c r="VIM1"/>
      <c r="VIO1"/>
      <c r="VIQ1"/>
      <c r="VIS1"/>
      <c r="VIU1"/>
      <c r="VIW1"/>
      <c r="VIY1"/>
      <c r="VJA1"/>
      <c r="VJC1"/>
      <c r="VJE1"/>
      <c r="VJG1"/>
      <c r="VJI1"/>
      <c r="VJK1"/>
      <c r="VJM1"/>
      <c r="VJO1"/>
      <c r="VJQ1"/>
      <c r="VJS1"/>
      <c r="VJU1"/>
      <c r="VJW1"/>
      <c r="VJY1"/>
      <c r="VKA1"/>
      <c r="VKC1"/>
      <c r="VKE1"/>
      <c r="VKG1"/>
      <c r="VKI1"/>
      <c r="VKK1"/>
      <c r="VKM1"/>
      <c r="VKO1"/>
      <c r="VKQ1"/>
      <c r="VKS1"/>
      <c r="VKU1"/>
      <c r="VKW1"/>
      <c r="VKY1"/>
      <c r="VLA1"/>
      <c r="VLC1"/>
      <c r="VLE1"/>
      <c r="VLG1"/>
      <c r="VLI1"/>
      <c r="VLK1"/>
      <c r="VLM1"/>
      <c r="VLO1"/>
      <c r="VLQ1"/>
      <c r="VLS1"/>
      <c r="VLU1"/>
      <c r="VLW1"/>
      <c r="VLY1"/>
      <c r="VMA1"/>
      <c r="VMC1"/>
      <c r="VME1"/>
      <c r="VMG1"/>
      <c r="VMI1"/>
      <c r="VMK1"/>
      <c r="VMM1"/>
      <c r="VMO1"/>
      <c r="VMQ1"/>
      <c r="VMS1"/>
      <c r="VMU1"/>
      <c r="VMW1"/>
      <c r="VMY1"/>
      <c r="VNA1"/>
      <c r="VNC1"/>
      <c r="VNE1"/>
      <c r="VNG1"/>
      <c r="VNI1"/>
      <c r="VNK1"/>
      <c r="VNM1"/>
      <c r="VNO1"/>
      <c r="VNQ1"/>
      <c r="VNS1"/>
      <c r="VNU1"/>
      <c r="VNW1"/>
      <c r="VNY1"/>
      <c r="VOA1"/>
      <c r="VOC1"/>
      <c r="VOE1"/>
      <c r="VOG1"/>
      <c r="VOI1"/>
      <c r="VOK1"/>
      <c r="VOM1"/>
      <c r="VOO1"/>
      <c r="VOQ1"/>
      <c r="VOS1"/>
      <c r="VOU1"/>
      <c r="VOW1"/>
      <c r="VOY1"/>
      <c r="VPA1"/>
      <c r="VPC1"/>
      <c r="VPE1"/>
      <c r="VPG1"/>
      <c r="VPI1"/>
      <c r="VPK1"/>
      <c r="VPM1"/>
      <c r="VPO1"/>
      <c r="VPQ1"/>
      <c r="VPS1"/>
      <c r="VPU1"/>
      <c r="VPW1"/>
      <c r="VPY1"/>
      <c r="VQA1"/>
      <c r="VQC1"/>
      <c r="VQE1"/>
      <c r="VQG1"/>
      <c r="VQI1"/>
      <c r="VQK1"/>
      <c r="VQM1"/>
      <c r="VQO1"/>
      <c r="VQQ1"/>
      <c r="VQS1"/>
      <c r="VQU1"/>
      <c r="VQW1"/>
      <c r="VQY1"/>
      <c r="VRA1"/>
      <c r="VRC1"/>
      <c r="VRE1"/>
      <c r="VRG1"/>
      <c r="VRI1"/>
      <c r="VRK1"/>
      <c r="VRM1"/>
      <c r="VRO1"/>
      <c r="VRQ1"/>
      <c r="VRS1"/>
      <c r="VRU1"/>
      <c r="VRW1"/>
      <c r="VRY1"/>
      <c r="VSA1"/>
      <c r="VSC1"/>
      <c r="VSE1"/>
      <c r="VSG1"/>
      <c r="VSI1"/>
      <c r="VSK1"/>
      <c r="VSM1"/>
      <c r="VSO1"/>
      <c r="VSQ1"/>
      <c r="VSS1"/>
      <c r="VSU1"/>
      <c r="VSW1"/>
      <c r="VSY1"/>
      <c r="VTA1"/>
      <c r="VTC1"/>
      <c r="VTE1"/>
      <c r="VTG1"/>
      <c r="VTI1"/>
      <c r="VTK1"/>
      <c r="VTM1"/>
      <c r="VTO1"/>
      <c r="VTQ1"/>
      <c r="VTS1"/>
      <c r="VTU1"/>
      <c r="VTW1"/>
      <c r="VTY1"/>
      <c r="VUA1"/>
      <c r="VUC1"/>
      <c r="VUE1"/>
      <c r="VUG1"/>
      <c r="VUI1"/>
      <c r="VUK1"/>
      <c r="VUM1"/>
      <c r="VUO1"/>
      <c r="VUQ1"/>
      <c r="VUS1"/>
      <c r="VUU1"/>
      <c r="VUW1"/>
      <c r="VUY1"/>
      <c r="VVA1"/>
      <c r="VVC1"/>
      <c r="VVE1"/>
      <c r="VVG1"/>
      <c r="VVI1"/>
      <c r="VVK1"/>
      <c r="VVM1"/>
      <c r="VVO1"/>
      <c r="VVQ1"/>
      <c r="VVS1"/>
      <c r="VVU1"/>
      <c r="VVW1"/>
      <c r="VVY1"/>
      <c r="VWA1"/>
      <c r="VWC1"/>
      <c r="VWE1"/>
      <c r="VWG1"/>
      <c r="VWI1"/>
      <c r="VWK1"/>
      <c r="VWM1"/>
      <c r="VWO1"/>
      <c r="VWQ1"/>
      <c r="VWS1"/>
      <c r="VWU1"/>
      <c r="VWW1"/>
      <c r="VWY1"/>
      <c r="VXA1"/>
      <c r="VXC1"/>
      <c r="VXE1"/>
      <c r="VXG1"/>
      <c r="VXI1"/>
      <c r="VXK1"/>
      <c r="VXM1"/>
      <c r="VXO1"/>
      <c r="VXQ1"/>
      <c r="VXS1"/>
      <c r="VXU1"/>
      <c r="VXW1"/>
      <c r="VXY1"/>
      <c r="VYA1"/>
      <c r="VYC1"/>
      <c r="VYE1"/>
      <c r="VYG1"/>
      <c r="VYI1"/>
      <c r="VYK1"/>
      <c r="VYM1"/>
      <c r="VYO1"/>
      <c r="VYQ1"/>
      <c r="VYS1"/>
      <c r="VYU1"/>
      <c r="VYW1"/>
      <c r="VYY1"/>
      <c r="VZA1"/>
      <c r="VZC1"/>
      <c r="VZE1"/>
      <c r="VZG1"/>
      <c r="VZI1"/>
      <c r="VZK1"/>
      <c r="VZM1"/>
      <c r="VZO1"/>
      <c r="VZQ1"/>
      <c r="VZS1"/>
      <c r="VZU1"/>
      <c r="VZW1"/>
      <c r="VZY1"/>
      <c r="WAA1"/>
      <c r="WAC1"/>
      <c r="WAE1"/>
      <c r="WAG1"/>
      <c r="WAI1"/>
      <c r="WAK1"/>
      <c r="WAM1"/>
      <c r="WAO1"/>
      <c r="WAQ1"/>
      <c r="WAS1"/>
      <c r="WAU1"/>
      <c r="WAW1"/>
      <c r="WAY1"/>
      <c r="WBA1"/>
      <c r="WBC1"/>
      <c r="WBE1"/>
      <c r="WBG1"/>
      <c r="WBI1"/>
      <c r="WBK1"/>
      <c r="WBM1"/>
      <c r="WBO1"/>
      <c r="WBQ1"/>
      <c r="WBS1"/>
      <c r="WBU1"/>
      <c r="WBW1"/>
      <c r="WBY1"/>
      <c r="WCA1"/>
      <c r="WCC1"/>
      <c r="WCE1"/>
      <c r="WCG1"/>
      <c r="WCI1"/>
      <c r="WCK1"/>
      <c r="WCM1"/>
      <c r="WCO1"/>
      <c r="WCQ1"/>
      <c r="WCS1"/>
      <c r="WCU1"/>
      <c r="WCW1"/>
      <c r="WCY1"/>
      <c r="WDA1"/>
      <c r="WDC1"/>
      <c r="WDE1"/>
      <c r="WDG1"/>
      <c r="WDI1"/>
      <c r="WDK1"/>
      <c r="WDM1"/>
      <c r="WDO1"/>
      <c r="WDQ1"/>
      <c r="WDS1"/>
      <c r="WDU1"/>
      <c r="WDW1"/>
      <c r="WDY1"/>
      <c r="WEA1"/>
      <c r="WEC1"/>
      <c r="WEE1"/>
      <c r="WEG1"/>
      <c r="WEI1"/>
      <c r="WEK1"/>
      <c r="WEM1"/>
      <c r="WEO1"/>
      <c r="WEQ1"/>
      <c r="WES1"/>
      <c r="WEU1"/>
      <c r="WEW1"/>
      <c r="WEY1"/>
      <c r="WFA1"/>
      <c r="WFC1"/>
      <c r="WFE1"/>
      <c r="WFG1"/>
      <c r="WFI1"/>
      <c r="WFK1"/>
      <c r="WFM1"/>
      <c r="WFO1"/>
      <c r="WFQ1"/>
      <c r="WFS1"/>
      <c r="WFU1"/>
      <c r="WFW1"/>
      <c r="WFY1"/>
      <c r="WGA1"/>
      <c r="WGC1"/>
      <c r="WGE1"/>
      <c r="WGG1"/>
      <c r="WGI1"/>
      <c r="WGK1"/>
      <c r="WGM1"/>
      <c r="WGO1"/>
      <c r="WGQ1"/>
      <c r="WGS1"/>
      <c r="WGU1"/>
      <c r="WGW1"/>
      <c r="WGY1"/>
      <c r="WHA1"/>
      <c r="WHC1"/>
      <c r="WHE1"/>
      <c r="WHG1"/>
      <c r="WHI1"/>
      <c r="WHK1"/>
      <c r="WHM1"/>
      <c r="WHO1"/>
      <c r="WHQ1"/>
      <c r="WHS1"/>
      <c r="WHU1"/>
      <c r="WHW1"/>
      <c r="WHY1"/>
      <c r="WIA1"/>
      <c r="WIC1"/>
      <c r="WIE1"/>
      <c r="WIG1"/>
      <c r="WII1"/>
      <c r="WIK1"/>
      <c r="WIM1"/>
      <c r="WIO1"/>
      <c r="WIQ1"/>
      <c r="WIS1"/>
      <c r="WIU1"/>
      <c r="WIW1"/>
      <c r="WIY1"/>
      <c r="WJA1"/>
      <c r="WJC1"/>
      <c r="WJE1"/>
      <c r="WJG1"/>
      <c r="WJI1"/>
      <c r="WJK1"/>
      <c r="WJM1"/>
      <c r="WJO1"/>
      <c r="WJQ1"/>
      <c r="WJS1"/>
      <c r="WJU1"/>
      <c r="WJW1"/>
      <c r="WJY1"/>
      <c r="WKA1"/>
      <c r="WKC1"/>
      <c r="WKE1"/>
      <c r="WKG1"/>
      <c r="WKI1"/>
      <c r="WKK1"/>
      <c r="WKM1"/>
      <c r="WKO1"/>
      <c r="WKQ1"/>
      <c r="WKS1"/>
      <c r="WKU1"/>
      <c r="WKW1"/>
      <c r="WKY1"/>
      <c r="WLA1"/>
      <c r="WLC1"/>
      <c r="WLE1"/>
      <c r="WLG1"/>
      <c r="WLI1"/>
      <c r="WLK1"/>
      <c r="WLM1"/>
      <c r="WLO1"/>
      <c r="WLQ1"/>
      <c r="WLS1"/>
      <c r="WLU1"/>
      <c r="WLW1"/>
      <c r="WLY1"/>
      <c r="WMA1"/>
      <c r="WMC1"/>
      <c r="WME1"/>
      <c r="WMG1"/>
      <c r="WMI1"/>
      <c r="WMK1"/>
      <c r="WMM1"/>
      <c r="WMO1"/>
      <c r="WMQ1"/>
      <c r="WMS1"/>
      <c r="WMU1"/>
      <c r="WMW1"/>
      <c r="WMY1"/>
      <c r="WNA1"/>
      <c r="WNC1"/>
      <c r="WNE1"/>
      <c r="WNG1"/>
      <c r="WNI1"/>
      <c r="WNK1"/>
      <c r="WNM1"/>
      <c r="WNO1"/>
      <c r="WNQ1"/>
      <c r="WNS1"/>
      <c r="WNU1"/>
      <c r="WNW1"/>
      <c r="WNY1"/>
      <c r="WOA1"/>
      <c r="WOC1"/>
      <c r="WOE1"/>
      <c r="WOG1"/>
      <c r="WOI1"/>
      <c r="WOK1"/>
      <c r="WOM1"/>
      <c r="WOO1"/>
      <c r="WOQ1"/>
      <c r="WOS1"/>
      <c r="WOU1"/>
      <c r="WOW1"/>
      <c r="WOY1"/>
      <c r="WPA1"/>
      <c r="WPC1"/>
      <c r="WPE1"/>
      <c r="WPG1"/>
      <c r="WPI1"/>
      <c r="WPK1"/>
      <c r="WPM1"/>
      <c r="WPO1"/>
      <c r="WPQ1"/>
      <c r="WPS1"/>
      <c r="WPU1"/>
      <c r="WPW1"/>
      <c r="WPY1"/>
      <c r="WQA1"/>
      <c r="WQC1"/>
      <c r="WQE1"/>
      <c r="WQG1"/>
      <c r="WQI1"/>
      <c r="WQK1"/>
      <c r="WQM1"/>
      <c r="WQO1"/>
      <c r="WQQ1"/>
      <c r="WQS1"/>
      <c r="WQU1"/>
      <c r="WQW1"/>
      <c r="WQY1"/>
      <c r="WRA1"/>
      <c r="WRC1"/>
      <c r="WRE1"/>
      <c r="WRG1"/>
      <c r="WRI1"/>
      <c r="WRK1"/>
      <c r="WRM1"/>
      <c r="WRO1"/>
      <c r="WRQ1"/>
      <c r="WRS1"/>
      <c r="WRU1"/>
      <c r="WRW1"/>
      <c r="WRY1"/>
      <c r="WSA1"/>
      <c r="WSC1"/>
      <c r="WSE1"/>
      <c r="WSG1"/>
      <c r="WSI1"/>
      <c r="WSK1"/>
      <c r="WSM1"/>
      <c r="WSO1"/>
      <c r="WSQ1"/>
      <c r="WSS1"/>
      <c r="WSU1"/>
      <c r="WSW1"/>
      <c r="WSY1"/>
      <c r="WTA1"/>
      <c r="WTC1"/>
      <c r="WTE1"/>
      <c r="WTG1"/>
      <c r="WTI1"/>
      <c r="WTK1"/>
      <c r="WTM1"/>
      <c r="WTO1"/>
      <c r="WTQ1"/>
      <c r="WTS1"/>
      <c r="WTU1"/>
      <c r="WTW1"/>
      <c r="WTY1"/>
      <c r="WUA1"/>
      <c r="WUC1"/>
      <c r="WUE1"/>
      <c r="WUG1"/>
      <c r="WUI1"/>
      <c r="WUK1"/>
      <c r="WUM1"/>
      <c r="WUO1"/>
      <c r="WUQ1"/>
      <c r="WUS1"/>
      <c r="WUU1"/>
      <c r="WUW1"/>
      <c r="WUY1"/>
      <c r="WVA1"/>
      <c r="WVC1"/>
      <c r="WVE1"/>
      <c r="WVG1"/>
      <c r="WVI1"/>
      <c r="WVK1"/>
      <c r="WVM1"/>
      <c r="WVO1"/>
      <c r="WVQ1"/>
      <c r="WVS1"/>
      <c r="WVU1"/>
      <c r="WVW1"/>
      <c r="WVY1"/>
      <c r="WWA1"/>
      <c r="WWC1"/>
      <c r="WWE1"/>
      <c r="WWG1"/>
      <c r="WWI1"/>
      <c r="WWK1"/>
      <c r="WWM1"/>
      <c r="WWO1"/>
      <c r="WWQ1"/>
      <c r="WWS1"/>
      <c r="WWU1"/>
      <c r="WWW1"/>
      <c r="WWY1"/>
      <c r="WXA1"/>
      <c r="WXC1"/>
      <c r="WXE1"/>
      <c r="WXG1"/>
      <c r="WXI1"/>
      <c r="WXK1"/>
      <c r="WXM1"/>
      <c r="WXO1"/>
      <c r="WXQ1"/>
      <c r="WXS1"/>
      <c r="WXU1"/>
      <c r="WXW1"/>
      <c r="WXY1"/>
      <c r="WYA1"/>
      <c r="WYC1"/>
      <c r="WYE1"/>
      <c r="WYG1"/>
      <c r="WYI1"/>
      <c r="WYK1"/>
      <c r="WYM1"/>
      <c r="WYO1"/>
      <c r="WYQ1"/>
      <c r="WYS1"/>
      <c r="WYU1"/>
      <c r="WYW1"/>
      <c r="WYY1"/>
      <c r="WZA1"/>
      <c r="WZC1"/>
      <c r="WZE1"/>
      <c r="WZG1"/>
      <c r="WZI1"/>
      <c r="WZK1"/>
      <c r="WZM1"/>
      <c r="WZO1"/>
      <c r="WZQ1"/>
      <c r="WZS1"/>
      <c r="WZU1"/>
      <c r="WZW1"/>
      <c r="WZY1"/>
      <c r="XAA1"/>
      <c r="XAC1"/>
      <c r="XAE1"/>
      <c r="XAG1"/>
      <c r="XAI1"/>
      <c r="XAK1"/>
      <c r="XAM1"/>
      <c r="XAO1"/>
      <c r="XAQ1"/>
      <c r="XAS1"/>
      <c r="XAU1"/>
      <c r="XAW1"/>
      <c r="XAY1"/>
      <c r="XBA1"/>
      <c r="XBC1"/>
      <c r="XBE1"/>
      <c r="XBG1"/>
      <c r="XBI1"/>
      <c r="XBK1"/>
      <c r="XBM1"/>
      <c r="XBO1"/>
      <c r="XBQ1"/>
      <c r="XBS1"/>
      <c r="XBU1"/>
      <c r="XBW1"/>
      <c r="XBY1"/>
      <c r="XCA1"/>
      <c r="XCC1"/>
      <c r="XCE1"/>
      <c r="XCG1"/>
      <c r="XCI1"/>
      <c r="XCK1"/>
      <c r="XCM1"/>
      <c r="XCO1"/>
      <c r="XCQ1"/>
      <c r="XCS1"/>
      <c r="XCU1"/>
      <c r="XCW1"/>
      <c r="XCY1"/>
      <c r="XDA1"/>
      <c r="XDC1"/>
      <c r="XDE1"/>
      <c r="XDG1"/>
      <c r="XDI1"/>
      <c r="XDK1"/>
      <c r="XDM1"/>
      <c r="XDO1"/>
      <c r="XDQ1"/>
      <c r="XDS1"/>
      <c r="XDU1"/>
      <c r="XDW1"/>
      <c r="XDY1"/>
      <c r="XEA1"/>
      <c r="XEC1"/>
      <c r="XEE1"/>
      <c r="XEG1"/>
      <c r="XEI1"/>
      <c r="XEK1"/>
      <c r="XEM1"/>
      <c r="XEO1"/>
      <c r="XEQ1"/>
      <c r="XES1"/>
      <c r="XEU1"/>
      <c r="XEW1"/>
      <c r="XEY1"/>
      <c r="XFA1"/>
      <c r="XFC1"/>
    </row>
    <row r="2" spans="1:16384" s="474" customFormat="1" ht="17" thickTop="1" thickBot="1" x14ac:dyDescent="0.25">
      <c r="A2" s="7"/>
      <c r="B2" s="544" t="s">
        <v>453</v>
      </c>
      <c r="C2" s="539" t="s">
        <v>457</v>
      </c>
      <c r="D2" s="540">
        <v>1.46</v>
      </c>
      <c r="E2" s="547">
        <v>2432</v>
      </c>
      <c r="F2" s="547">
        <v>6211</v>
      </c>
      <c r="G2" s="541">
        <v>0.245</v>
      </c>
      <c r="H2" s="542">
        <f t="shared" ref="H2:H8" si="0">D2/(1+(1-G2)*E2/F2)</f>
        <v>1.1268646329885323</v>
      </c>
      <c r="J2" s="436"/>
      <c r="K2" s="436"/>
      <c r="L2" s="436"/>
      <c r="M2" s="440"/>
      <c r="N2" s="440"/>
      <c r="O2"/>
      <c r="Q2"/>
      <c r="S2"/>
      <c r="U2"/>
      <c r="W2"/>
      <c r="Y2"/>
      <c r="AA2"/>
      <c r="AC2"/>
      <c r="AE2"/>
      <c r="AG2"/>
      <c r="AI2"/>
      <c r="AK2"/>
      <c r="AM2"/>
      <c r="AO2"/>
      <c r="AQ2"/>
      <c r="AS2"/>
      <c r="AU2"/>
      <c r="AW2"/>
      <c r="AY2"/>
      <c r="BA2"/>
      <c r="BC2"/>
      <c r="BE2"/>
      <c r="BG2"/>
      <c r="BI2"/>
      <c r="BK2"/>
      <c r="BM2"/>
      <c r="BO2"/>
      <c r="BQ2"/>
      <c r="BS2"/>
      <c r="BU2"/>
      <c r="BW2"/>
      <c r="BY2"/>
      <c r="CA2"/>
      <c r="CC2"/>
      <c r="CE2"/>
      <c r="CG2"/>
      <c r="CI2"/>
      <c r="CK2"/>
      <c r="CM2"/>
      <c r="CO2"/>
      <c r="CQ2"/>
      <c r="CS2"/>
      <c r="CU2"/>
      <c r="CW2"/>
      <c r="CY2"/>
      <c r="DA2"/>
      <c r="DC2"/>
      <c r="DE2"/>
      <c r="DG2"/>
      <c r="DI2"/>
      <c r="DK2"/>
      <c r="DM2"/>
      <c r="DO2"/>
      <c r="DQ2"/>
      <c r="DS2"/>
      <c r="DU2"/>
      <c r="DW2"/>
      <c r="DY2"/>
      <c r="EA2"/>
      <c r="EC2"/>
      <c r="EE2"/>
      <c r="EG2"/>
      <c r="EI2"/>
      <c r="EK2"/>
      <c r="EM2"/>
      <c r="EO2"/>
      <c r="EQ2"/>
      <c r="ES2"/>
      <c r="EU2"/>
      <c r="EW2"/>
      <c r="EY2"/>
      <c r="FA2"/>
      <c r="FC2"/>
      <c r="FE2"/>
      <c r="FG2"/>
      <c r="FI2"/>
      <c r="FK2"/>
      <c r="FM2"/>
      <c r="FO2"/>
      <c r="FQ2"/>
      <c r="FS2"/>
      <c r="FU2"/>
      <c r="FW2"/>
      <c r="FY2"/>
      <c r="GA2"/>
      <c r="GC2"/>
      <c r="GE2"/>
      <c r="GG2"/>
      <c r="GI2"/>
      <c r="GK2"/>
      <c r="GM2"/>
      <c r="GO2"/>
      <c r="GQ2"/>
      <c r="GS2"/>
      <c r="GU2"/>
      <c r="GW2"/>
      <c r="GY2"/>
      <c r="HA2"/>
      <c r="HC2"/>
      <c r="HE2"/>
      <c r="HG2"/>
      <c r="HI2"/>
      <c r="HK2"/>
      <c r="HM2"/>
      <c r="HO2"/>
      <c r="HQ2"/>
      <c r="HS2"/>
      <c r="HU2"/>
      <c r="HW2"/>
      <c r="HY2"/>
      <c r="IA2"/>
      <c r="IC2"/>
      <c r="IE2"/>
      <c r="IG2"/>
      <c r="II2"/>
      <c r="IK2"/>
      <c r="IM2"/>
      <c r="IO2"/>
      <c r="IQ2"/>
      <c r="IS2"/>
      <c r="IU2"/>
      <c r="IW2"/>
      <c r="IY2"/>
      <c r="JA2"/>
      <c r="JC2"/>
      <c r="JE2"/>
      <c r="JG2"/>
      <c r="JI2"/>
      <c r="JK2"/>
      <c r="JM2"/>
      <c r="JO2"/>
      <c r="JQ2"/>
      <c r="JS2"/>
      <c r="JU2"/>
      <c r="JW2"/>
      <c r="JY2"/>
      <c r="KA2"/>
      <c r="KC2"/>
      <c r="KE2"/>
      <c r="KG2"/>
      <c r="KI2"/>
      <c r="KK2"/>
      <c r="KM2"/>
      <c r="KO2"/>
      <c r="KQ2"/>
      <c r="KS2"/>
      <c r="KU2"/>
      <c r="KW2"/>
      <c r="KY2"/>
      <c r="LA2"/>
      <c r="LC2"/>
      <c r="LE2"/>
      <c r="LG2"/>
      <c r="LI2"/>
      <c r="LK2"/>
      <c r="LM2"/>
      <c r="LO2"/>
      <c r="LQ2"/>
      <c r="LS2"/>
      <c r="LU2"/>
      <c r="LW2"/>
      <c r="LY2"/>
      <c r="MA2"/>
      <c r="MC2"/>
      <c r="ME2"/>
      <c r="MG2"/>
      <c r="MI2"/>
      <c r="MK2"/>
      <c r="MM2"/>
      <c r="MO2"/>
      <c r="MQ2"/>
      <c r="MS2"/>
      <c r="MU2"/>
      <c r="MW2"/>
      <c r="MY2"/>
      <c r="NA2"/>
      <c r="NC2"/>
      <c r="NE2"/>
      <c r="NG2"/>
      <c r="NI2"/>
      <c r="NK2"/>
      <c r="NM2"/>
      <c r="NO2"/>
      <c r="NQ2"/>
      <c r="NS2"/>
      <c r="NU2"/>
      <c r="NW2"/>
      <c r="NY2"/>
      <c r="OA2"/>
      <c r="OC2"/>
      <c r="OE2"/>
      <c r="OG2"/>
      <c r="OI2"/>
      <c r="OK2"/>
      <c r="OM2"/>
      <c r="OO2"/>
      <c r="OQ2"/>
      <c r="OS2"/>
      <c r="OU2"/>
      <c r="OW2"/>
      <c r="OY2"/>
      <c r="PA2"/>
      <c r="PC2"/>
      <c r="PE2"/>
      <c r="PG2"/>
      <c r="PI2"/>
      <c r="PK2"/>
      <c r="PM2"/>
      <c r="PO2"/>
      <c r="PQ2"/>
      <c r="PS2"/>
      <c r="PU2"/>
      <c r="PW2"/>
      <c r="PY2"/>
      <c r="QA2"/>
      <c r="QC2"/>
      <c r="QE2"/>
      <c r="QG2"/>
      <c r="QI2"/>
      <c r="QK2"/>
      <c r="QM2"/>
      <c r="QO2"/>
      <c r="QQ2"/>
      <c r="QS2"/>
      <c r="QU2"/>
      <c r="QW2"/>
      <c r="QY2"/>
      <c r="RA2"/>
      <c r="RC2"/>
      <c r="RE2"/>
      <c r="RG2"/>
      <c r="RI2"/>
      <c r="RK2"/>
      <c r="RM2"/>
      <c r="RO2"/>
      <c r="RQ2"/>
      <c r="RS2"/>
      <c r="RU2"/>
      <c r="RW2"/>
      <c r="RY2"/>
      <c r="SA2"/>
      <c r="SC2"/>
      <c r="SE2"/>
      <c r="SG2"/>
      <c r="SI2"/>
      <c r="SK2"/>
      <c r="SM2"/>
      <c r="SO2"/>
      <c r="SQ2"/>
      <c r="SS2"/>
      <c r="SU2"/>
      <c r="SW2"/>
      <c r="SY2"/>
      <c r="TA2"/>
      <c r="TC2"/>
      <c r="TE2"/>
      <c r="TG2"/>
      <c r="TI2"/>
      <c r="TK2"/>
      <c r="TM2"/>
      <c r="TO2"/>
      <c r="TQ2"/>
      <c r="TS2"/>
      <c r="TU2"/>
      <c r="TW2"/>
      <c r="TY2"/>
      <c r="UA2"/>
      <c r="UC2"/>
      <c r="UE2"/>
      <c r="UG2"/>
      <c r="UI2"/>
      <c r="UK2"/>
      <c r="UM2"/>
      <c r="UO2"/>
      <c r="UQ2"/>
      <c r="US2"/>
      <c r="UU2"/>
      <c r="UW2"/>
      <c r="UY2"/>
      <c r="VA2"/>
      <c r="VC2"/>
      <c r="VE2"/>
      <c r="VG2"/>
      <c r="VI2"/>
      <c r="VK2"/>
      <c r="VM2"/>
      <c r="VO2"/>
      <c r="VQ2"/>
      <c r="VS2"/>
      <c r="VU2"/>
      <c r="VW2"/>
      <c r="VY2"/>
      <c r="WA2"/>
      <c r="WC2"/>
      <c r="WE2"/>
      <c r="WG2"/>
      <c r="WI2"/>
      <c r="WK2"/>
      <c r="WM2"/>
      <c r="WO2"/>
      <c r="WQ2"/>
      <c r="WS2"/>
      <c r="WU2"/>
      <c r="WW2"/>
      <c r="WY2"/>
      <c r="XA2"/>
      <c r="XC2"/>
      <c r="XE2"/>
      <c r="XG2"/>
      <c r="XI2"/>
      <c r="XK2"/>
      <c r="XM2"/>
      <c r="XO2"/>
      <c r="XQ2"/>
      <c r="XS2"/>
      <c r="XU2"/>
      <c r="XW2"/>
      <c r="XY2"/>
      <c r="YA2"/>
      <c r="YC2"/>
      <c r="YE2"/>
      <c r="YG2"/>
      <c r="YI2"/>
      <c r="YK2"/>
      <c r="YM2"/>
      <c r="YO2"/>
      <c r="YQ2"/>
      <c r="YS2"/>
      <c r="YU2"/>
      <c r="YW2"/>
      <c r="YY2"/>
      <c r="ZA2"/>
      <c r="ZC2"/>
      <c r="ZE2"/>
      <c r="ZG2"/>
      <c r="ZI2"/>
      <c r="ZK2"/>
      <c r="ZM2"/>
      <c r="ZO2"/>
      <c r="ZQ2"/>
      <c r="ZS2"/>
      <c r="ZU2"/>
      <c r="ZW2"/>
      <c r="ZY2"/>
      <c r="AAA2"/>
      <c r="AAC2"/>
      <c r="AAE2"/>
      <c r="AAG2"/>
      <c r="AAI2"/>
      <c r="AAK2"/>
      <c r="AAM2"/>
      <c r="AAO2"/>
      <c r="AAQ2"/>
      <c r="AAS2"/>
      <c r="AAU2"/>
      <c r="AAW2"/>
      <c r="AAY2"/>
      <c r="ABA2"/>
      <c r="ABC2"/>
      <c r="ABE2"/>
      <c r="ABG2"/>
      <c r="ABI2"/>
      <c r="ABK2"/>
      <c r="ABM2"/>
      <c r="ABO2"/>
      <c r="ABQ2"/>
      <c r="ABS2"/>
      <c r="ABU2"/>
      <c r="ABW2"/>
      <c r="ABY2"/>
      <c r="ACA2"/>
      <c r="ACC2"/>
      <c r="ACE2"/>
      <c r="ACG2"/>
      <c r="ACI2"/>
      <c r="ACK2"/>
      <c r="ACM2"/>
      <c r="ACO2"/>
      <c r="ACQ2"/>
      <c r="ACS2"/>
      <c r="ACU2"/>
      <c r="ACW2"/>
      <c r="ACY2"/>
      <c r="ADA2"/>
      <c r="ADC2"/>
      <c r="ADE2"/>
      <c r="ADG2"/>
      <c r="ADI2"/>
      <c r="ADK2"/>
      <c r="ADM2"/>
      <c r="ADO2"/>
      <c r="ADQ2"/>
      <c r="ADS2"/>
      <c r="ADU2"/>
      <c r="ADW2"/>
      <c r="ADY2"/>
      <c r="AEA2"/>
      <c r="AEC2"/>
      <c r="AEE2"/>
      <c r="AEG2"/>
      <c r="AEI2"/>
      <c r="AEK2"/>
      <c r="AEM2"/>
      <c r="AEO2"/>
      <c r="AEQ2"/>
      <c r="AES2"/>
      <c r="AEU2"/>
      <c r="AEW2"/>
      <c r="AEY2"/>
      <c r="AFA2"/>
      <c r="AFC2"/>
      <c r="AFE2"/>
      <c r="AFG2"/>
      <c r="AFI2"/>
      <c r="AFK2"/>
      <c r="AFM2"/>
      <c r="AFO2"/>
      <c r="AFQ2"/>
      <c r="AFS2"/>
      <c r="AFU2"/>
      <c r="AFW2"/>
      <c r="AFY2"/>
      <c r="AGA2"/>
      <c r="AGC2"/>
      <c r="AGE2"/>
      <c r="AGG2"/>
      <c r="AGI2"/>
      <c r="AGK2"/>
      <c r="AGM2"/>
      <c r="AGO2"/>
      <c r="AGQ2"/>
      <c r="AGS2"/>
      <c r="AGU2"/>
      <c r="AGW2"/>
      <c r="AGY2"/>
      <c r="AHA2"/>
      <c r="AHC2"/>
      <c r="AHE2"/>
      <c r="AHG2"/>
      <c r="AHI2"/>
      <c r="AHK2"/>
      <c r="AHM2"/>
      <c r="AHO2"/>
      <c r="AHQ2"/>
      <c r="AHS2"/>
      <c r="AHU2"/>
      <c r="AHW2"/>
      <c r="AHY2"/>
      <c r="AIA2"/>
      <c r="AIC2"/>
      <c r="AIE2"/>
      <c r="AIG2"/>
      <c r="AII2"/>
      <c r="AIK2"/>
      <c r="AIM2"/>
      <c r="AIO2"/>
      <c r="AIQ2"/>
      <c r="AIS2"/>
      <c r="AIU2"/>
      <c r="AIW2"/>
      <c r="AIY2"/>
      <c r="AJA2"/>
      <c r="AJC2"/>
      <c r="AJE2"/>
      <c r="AJG2"/>
      <c r="AJI2"/>
      <c r="AJK2"/>
      <c r="AJM2"/>
      <c r="AJO2"/>
      <c r="AJQ2"/>
      <c r="AJS2"/>
      <c r="AJU2"/>
      <c r="AJW2"/>
      <c r="AJY2"/>
      <c r="AKA2"/>
      <c r="AKC2"/>
      <c r="AKE2"/>
      <c r="AKG2"/>
      <c r="AKI2"/>
      <c r="AKK2"/>
      <c r="AKM2"/>
      <c r="AKO2"/>
      <c r="AKQ2"/>
      <c r="AKS2"/>
      <c r="AKU2"/>
      <c r="AKW2"/>
      <c r="AKY2"/>
      <c r="ALA2"/>
      <c r="ALC2"/>
      <c r="ALE2"/>
      <c r="ALG2"/>
      <c r="ALI2"/>
      <c r="ALK2"/>
      <c r="ALM2"/>
      <c r="ALO2"/>
      <c r="ALQ2"/>
      <c r="ALS2"/>
      <c r="ALU2"/>
      <c r="ALW2"/>
      <c r="ALY2"/>
      <c r="AMA2"/>
      <c r="AMC2"/>
      <c r="AME2"/>
      <c r="AMG2"/>
      <c r="AMI2"/>
      <c r="AMK2"/>
      <c r="AMM2"/>
      <c r="AMO2"/>
      <c r="AMQ2"/>
      <c r="AMS2"/>
      <c r="AMU2"/>
      <c r="AMW2"/>
      <c r="AMY2"/>
      <c r="ANA2"/>
      <c r="ANC2"/>
      <c r="ANE2"/>
      <c r="ANG2"/>
      <c r="ANI2"/>
      <c r="ANK2"/>
      <c r="ANM2"/>
      <c r="ANO2"/>
      <c r="ANQ2"/>
      <c r="ANS2"/>
      <c r="ANU2"/>
      <c r="ANW2"/>
      <c r="ANY2"/>
      <c r="AOA2"/>
      <c r="AOC2"/>
      <c r="AOE2"/>
      <c r="AOG2"/>
      <c r="AOI2"/>
      <c r="AOK2"/>
      <c r="AOM2"/>
      <c r="AOO2"/>
      <c r="AOQ2"/>
      <c r="AOS2"/>
      <c r="AOU2"/>
      <c r="AOW2"/>
      <c r="AOY2"/>
      <c r="APA2"/>
      <c r="APC2"/>
      <c r="APE2"/>
      <c r="APG2"/>
      <c r="API2"/>
      <c r="APK2"/>
      <c r="APM2"/>
      <c r="APO2"/>
      <c r="APQ2"/>
      <c r="APS2"/>
      <c r="APU2"/>
      <c r="APW2"/>
      <c r="APY2"/>
      <c r="AQA2"/>
      <c r="AQC2"/>
      <c r="AQE2"/>
      <c r="AQG2"/>
      <c r="AQI2"/>
      <c r="AQK2"/>
      <c r="AQM2"/>
      <c r="AQO2"/>
      <c r="AQQ2"/>
      <c r="AQS2"/>
      <c r="AQU2"/>
      <c r="AQW2"/>
      <c r="AQY2"/>
      <c r="ARA2"/>
      <c r="ARC2"/>
      <c r="ARE2"/>
      <c r="ARG2"/>
      <c r="ARI2"/>
      <c r="ARK2"/>
      <c r="ARM2"/>
      <c r="ARO2"/>
      <c r="ARQ2"/>
      <c r="ARS2"/>
      <c r="ARU2"/>
      <c r="ARW2"/>
      <c r="ARY2"/>
      <c r="ASA2"/>
      <c r="ASC2"/>
      <c r="ASE2"/>
      <c r="ASG2"/>
      <c r="ASI2"/>
      <c r="ASK2"/>
      <c r="ASM2"/>
      <c r="ASO2"/>
      <c r="ASQ2"/>
      <c r="ASS2"/>
      <c r="ASU2"/>
      <c r="ASW2"/>
      <c r="ASY2"/>
      <c r="ATA2"/>
      <c r="ATC2"/>
      <c r="ATE2"/>
      <c r="ATG2"/>
      <c r="ATI2"/>
      <c r="ATK2"/>
      <c r="ATM2"/>
      <c r="ATO2"/>
      <c r="ATQ2"/>
      <c r="ATS2"/>
      <c r="ATU2"/>
      <c r="ATW2"/>
      <c r="ATY2"/>
      <c r="AUA2"/>
      <c r="AUC2"/>
      <c r="AUE2"/>
      <c r="AUG2"/>
      <c r="AUI2"/>
      <c r="AUK2"/>
      <c r="AUM2"/>
      <c r="AUO2"/>
      <c r="AUQ2"/>
      <c r="AUS2"/>
      <c r="AUU2"/>
      <c r="AUW2"/>
      <c r="AUY2"/>
      <c r="AVA2"/>
      <c r="AVC2"/>
      <c r="AVE2"/>
      <c r="AVG2"/>
      <c r="AVI2"/>
      <c r="AVK2"/>
      <c r="AVM2"/>
      <c r="AVO2"/>
      <c r="AVQ2"/>
      <c r="AVS2"/>
      <c r="AVU2"/>
      <c r="AVW2"/>
      <c r="AVY2"/>
      <c r="AWA2"/>
      <c r="AWC2"/>
      <c r="AWE2"/>
      <c r="AWG2"/>
      <c r="AWI2"/>
      <c r="AWK2"/>
      <c r="AWM2"/>
      <c r="AWO2"/>
      <c r="AWQ2"/>
      <c r="AWS2"/>
      <c r="AWU2"/>
      <c r="AWW2"/>
      <c r="AWY2"/>
      <c r="AXA2"/>
      <c r="AXC2"/>
      <c r="AXE2"/>
      <c r="AXG2"/>
      <c r="AXI2"/>
      <c r="AXK2"/>
      <c r="AXM2"/>
      <c r="AXO2"/>
      <c r="AXQ2"/>
      <c r="AXS2"/>
      <c r="AXU2"/>
      <c r="AXW2"/>
      <c r="AXY2"/>
      <c r="AYA2"/>
      <c r="AYC2"/>
      <c r="AYE2"/>
      <c r="AYG2"/>
      <c r="AYI2"/>
      <c r="AYK2"/>
      <c r="AYM2"/>
      <c r="AYO2"/>
      <c r="AYQ2"/>
      <c r="AYS2"/>
      <c r="AYU2"/>
      <c r="AYW2"/>
      <c r="AYY2"/>
      <c r="AZA2"/>
      <c r="AZC2"/>
      <c r="AZE2"/>
      <c r="AZG2"/>
      <c r="AZI2"/>
      <c r="AZK2"/>
      <c r="AZM2"/>
      <c r="AZO2"/>
      <c r="AZQ2"/>
      <c r="AZS2"/>
      <c r="AZU2"/>
      <c r="AZW2"/>
      <c r="AZY2"/>
      <c r="BAA2"/>
      <c r="BAC2"/>
      <c r="BAE2"/>
      <c r="BAG2"/>
      <c r="BAI2"/>
      <c r="BAK2"/>
      <c r="BAM2"/>
      <c r="BAO2"/>
      <c r="BAQ2"/>
      <c r="BAS2"/>
      <c r="BAU2"/>
      <c r="BAW2"/>
      <c r="BAY2"/>
      <c r="BBA2"/>
      <c r="BBC2"/>
      <c r="BBE2"/>
      <c r="BBG2"/>
      <c r="BBI2"/>
      <c r="BBK2"/>
      <c r="BBM2"/>
      <c r="BBO2"/>
      <c r="BBQ2"/>
      <c r="BBS2"/>
      <c r="BBU2"/>
      <c r="BBW2"/>
      <c r="BBY2"/>
      <c r="BCA2"/>
      <c r="BCC2"/>
      <c r="BCE2"/>
      <c r="BCG2"/>
      <c r="BCI2"/>
      <c r="BCK2"/>
      <c r="BCM2"/>
      <c r="BCO2"/>
      <c r="BCQ2"/>
      <c r="BCS2"/>
      <c r="BCU2"/>
      <c r="BCW2"/>
      <c r="BCY2"/>
      <c r="BDA2"/>
      <c r="BDC2"/>
      <c r="BDE2"/>
      <c r="BDG2"/>
      <c r="BDI2"/>
      <c r="BDK2"/>
      <c r="BDM2"/>
      <c r="BDO2"/>
      <c r="BDQ2"/>
      <c r="BDS2"/>
      <c r="BDU2"/>
      <c r="BDW2"/>
      <c r="BDY2"/>
      <c r="BEA2"/>
      <c r="BEC2"/>
      <c r="BEE2"/>
      <c r="BEG2"/>
      <c r="BEI2"/>
      <c r="BEK2"/>
      <c r="BEM2"/>
      <c r="BEO2"/>
      <c r="BEQ2"/>
      <c r="BES2"/>
      <c r="BEU2"/>
      <c r="BEW2"/>
      <c r="BEY2"/>
      <c r="BFA2"/>
      <c r="BFC2"/>
      <c r="BFE2"/>
      <c r="BFG2"/>
      <c r="BFI2"/>
      <c r="BFK2"/>
      <c r="BFM2"/>
      <c r="BFO2"/>
      <c r="BFQ2"/>
      <c r="BFS2"/>
      <c r="BFU2"/>
      <c r="BFW2"/>
      <c r="BFY2"/>
      <c r="BGA2"/>
      <c r="BGC2"/>
      <c r="BGE2"/>
      <c r="BGG2"/>
      <c r="BGI2"/>
      <c r="BGK2"/>
      <c r="BGM2"/>
      <c r="BGO2"/>
      <c r="BGQ2"/>
      <c r="BGS2"/>
      <c r="BGU2"/>
      <c r="BGW2"/>
      <c r="BGY2"/>
      <c r="BHA2"/>
      <c r="BHC2"/>
      <c r="BHE2"/>
      <c r="BHG2"/>
      <c r="BHI2"/>
      <c r="BHK2"/>
      <c r="BHM2"/>
      <c r="BHO2"/>
      <c r="BHQ2"/>
      <c r="BHS2"/>
      <c r="BHU2"/>
      <c r="BHW2"/>
      <c r="BHY2"/>
      <c r="BIA2"/>
      <c r="BIC2"/>
      <c r="BIE2"/>
      <c r="BIG2"/>
      <c r="BII2"/>
      <c r="BIK2"/>
      <c r="BIM2"/>
      <c r="BIO2"/>
      <c r="BIQ2"/>
      <c r="BIS2"/>
      <c r="BIU2"/>
      <c r="BIW2"/>
      <c r="BIY2"/>
      <c r="BJA2"/>
      <c r="BJC2"/>
      <c r="BJE2"/>
      <c r="BJG2"/>
      <c r="BJI2"/>
      <c r="BJK2"/>
      <c r="BJM2"/>
      <c r="BJO2"/>
      <c r="BJQ2"/>
      <c r="BJS2"/>
      <c r="BJU2"/>
      <c r="BJW2"/>
      <c r="BJY2"/>
      <c r="BKA2"/>
      <c r="BKC2"/>
      <c r="BKE2"/>
      <c r="BKG2"/>
      <c r="BKI2"/>
      <c r="BKK2"/>
      <c r="BKM2"/>
      <c r="BKO2"/>
      <c r="BKQ2"/>
      <c r="BKS2"/>
      <c r="BKU2"/>
      <c r="BKW2"/>
      <c r="BKY2"/>
      <c r="BLA2"/>
      <c r="BLC2"/>
      <c r="BLE2"/>
      <c r="BLG2"/>
      <c r="BLI2"/>
      <c r="BLK2"/>
      <c r="BLM2"/>
      <c r="BLO2"/>
      <c r="BLQ2"/>
      <c r="BLS2"/>
      <c r="BLU2"/>
      <c r="BLW2"/>
      <c r="BLY2"/>
      <c r="BMA2"/>
      <c r="BMC2"/>
      <c r="BME2"/>
      <c r="BMG2"/>
      <c r="BMI2"/>
      <c r="BMK2"/>
      <c r="BMM2"/>
      <c r="BMO2"/>
      <c r="BMQ2"/>
      <c r="BMS2"/>
      <c r="BMU2"/>
      <c r="BMW2"/>
      <c r="BMY2"/>
      <c r="BNA2"/>
      <c r="BNC2"/>
      <c r="BNE2"/>
      <c r="BNG2"/>
      <c r="BNI2"/>
      <c r="BNK2"/>
      <c r="BNM2"/>
      <c r="BNO2"/>
      <c r="BNQ2"/>
      <c r="BNS2"/>
      <c r="BNU2"/>
      <c r="BNW2"/>
      <c r="BNY2"/>
      <c r="BOA2"/>
      <c r="BOC2"/>
      <c r="BOE2"/>
      <c r="BOG2"/>
      <c r="BOI2"/>
      <c r="BOK2"/>
      <c r="BOM2"/>
      <c r="BOO2"/>
      <c r="BOQ2"/>
      <c r="BOS2"/>
      <c r="BOU2"/>
      <c r="BOW2"/>
      <c r="BOY2"/>
      <c r="BPA2"/>
      <c r="BPC2"/>
      <c r="BPE2"/>
      <c r="BPG2"/>
      <c r="BPI2"/>
      <c r="BPK2"/>
      <c r="BPM2"/>
      <c r="BPO2"/>
      <c r="BPQ2"/>
      <c r="BPS2"/>
      <c r="BPU2"/>
      <c r="BPW2"/>
      <c r="BPY2"/>
      <c r="BQA2"/>
      <c r="BQC2"/>
      <c r="BQE2"/>
      <c r="BQG2"/>
      <c r="BQI2"/>
      <c r="BQK2"/>
      <c r="BQM2"/>
      <c r="BQO2"/>
      <c r="BQQ2"/>
      <c r="BQS2"/>
      <c r="BQU2"/>
      <c r="BQW2"/>
      <c r="BQY2"/>
      <c r="BRA2"/>
      <c r="BRC2"/>
      <c r="BRE2"/>
      <c r="BRG2"/>
      <c r="BRI2"/>
      <c r="BRK2"/>
      <c r="BRM2"/>
      <c r="BRO2"/>
      <c r="BRQ2"/>
      <c r="BRS2"/>
      <c r="BRU2"/>
      <c r="BRW2"/>
      <c r="BRY2"/>
      <c r="BSA2"/>
      <c r="BSC2"/>
      <c r="BSE2"/>
      <c r="BSG2"/>
      <c r="BSI2"/>
      <c r="BSK2"/>
      <c r="BSM2"/>
      <c r="BSO2"/>
      <c r="BSQ2"/>
      <c r="BSS2"/>
      <c r="BSU2"/>
      <c r="BSW2"/>
      <c r="BSY2"/>
      <c r="BTA2"/>
      <c r="BTC2"/>
      <c r="BTE2"/>
      <c r="BTG2"/>
      <c r="BTI2"/>
      <c r="BTK2"/>
      <c r="BTM2"/>
      <c r="BTO2"/>
      <c r="BTQ2"/>
      <c r="BTS2"/>
      <c r="BTU2"/>
      <c r="BTW2"/>
      <c r="BTY2"/>
      <c r="BUA2"/>
      <c r="BUC2"/>
      <c r="BUE2"/>
      <c r="BUG2"/>
      <c r="BUI2"/>
      <c r="BUK2"/>
      <c r="BUM2"/>
      <c r="BUO2"/>
      <c r="BUQ2"/>
      <c r="BUS2"/>
      <c r="BUU2"/>
      <c r="BUW2"/>
      <c r="BUY2"/>
      <c r="BVA2"/>
      <c r="BVC2"/>
      <c r="BVE2"/>
      <c r="BVG2"/>
      <c r="BVI2"/>
      <c r="BVK2"/>
      <c r="BVM2"/>
      <c r="BVO2"/>
      <c r="BVQ2"/>
      <c r="BVS2"/>
      <c r="BVU2"/>
      <c r="BVW2"/>
      <c r="BVY2"/>
      <c r="BWA2"/>
      <c r="BWC2"/>
      <c r="BWE2"/>
      <c r="BWG2"/>
      <c r="BWI2"/>
      <c r="BWK2"/>
      <c r="BWM2"/>
      <c r="BWO2"/>
      <c r="BWQ2"/>
      <c r="BWS2"/>
      <c r="BWU2"/>
      <c r="BWW2"/>
      <c r="BWY2"/>
      <c r="BXA2"/>
      <c r="BXC2"/>
      <c r="BXE2"/>
      <c r="BXG2"/>
      <c r="BXI2"/>
      <c r="BXK2"/>
      <c r="BXM2"/>
      <c r="BXO2"/>
      <c r="BXQ2"/>
      <c r="BXS2"/>
      <c r="BXU2"/>
      <c r="BXW2"/>
      <c r="BXY2"/>
      <c r="BYA2"/>
      <c r="BYC2"/>
      <c r="BYE2"/>
      <c r="BYG2"/>
      <c r="BYI2"/>
      <c r="BYK2"/>
      <c r="BYM2"/>
      <c r="BYO2"/>
      <c r="BYQ2"/>
      <c r="BYS2"/>
      <c r="BYU2"/>
      <c r="BYW2"/>
      <c r="BYY2"/>
      <c r="BZA2"/>
      <c r="BZC2"/>
      <c r="BZE2"/>
      <c r="BZG2"/>
      <c r="BZI2"/>
      <c r="BZK2"/>
      <c r="BZM2"/>
      <c r="BZO2"/>
      <c r="BZQ2"/>
      <c r="BZS2"/>
      <c r="BZU2"/>
      <c r="BZW2"/>
      <c r="BZY2"/>
      <c r="CAA2"/>
      <c r="CAC2"/>
      <c r="CAE2"/>
      <c r="CAG2"/>
      <c r="CAI2"/>
      <c r="CAK2"/>
      <c r="CAM2"/>
      <c r="CAO2"/>
      <c r="CAQ2"/>
      <c r="CAS2"/>
      <c r="CAU2"/>
      <c r="CAW2"/>
      <c r="CAY2"/>
      <c r="CBA2"/>
      <c r="CBC2"/>
      <c r="CBE2"/>
      <c r="CBG2"/>
      <c r="CBI2"/>
      <c r="CBK2"/>
      <c r="CBM2"/>
      <c r="CBO2"/>
      <c r="CBQ2"/>
      <c r="CBS2"/>
      <c r="CBU2"/>
      <c r="CBW2"/>
      <c r="CBY2"/>
      <c r="CCA2"/>
      <c r="CCC2"/>
      <c r="CCE2"/>
      <c r="CCG2"/>
      <c r="CCI2"/>
      <c r="CCK2"/>
      <c r="CCM2"/>
      <c r="CCO2"/>
      <c r="CCQ2"/>
      <c r="CCS2"/>
      <c r="CCU2"/>
      <c r="CCW2"/>
      <c r="CCY2"/>
      <c r="CDA2"/>
      <c r="CDC2"/>
      <c r="CDE2"/>
      <c r="CDG2"/>
      <c r="CDI2"/>
      <c r="CDK2"/>
      <c r="CDM2"/>
      <c r="CDO2"/>
      <c r="CDQ2"/>
      <c r="CDS2"/>
      <c r="CDU2"/>
      <c r="CDW2"/>
      <c r="CDY2"/>
      <c r="CEA2"/>
      <c r="CEC2"/>
      <c r="CEE2"/>
      <c r="CEG2"/>
      <c r="CEI2"/>
      <c r="CEK2"/>
      <c r="CEM2"/>
      <c r="CEO2"/>
      <c r="CEQ2"/>
      <c r="CES2"/>
      <c r="CEU2"/>
      <c r="CEW2"/>
      <c r="CEY2"/>
      <c r="CFA2"/>
      <c r="CFC2"/>
      <c r="CFE2"/>
      <c r="CFG2"/>
      <c r="CFI2"/>
      <c r="CFK2"/>
      <c r="CFM2"/>
      <c r="CFO2"/>
      <c r="CFQ2"/>
      <c r="CFS2"/>
      <c r="CFU2"/>
      <c r="CFW2"/>
      <c r="CFY2"/>
      <c r="CGA2"/>
      <c r="CGC2"/>
      <c r="CGE2"/>
      <c r="CGG2"/>
      <c r="CGI2"/>
      <c r="CGK2"/>
      <c r="CGM2"/>
      <c r="CGO2"/>
      <c r="CGQ2"/>
      <c r="CGS2"/>
      <c r="CGU2"/>
      <c r="CGW2"/>
      <c r="CGY2"/>
      <c r="CHA2"/>
      <c r="CHC2"/>
      <c r="CHE2"/>
      <c r="CHG2"/>
      <c r="CHI2"/>
      <c r="CHK2"/>
      <c r="CHM2"/>
      <c r="CHO2"/>
      <c r="CHQ2"/>
      <c r="CHS2"/>
      <c r="CHU2"/>
      <c r="CHW2"/>
      <c r="CHY2"/>
      <c r="CIA2"/>
      <c r="CIC2"/>
      <c r="CIE2"/>
      <c r="CIG2"/>
      <c r="CII2"/>
      <c r="CIK2"/>
      <c r="CIM2"/>
      <c r="CIO2"/>
      <c r="CIQ2"/>
      <c r="CIS2"/>
      <c r="CIU2"/>
      <c r="CIW2"/>
      <c r="CIY2"/>
      <c r="CJA2"/>
      <c r="CJC2"/>
      <c r="CJE2"/>
      <c r="CJG2"/>
      <c r="CJI2"/>
      <c r="CJK2"/>
      <c r="CJM2"/>
      <c r="CJO2"/>
      <c r="CJQ2"/>
      <c r="CJS2"/>
      <c r="CJU2"/>
      <c r="CJW2"/>
      <c r="CJY2"/>
      <c r="CKA2"/>
      <c r="CKC2"/>
      <c r="CKE2"/>
      <c r="CKG2"/>
      <c r="CKI2"/>
      <c r="CKK2"/>
      <c r="CKM2"/>
      <c r="CKO2"/>
      <c r="CKQ2"/>
      <c r="CKS2"/>
      <c r="CKU2"/>
      <c r="CKW2"/>
      <c r="CKY2"/>
      <c r="CLA2"/>
      <c r="CLC2"/>
      <c r="CLE2"/>
      <c r="CLG2"/>
      <c r="CLI2"/>
      <c r="CLK2"/>
      <c r="CLM2"/>
      <c r="CLO2"/>
      <c r="CLQ2"/>
      <c r="CLS2"/>
      <c r="CLU2"/>
      <c r="CLW2"/>
      <c r="CLY2"/>
      <c r="CMA2"/>
      <c r="CMC2"/>
      <c r="CME2"/>
      <c r="CMG2"/>
      <c r="CMI2"/>
      <c r="CMK2"/>
      <c r="CMM2"/>
      <c r="CMO2"/>
      <c r="CMQ2"/>
      <c r="CMS2"/>
      <c r="CMU2"/>
      <c r="CMW2"/>
      <c r="CMY2"/>
      <c r="CNA2"/>
      <c r="CNC2"/>
      <c r="CNE2"/>
      <c r="CNG2"/>
      <c r="CNI2"/>
      <c r="CNK2"/>
      <c r="CNM2"/>
      <c r="CNO2"/>
      <c r="CNQ2"/>
      <c r="CNS2"/>
      <c r="CNU2"/>
      <c r="CNW2"/>
      <c r="CNY2"/>
      <c r="COA2"/>
      <c r="COC2"/>
      <c r="COE2"/>
      <c r="COG2"/>
      <c r="COI2"/>
      <c r="COK2"/>
      <c r="COM2"/>
      <c r="COO2"/>
      <c r="COQ2"/>
      <c r="COS2"/>
      <c r="COU2"/>
      <c r="COW2"/>
      <c r="COY2"/>
      <c r="CPA2"/>
      <c r="CPC2"/>
      <c r="CPE2"/>
      <c r="CPG2"/>
      <c r="CPI2"/>
      <c r="CPK2"/>
      <c r="CPM2"/>
      <c r="CPO2"/>
      <c r="CPQ2"/>
      <c r="CPS2"/>
      <c r="CPU2"/>
      <c r="CPW2"/>
      <c r="CPY2"/>
      <c r="CQA2"/>
      <c r="CQC2"/>
      <c r="CQE2"/>
      <c r="CQG2"/>
      <c r="CQI2"/>
      <c r="CQK2"/>
      <c r="CQM2"/>
      <c r="CQO2"/>
      <c r="CQQ2"/>
      <c r="CQS2"/>
      <c r="CQU2"/>
      <c r="CQW2"/>
      <c r="CQY2"/>
      <c r="CRA2"/>
      <c r="CRC2"/>
      <c r="CRE2"/>
      <c r="CRG2"/>
      <c r="CRI2"/>
      <c r="CRK2"/>
      <c r="CRM2"/>
      <c r="CRO2"/>
      <c r="CRQ2"/>
      <c r="CRS2"/>
      <c r="CRU2"/>
      <c r="CRW2"/>
      <c r="CRY2"/>
      <c r="CSA2"/>
      <c r="CSC2"/>
      <c r="CSE2"/>
      <c r="CSG2"/>
      <c r="CSI2"/>
      <c r="CSK2"/>
      <c r="CSM2"/>
      <c r="CSO2"/>
      <c r="CSQ2"/>
      <c r="CSS2"/>
      <c r="CSU2"/>
      <c r="CSW2"/>
      <c r="CSY2"/>
      <c r="CTA2"/>
      <c r="CTC2"/>
      <c r="CTE2"/>
      <c r="CTG2"/>
      <c r="CTI2"/>
      <c r="CTK2"/>
      <c r="CTM2"/>
      <c r="CTO2"/>
      <c r="CTQ2"/>
      <c r="CTS2"/>
      <c r="CTU2"/>
      <c r="CTW2"/>
      <c r="CTY2"/>
      <c r="CUA2"/>
      <c r="CUC2"/>
      <c r="CUE2"/>
      <c r="CUG2"/>
      <c r="CUI2"/>
      <c r="CUK2"/>
      <c r="CUM2"/>
      <c r="CUO2"/>
      <c r="CUQ2"/>
      <c r="CUS2"/>
      <c r="CUU2"/>
      <c r="CUW2"/>
      <c r="CUY2"/>
      <c r="CVA2"/>
      <c r="CVC2"/>
      <c r="CVE2"/>
      <c r="CVG2"/>
      <c r="CVI2"/>
      <c r="CVK2"/>
      <c r="CVM2"/>
      <c r="CVO2"/>
      <c r="CVQ2"/>
      <c r="CVS2"/>
      <c r="CVU2"/>
      <c r="CVW2"/>
      <c r="CVY2"/>
      <c r="CWA2"/>
      <c r="CWC2"/>
      <c r="CWE2"/>
      <c r="CWG2"/>
      <c r="CWI2"/>
      <c r="CWK2"/>
      <c r="CWM2"/>
      <c r="CWO2"/>
      <c r="CWQ2"/>
      <c r="CWS2"/>
      <c r="CWU2"/>
      <c r="CWW2"/>
      <c r="CWY2"/>
      <c r="CXA2"/>
      <c r="CXC2"/>
      <c r="CXE2"/>
      <c r="CXG2"/>
      <c r="CXI2"/>
      <c r="CXK2"/>
      <c r="CXM2"/>
      <c r="CXO2"/>
      <c r="CXQ2"/>
      <c r="CXS2"/>
      <c r="CXU2"/>
      <c r="CXW2"/>
      <c r="CXY2"/>
      <c r="CYA2"/>
      <c r="CYC2"/>
      <c r="CYE2"/>
      <c r="CYG2"/>
      <c r="CYI2"/>
      <c r="CYK2"/>
      <c r="CYM2"/>
      <c r="CYO2"/>
      <c r="CYQ2"/>
      <c r="CYS2"/>
      <c r="CYU2"/>
      <c r="CYW2"/>
      <c r="CYY2"/>
      <c r="CZA2"/>
      <c r="CZC2"/>
      <c r="CZE2"/>
      <c r="CZG2"/>
      <c r="CZI2"/>
      <c r="CZK2"/>
      <c r="CZM2"/>
      <c r="CZO2"/>
      <c r="CZQ2"/>
      <c r="CZS2"/>
      <c r="CZU2"/>
      <c r="CZW2"/>
      <c r="CZY2"/>
      <c r="DAA2"/>
      <c r="DAC2"/>
      <c r="DAE2"/>
      <c r="DAG2"/>
      <c r="DAI2"/>
      <c r="DAK2"/>
      <c r="DAM2"/>
      <c r="DAO2"/>
      <c r="DAQ2"/>
      <c r="DAS2"/>
      <c r="DAU2"/>
      <c r="DAW2"/>
      <c r="DAY2"/>
      <c r="DBA2"/>
      <c r="DBC2"/>
      <c r="DBE2"/>
      <c r="DBG2"/>
      <c r="DBI2"/>
      <c r="DBK2"/>
      <c r="DBM2"/>
      <c r="DBO2"/>
      <c r="DBQ2"/>
      <c r="DBS2"/>
      <c r="DBU2"/>
      <c r="DBW2"/>
      <c r="DBY2"/>
      <c r="DCA2"/>
      <c r="DCC2"/>
      <c r="DCE2"/>
      <c r="DCG2"/>
      <c r="DCI2"/>
      <c r="DCK2"/>
      <c r="DCM2"/>
      <c r="DCO2"/>
      <c r="DCQ2"/>
      <c r="DCS2"/>
      <c r="DCU2"/>
      <c r="DCW2"/>
      <c r="DCY2"/>
      <c r="DDA2"/>
      <c r="DDC2"/>
      <c r="DDE2"/>
      <c r="DDG2"/>
      <c r="DDI2"/>
      <c r="DDK2"/>
      <c r="DDM2"/>
      <c r="DDO2"/>
      <c r="DDQ2"/>
      <c r="DDS2"/>
      <c r="DDU2"/>
      <c r="DDW2"/>
      <c r="DDY2"/>
      <c r="DEA2"/>
      <c r="DEC2"/>
      <c r="DEE2"/>
      <c r="DEG2"/>
      <c r="DEI2"/>
      <c r="DEK2"/>
      <c r="DEM2"/>
      <c r="DEO2"/>
      <c r="DEQ2"/>
      <c r="DES2"/>
      <c r="DEU2"/>
      <c r="DEW2"/>
      <c r="DEY2"/>
      <c r="DFA2"/>
      <c r="DFC2"/>
      <c r="DFE2"/>
      <c r="DFG2"/>
      <c r="DFI2"/>
      <c r="DFK2"/>
      <c r="DFM2"/>
      <c r="DFO2"/>
      <c r="DFQ2"/>
      <c r="DFS2"/>
      <c r="DFU2"/>
      <c r="DFW2"/>
      <c r="DFY2"/>
      <c r="DGA2"/>
      <c r="DGC2"/>
      <c r="DGE2"/>
      <c r="DGG2"/>
      <c r="DGI2"/>
      <c r="DGK2"/>
      <c r="DGM2"/>
      <c r="DGO2"/>
      <c r="DGQ2"/>
      <c r="DGS2"/>
      <c r="DGU2"/>
      <c r="DGW2"/>
      <c r="DGY2"/>
      <c r="DHA2"/>
      <c r="DHC2"/>
      <c r="DHE2"/>
      <c r="DHG2"/>
      <c r="DHI2"/>
      <c r="DHK2"/>
      <c r="DHM2"/>
      <c r="DHO2"/>
      <c r="DHQ2"/>
      <c r="DHS2"/>
      <c r="DHU2"/>
      <c r="DHW2"/>
      <c r="DHY2"/>
      <c r="DIA2"/>
      <c r="DIC2"/>
      <c r="DIE2"/>
      <c r="DIG2"/>
      <c r="DII2"/>
      <c r="DIK2"/>
      <c r="DIM2"/>
      <c r="DIO2"/>
      <c r="DIQ2"/>
      <c r="DIS2"/>
      <c r="DIU2"/>
      <c r="DIW2"/>
      <c r="DIY2"/>
      <c r="DJA2"/>
      <c r="DJC2"/>
      <c r="DJE2"/>
      <c r="DJG2"/>
      <c r="DJI2"/>
      <c r="DJK2"/>
      <c r="DJM2"/>
      <c r="DJO2"/>
      <c r="DJQ2"/>
      <c r="DJS2"/>
      <c r="DJU2"/>
      <c r="DJW2"/>
      <c r="DJY2"/>
      <c r="DKA2"/>
      <c r="DKC2"/>
      <c r="DKE2"/>
      <c r="DKG2"/>
      <c r="DKI2"/>
      <c r="DKK2"/>
      <c r="DKM2"/>
      <c r="DKO2"/>
      <c r="DKQ2"/>
      <c r="DKS2"/>
      <c r="DKU2"/>
      <c r="DKW2"/>
      <c r="DKY2"/>
      <c r="DLA2"/>
      <c r="DLC2"/>
      <c r="DLE2"/>
      <c r="DLG2"/>
      <c r="DLI2"/>
      <c r="DLK2"/>
      <c r="DLM2"/>
      <c r="DLO2"/>
      <c r="DLQ2"/>
      <c r="DLS2"/>
      <c r="DLU2"/>
      <c r="DLW2"/>
      <c r="DLY2"/>
      <c r="DMA2"/>
      <c r="DMC2"/>
      <c r="DME2"/>
      <c r="DMG2"/>
      <c r="DMI2"/>
      <c r="DMK2"/>
      <c r="DMM2"/>
      <c r="DMO2"/>
      <c r="DMQ2"/>
      <c r="DMS2"/>
      <c r="DMU2"/>
      <c r="DMW2"/>
      <c r="DMY2"/>
      <c r="DNA2"/>
      <c r="DNC2"/>
      <c r="DNE2"/>
      <c r="DNG2"/>
      <c r="DNI2"/>
      <c r="DNK2"/>
      <c r="DNM2"/>
      <c r="DNO2"/>
      <c r="DNQ2"/>
      <c r="DNS2"/>
      <c r="DNU2"/>
      <c r="DNW2"/>
      <c r="DNY2"/>
      <c r="DOA2"/>
      <c r="DOC2"/>
      <c r="DOE2"/>
      <c r="DOG2"/>
      <c r="DOI2"/>
      <c r="DOK2"/>
      <c r="DOM2"/>
      <c r="DOO2"/>
      <c r="DOQ2"/>
      <c r="DOS2"/>
      <c r="DOU2"/>
      <c r="DOW2"/>
      <c r="DOY2"/>
      <c r="DPA2"/>
      <c r="DPC2"/>
      <c r="DPE2"/>
      <c r="DPG2"/>
      <c r="DPI2"/>
      <c r="DPK2"/>
      <c r="DPM2"/>
      <c r="DPO2"/>
      <c r="DPQ2"/>
      <c r="DPS2"/>
      <c r="DPU2"/>
      <c r="DPW2"/>
      <c r="DPY2"/>
      <c r="DQA2"/>
      <c r="DQC2"/>
      <c r="DQE2"/>
      <c r="DQG2"/>
      <c r="DQI2"/>
      <c r="DQK2"/>
      <c r="DQM2"/>
      <c r="DQO2"/>
      <c r="DQQ2"/>
      <c r="DQS2"/>
      <c r="DQU2"/>
      <c r="DQW2"/>
      <c r="DQY2"/>
      <c r="DRA2"/>
      <c r="DRC2"/>
      <c r="DRE2"/>
      <c r="DRG2"/>
      <c r="DRI2"/>
      <c r="DRK2"/>
      <c r="DRM2"/>
      <c r="DRO2"/>
      <c r="DRQ2"/>
      <c r="DRS2"/>
      <c r="DRU2"/>
      <c r="DRW2"/>
      <c r="DRY2"/>
      <c r="DSA2"/>
      <c r="DSC2"/>
      <c r="DSE2"/>
      <c r="DSG2"/>
      <c r="DSI2"/>
      <c r="DSK2"/>
      <c r="DSM2"/>
      <c r="DSO2"/>
      <c r="DSQ2"/>
      <c r="DSS2"/>
      <c r="DSU2"/>
      <c r="DSW2"/>
      <c r="DSY2"/>
      <c r="DTA2"/>
      <c r="DTC2"/>
      <c r="DTE2"/>
      <c r="DTG2"/>
      <c r="DTI2"/>
      <c r="DTK2"/>
      <c r="DTM2"/>
      <c r="DTO2"/>
      <c r="DTQ2"/>
      <c r="DTS2"/>
      <c r="DTU2"/>
      <c r="DTW2"/>
      <c r="DTY2"/>
      <c r="DUA2"/>
      <c r="DUC2"/>
      <c r="DUE2"/>
      <c r="DUG2"/>
      <c r="DUI2"/>
      <c r="DUK2"/>
      <c r="DUM2"/>
      <c r="DUO2"/>
      <c r="DUQ2"/>
      <c r="DUS2"/>
      <c r="DUU2"/>
      <c r="DUW2"/>
      <c r="DUY2"/>
      <c r="DVA2"/>
      <c r="DVC2"/>
      <c r="DVE2"/>
      <c r="DVG2"/>
      <c r="DVI2"/>
      <c r="DVK2"/>
      <c r="DVM2"/>
      <c r="DVO2"/>
      <c r="DVQ2"/>
      <c r="DVS2"/>
      <c r="DVU2"/>
      <c r="DVW2"/>
      <c r="DVY2"/>
      <c r="DWA2"/>
      <c r="DWC2"/>
      <c r="DWE2"/>
      <c r="DWG2"/>
      <c r="DWI2"/>
      <c r="DWK2"/>
      <c r="DWM2"/>
      <c r="DWO2"/>
      <c r="DWQ2"/>
      <c r="DWS2"/>
      <c r="DWU2"/>
      <c r="DWW2"/>
      <c r="DWY2"/>
      <c r="DXA2"/>
      <c r="DXC2"/>
      <c r="DXE2"/>
      <c r="DXG2"/>
      <c r="DXI2"/>
      <c r="DXK2"/>
      <c r="DXM2"/>
      <c r="DXO2"/>
      <c r="DXQ2"/>
      <c r="DXS2"/>
      <c r="DXU2"/>
      <c r="DXW2"/>
      <c r="DXY2"/>
      <c r="DYA2"/>
      <c r="DYC2"/>
      <c r="DYE2"/>
      <c r="DYG2"/>
      <c r="DYI2"/>
      <c r="DYK2"/>
      <c r="DYM2"/>
      <c r="DYO2"/>
      <c r="DYQ2"/>
      <c r="DYS2"/>
      <c r="DYU2"/>
      <c r="DYW2"/>
      <c r="DYY2"/>
      <c r="DZA2"/>
      <c r="DZC2"/>
      <c r="DZE2"/>
      <c r="DZG2"/>
      <c r="DZI2"/>
      <c r="DZK2"/>
      <c r="DZM2"/>
      <c r="DZO2"/>
      <c r="DZQ2"/>
      <c r="DZS2"/>
      <c r="DZU2"/>
      <c r="DZW2"/>
      <c r="DZY2"/>
      <c r="EAA2"/>
      <c r="EAC2"/>
      <c r="EAE2"/>
      <c r="EAG2"/>
      <c r="EAI2"/>
      <c r="EAK2"/>
      <c r="EAM2"/>
      <c r="EAO2"/>
      <c r="EAQ2"/>
      <c r="EAS2"/>
      <c r="EAU2"/>
      <c r="EAW2"/>
      <c r="EAY2"/>
      <c r="EBA2"/>
      <c r="EBC2"/>
      <c r="EBE2"/>
      <c r="EBG2"/>
      <c r="EBI2"/>
      <c r="EBK2"/>
      <c r="EBM2"/>
      <c r="EBO2"/>
      <c r="EBQ2"/>
      <c r="EBS2"/>
      <c r="EBU2"/>
      <c r="EBW2"/>
      <c r="EBY2"/>
      <c r="ECA2"/>
      <c r="ECC2"/>
      <c r="ECE2"/>
      <c r="ECG2"/>
      <c r="ECI2"/>
      <c r="ECK2"/>
      <c r="ECM2"/>
      <c r="ECO2"/>
      <c r="ECQ2"/>
      <c r="ECS2"/>
      <c r="ECU2"/>
      <c r="ECW2"/>
      <c r="ECY2"/>
      <c r="EDA2"/>
      <c r="EDC2"/>
      <c r="EDE2"/>
      <c r="EDG2"/>
      <c r="EDI2"/>
      <c r="EDK2"/>
      <c r="EDM2"/>
      <c r="EDO2"/>
      <c r="EDQ2"/>
      <c r="EDS2"/>
      <c r="EDU2"/>
      <c r="EDW2"/>
      <c r="EDY2"/>
      <c r="EEA2"/>
      <c r="EEC2"/>
      <c r="EEE2"/>
      <c r="EEG2"/>
      <c r="EEI2"/>
      <c r="EEK2"/>
      <c r="EEM2"/>
      <c r="EEO2"/>
      <c r="EEQ2"/>
      <c r="EES2"/>
      <c r="EEU2"/>
      <c r="EEW2"/>
      <c r="EEY2"/>
      <c r="EFA2"/>
      <c r="EFC2"/>
      <c r="EFE2"/>
      <c r="EFG2"/>
      <c r="EFI2"/>
      <c r="EFK2"/>
      <c r="EFM2"/>
      <c r="EFO2"/>
      <c r="EFQ2"/>
      <c r="EFS2"/>
      <c r="EFU2"/>
      <c r="EFW2"/>
      <c r="EFY2"/>
      <c r="EGA2"/>
      <c r="EGC2"/>
      <c r="EGE2"/>
      <c r="EGG2"/>
      <c r="EGI2"/>
      <c r="EGK2"/>
      <c r="EGM2"/>
      <c r="EGO2"/>
      <c r="EGQ2"/>
      <c r="EGS2"/>
      <c r="EGU2"/>
      <c r="EGW2"/>
      <c r="EGY2"/>
      <c r="EHA2"/>
      <c r="EHC2"/>
      <c r="EHE2"/>
      <c r="EHG2"/>
      <c r="EHI2"/>
      <c r="EHK2"/>
      <c r="EHM2"/>
      <c r="EHO2"/>
      <c r="EHQ2"/>
      <c r="EHS2"/>
      <c r="EHU2"/>
      <c r="EHW2"/>
      <c r="EHY2"/>
      <c r="EIA2"/>
      <c r="EIC2"/>
      <c r="EIE2"/>
      <c r="EIG2"/>
      <c r="EII2"/>
      <c r="EIK2"/>
      <c r="EIM2"/>
      <c r="EIO2"/>
      <c r="EIQ2"/>
      <c r="EIS2"/>
      <c r="EIU2"/>
      <c r="EIW2"/>
      <c r="EIY2"/>
      <c r="EJA2"/>
      <c r="EJC2"/>
      <c r="EJE2"/>
      <c r="EJG2"/>
      <c r="EJI2"/>
      <c r="EJK2"/>
      <c r="EJM2"/>
      <c r="EJO2"/>
      <c r="EJQ2"/>
      <c r="EJS2"/>
      <c r="EJU2"/>
      <c r="EJW2"/>
      <c r="EJY2"/>
      <c r="EKA2"/>
      <c r="EKC2"/>
      <c r="EKE2"/>
      <c r="EKG2"/>
      <c r="EKI2"/>
      <c r="EKK2"/>
      <c r="EKM2"/>
      <c r="EKO2"/>
      <c r="EKQ2"/>
      <c r="EKS2"/>
      <c r="EKU2"/>
      <c r="EKW2"/>
      <c r="EKY2"/>
      <c r="ELA2"/>
      <c r="ELC2"/>
      <c r="ELE2"/>
      <c r="ELG2"/>
      <c r="ELI2"/>
      <c r="ELK2"/>
      <c r="ELM2"/>
      <c r="ELO2"/>
      <c r="ELQ2"/>
      <c r="ELS2"/>
      <c r="ELU2"/>
      <c r="ELW2"/>
      <c r="ELY2"/>
      <c r="EMA2"/>
      <c r="EMC2"/>
      <c r="EME2"/>
      <c r="EMG2"/>
      <c r="EMI2"/>
      <c r="EMK2"/>
      <c r="EMM2"/>
      <c r="EMO2"/>
      <c r="EMQ2"/>
      <c r="EMS2"/>
      <c r="EMU2"/>
      <c r="EMW2"/>
      <c r="EMY2"/>
      <c r="ENA2"/>
      <c r="ENC2"/>
      <c r="ENE2"/>
      <c r="ENG2"/>
      <c r="ENI2"/>
      <c r="ENK2"/>
      <c r="ENM2"/>
      <c r="ENO2"/>
      <c r="ENQ2"/>
      <c r="ENS2"/>
      <c r="ENU2"/>
      <c r="ENW2"/>
      <c r="ENY2"/>
      <c r="EOA2"/>
      <c r="EOC2"/>
      <c r="EOE2"/>
      <c r="EOG2"/>
      <c r="EOI2"/>
      <c r="EOK2"/>
      <c r="EOM2"/>
      <c r="EOO2"/>
      <c r="EOQ2"/>
      <c r="EOS2"/>
      <c r="EOU2"/>
      <c r="EOW2"/>
      <c r="EOY2"/>
      <c r="EPA2"/>
      <c r="EPC2"/>
      <c r="EPE2"/>
      <c r="EPG2"/>
      <c r="EPI2"/>
      <c r="EPK2"/>
      <c r="EPM2"/>
      <c r="EPO2"/>
      <c r="EPQ2"/>
      <c r="EPS2"/>
      <c r="EPU2"/>
      <c r="EPW2"/>
      <c r="EPY2"/>
      <c r="EQA2"/>
      <c r="EQC2"/>
      <c r="EQE2"/>
      <c r="EQG2"/>
      <c r="EQI2"/>
      <c r="EQK2"/>
      <c r="EQM2"/>
      <c r="EQO2"/>
      <c r="EQQ2"/>
      <c r="EQS2"/>
      <c r="EQU2"/>
      <c r="EQW2"/>
      <c r="EQY2"/>
      <c r="ERA2"/>
      <c r="ERC2"/>
      <c r="ERE2"/>
      <c r="ERG2"/>
      <c r="ERI2"/>
      <c r="ERK2"/>
      <c r="ERM2"/>
      <c r="ERO2"/>
      <c r="ERQ2"/>
      <c r="ERS2"/>
      <c r="ERU2"/>
      <c r="ERW2"/>
      <c r="ERY2"/>
      <c r="ESA2"/>
      <c r="ESC2"/>
      <c r="ESE2"/>
      <c r="ESG2"/>
      <c r="ESI2"/>
      <c r="ESK2"/>
      <c r="ESM2"/>
      <c r="ESO2"/>
      <c r="ESQ2"/>
      <c r="ESS2"/>
      <c r="ESU2"/>
      <c r="ESW2"/>
      <c r="ESY2"/>
      <c r="ETA2"/>
      <c r="ETC2"/>
      <c r="ETE2"/>
      <c r="ETG2"/>
      <c r="ETI2"/>
      <c r="ETK2"/>
      <c r="ETM2"/>
      <c r="ETO2"/>
      <c r="ETQ2"/>
      <c r="ETS2"/>
      <c r="ETU2"/>
      <c r="ETW2"/>
      <c r="ETY2"/>
      <c r="EUA2"/>
      <c r="EUC2"/>
      <c r="EUE2"/>
      <c r="EUG2"/>
      <c r="EUI2"/>
      <c r="EUK2"/>
      <c r="EUM2"/>
      <c r="EUO2"/>
      <c r="EUQ2"/>
      <c r="EUS2"/>
      <c r="EUU2"/>
      <c r="EUW2"/>
      <c r="EUY2"/>
      <c r="EVA2"/>
      <c r="EVC2"/>
      <c r="EVE2"/>
      <c r="EVG2"/>
      <c r="EVI2"/>
      <c r="EVK2"/>
      <c r="EVM2"/>
      <c r="EVO2"/>
      <c r="EVQ2"/>
      <c r="EVS2"/>
      <c r="EVU2"/>
      <c r="EVW2"/>
      <c r="EVY2"/>
      <c r="EWA2"/>
      <c r="EWC2"/>
      <c r="EWE2"/>
      <c r="EWG2"/>
      <c r="EWI2"/>
      <c r="EWK2"/>
      <c r="EWM2"/>
      <c r="EWO2"/>
      <c r="EWQ2"/>
      <c r="EWS2"/>
      <c r="EWU2"/>
      <c r="EWW2"/>
      <c r="EWY2"/>
      <c r="EXA2"/>
      <c r="EXC2"/>
      <c r="EXE2"/>
      <c r="EXG2"/>
      <c r="EXI2"/>
      <c r="EXK2"/>
      <c r="EXM2"/>
      <c r="EXO2"/>
      <c r="EXQ2"/>
      <c r="EXS2"/>
      <c r="EXU2"/>
      <c r="EXW2"/>
      <c r="EXY2"/>
      <c r="EYA2"/>
      <c r="EYC2"/>
      <c r="EYE2"/>
      <c r="EYG2"/>
      <c r="EYI2"/>
      <c r="EYK2"/>
      <c r="EYM2"/>
      <c r="EYO2"/>
      <c r="EYQ2"/>
      <c r="EYS2"/>
      <c r="EYU2"/>
      <c r="EYW2"/>
      <c r="EYY2"/>
      <c r="EZA2"/>
      <c r="EZC2"/>
      <c r="EZE2"/>
      <c r="EZG2"/>
      <c r="EZI2"/>
      <c r="EZK2"/>
      <c r="EZM2"/>
      <c r="EZO2"/>
      <c r="EZQ2"/>
      <c r="EZS2"/>
      <c r="EZU2"/>
      <c r="EZW2"/>
      <c r="EZY2"/>
      <c r="FAA2"/>
      <c r="FAC2"/>
      <c r="FAE2"/>
      <c r="FAG2"/>
      <c r="FAI2"/>
      <c r="FAK2"/>
      <c r="FAM2"/>
      <c r="FAO2"/>
      <c r="FAQ2"/>
      <c r="FAS2"/>
      <c r="FAU2"/>
      <c r="FAW2"/>
      <c r="FAY2"/>
      <c r="FBA2"/>
      <c r="FBC2"/>
      <c r="FBE2"/>
      <c r="FBG2"/>
      <c r="FBI2"/>
      <c r="FBK2"/>
      <c r="FBM2"/>
      <c r="FBO2"/>
      <c r="FBQ2"/>
      <c r="FBS2"/>
      <c r="FBU2"/>
      <c r="FBW2"/>
      <c r="FBY2"/>
      <c r="FCA2"/>
      <c r="FCC2"/>
      <c r="FCE2"/>
      <c r="FCG2"/>
      <c r="FCI2"/>
      <c r="FCK2"/>
      <c r="FCM2"/>
      <c r="FCO2"/>
      <c r="FCQ2"/>
      <c r="FCS2"/>
      <c r="FCU2"/>
      <c r="FCW2"/>
      <c r="FCY2"/>
      <c r="FDA2"/>
      <c r="FDC2"/>
      <c r="FDE2"/>
      <c r="FDG2"/>
      <c r="FDI2"/>
      <c r="FDK2"/>
      <c r="FDM2"/>
      <c r="FDO2"/>
      <c r="FDQ2"/>
      <c r="FDS2"/>
      <c r="FDU2"/>
      <c r="FDW2"/>
      <c r="FDY2"/>
      <c r="FEA2"/>
      <c r="FEC2"/>
      <c r="FEE2"/>
      <c r="FEG2"/>
      <c r="FEI2"/>
      <c r="FEK2"/>
      <c r="FEM2"/>
      <c r="FEO2"/>
      <c r="FEQ2"/>
      <c r="FES2"/>
      <c r="FEU2"/>
      <c r="FEW2"/>
      <c r="FEY2"/>
      <c r="FFA2"/>
      <c r="FFC2"/>
      <c r="FFE2"/>
      <c r="FFG2"/>
      <c r="FFI2"/>
      <c r="FFK2"/>
      <c r="FFM2"/>
      <c r="FFO2"/>
      <c r="FFQ2"/>
      <c r="FFS2"/>
      <c r="FFU2"/>
      <c r="FFW2"/>
      <c r="FFY2"/>
      <c r="FGA2"/>
      <c r="FGC2"/>
      <c r="FGE2"/>
      <c r="FGG2"/>
      <c r="FGI2"/>
      <c r="FGK2"/>
      <c r="FGM2"/>
      <c r="FGO2"/>
      <c r="FGQ2"/>
      <c r="FGS2"/>
      <c r="FGU2"/>
      <c r="FGW2"/>
      <c r="FGY2"/>
      <c r="FHA2"/>
      <c r="FHC2"/>
      <c r="FHE2"/>
      <c r="FHG2"/>
      <c r="FHI2"/>
      <c r="FHK2"/>
      <c r="FHM2"/>
      <c r="FHO2"/>
      <c r="FHQ2"/>
      <c r="FHS2"/>
      <c r="FHU2"/>
      <c r="FHW2"/>
      <c r="FHY2"/>
      <c r="FIA2"/>
      <c r="FIC2"/>
      <c r="FIE2"/>
      <c r="FIG2"/>
      <c r="FII2"/>
      <c r="FIK2"/>
      <c r="FIM2"/>
      <c r="FIO2"/>
      <c r="FIQ2"/>
      <c r="FIS2"/>
      <c r="FIU2"/>
      <c r="FIW2"/>
      <c r="FIY2"/>
      <c r="FJA2"/>
      <c r="FJC2"/>
      <c r="FJE2"/>
      <c r="FJG2"/>
      <c r="FJI2"/>
      <c r="FJK2"/>
      <c r="FJM2"/>
      <c r="FJO2"/>
      <c r="FJQ2"/>
      <c r="FJS2"/>
      <c r="FJU2"/>
      <c r="FJW2"/>
      <c r="FJY2"/>
      <c r="FKA2"/>
      <c r="FKC2"/>
      <c r="FKE2"/>
      <c r="FKG2"/>
      <c r="FKI2"/>
      <c r="FKK2"/>
      <c r="FKM2"/>
      <c r="FKO2"/>
      <c r="FKQ2"/>
      <c r="FKS2"/>
      <c r="FKU2"/>
      <c r="FKW2"/>
      <c r="FKY2"/>
      <c r="FLA2"/>
      <c r="FLC2"/>
      <c r="FLE2"/>
      <c r="FLG2"/>
      <c r="FLI2"/>
      <c r="FLK2"/>
      <c r="FLM2"/>
      <c r="FLO2"/>
      <c r="FLQ2"/>
      <c r="FLS2"/>
      <c r="FLU2"/>
      <c r="FLW2"/>
      <c r="FLY2"/>
      <c r="FMA2"/>
      <c r="FMC2"/>
      <c r="FME2"/>
      <c r="FMG2"/>
      <c r="FMI2"/>
      <c r="FMK2"/>
      <c r="FMM2"/>
      <c r="FMO2"/>
      <c r="FMQ2"/>
      <c r="FMS2"/>
      <c r="FMU2"/>
      <c r="FMW2"/>
      <c r="FMY2"/>
      <c r="FNA2"/>
      <c r="FNC2"/>
      <c r="FNE2"/>
      <c r="FNG2"/>
      <c r="FNI2"/>
      <c r="FNK2"/>
      <c r="FNM2"/>
      <c r="FNO2"/>
      <c r="FNQ2"/>
      <c r="FNS2"/>
      <c r="FNU2"/>
      <c r="FNW2"/>
      <c r="FNY2"/>
      <c r="FOA2"/>
      <c r="FOC2"/>
      <c r="FOE2"/>
      <c r="FOG2"/>
      <c r="FOI2"/>
      <c r="FOK2"/>
      <c r="FOM2"/>
      <c r="FOO2"/>
      <c r="FOQ2"/>
      <c r="FOS2"/>
      <c r="FOU2"/>
      <c r="FOW2"/>
      <c r="FOY2"/>
      <c r="FPA2"/>
      <c r="FPC2"/>
      <c r="FPE2"/>
      <c r="FPG2"/>
      <c r="FPI2"/>
      <c r="FPK2"/>
      <c r="FPM2"/>
      <c r="FPO2"/>
      <c r="FPQ2"/>
      <c r="FPS2"/>
      <c r="FPU2"/>
      <c r="FPW2"/>
      <c r="FPY2"/>
      <c r="FQA2"/>
      <c r="FQC2"/>
      <c r="FQE2"/>
      <c r="FQG2"/>
      <c r="FQI2"/>
      <c r="FQK2"/>
      <c r="FQM2"/>
      <c r="FQO2"/>
      <c r="FQQ2"/>
      <c r="FQS2"/>
      <c r="FQU2"/>
      <c r="FQW2"/>
      <c r="FQY2"/>
      <c r="FRA2"/>
      <c r="FRC2"/>
      <c r="FRE2"/>
      <c r="FRG2"/>
      <c r="FRI2"/>
      <c r="FRK2"/>
      <c r="FRM2"/>
      <c r="FRO2"/>
      <c r="FRQ2"/>
      <c r="FRS2"/>
      <c r="FRU2"/>
      <c r="FRW2"/>
      <c r="FRY2"/>
      <c r="FSA2"/>
      <c r="FSC2"/>
      <c r="FSE2"/>
      <c r="FSG2"/>
      <c r="FSI2"/>
      <c r="FSK2"/>
      <c r="FSM2"/>
      <c r="FSO2"/>
      <c r="FSQ2"/>
      <c r="FSS2"/>
      <c r="FSU2"/>
      <c r="FSW2"/>
      <c r="FSY2"/>
      <c r="FTA2"/>
      <c r="FTC2"/>
      <c r="FTE2"/>
      <c r="FTG2"/>
      <c r="FTI2"/>
      <c r="FTK2"/>
      <c r="FTM2"/>
      <c r="FTO2"/>
      <c r="FTQ2"/>
      <c r="FTS2"/>
      <c r="FTU2"/>
      <c r="FTW2"/>
      <c r="FTY2"/>
      <c r="FUA2"/>
      <c r="FUC2"/>
      <c r="FUE2"/>
      <c r="FUG2"/>
      <c r="FUI2"/>
      <c r="FUK2"/>
      <c r="FUM2"/>
      <c r="FUO2"/>
      <c r="FUQ2"/>
      <c r="FUS2"/>
      <c r="FUU2"/>
      <c r="FUW2"/>
      <c r="FUY2"/>
      <c r="FVA2"/>
      <c r="FVC2"/>
      <c r="FVE2"/>
      <c r="FVG2"/>
      <c r="FVI2"/>
      <c r="FVK2"/>
      <c r="FVM2"/>
      <c r="FVO2"/>
      <c r="FVQ2"/>
      <c r="FVS2"/>
      <c r="FVU2"/>
      <c r="FVW2"/>
      <c r="FVY2"/>
      <c r="FWA2"/>
      <c r="FWC2"/>
      <c r="FWE2"/>
      <c r="FWG2"/>
      <c r="FWI2"/>
      <c r="FWK2"/>
      <c r="FWM2"/>
      <c r="FWO2"/>
      <c r="FWQ2"/>
      <c r="FWS2"/>
      <c r="FWU2"/>
      <c r="FWW2"/>
      <c r="FWY2"/>
      <c r="FXA2"/>
      <c r="FXC2"/>
      <c r="FXE2"/>
      <c r="FXG2"/>
      <c r="FXI2"/>
      <c r="FXK2"/>
      <c r="FXM2"/>
      <c r="FXO2"/>
      <c r="FXQ2"/>
      <c r="FXS2"/>
      <c r="FXU2"/>
      <c r="FXW2"/>
      <c r="FXY2"/>
      <c r="FYA2"/>
      <c r="FYC2"/>
      <c r="FYE2"/>
      <c r="FYG2"/>
      <c r="FYI2"/>
      <c r="FYK2"/>
      <c r="FYM2"/>
      <c r="FYO2"/>
      <c r="FYQ2"/>
      <c r="FYS2"/>
      <c r="FYU2"/>
      <c r="FYW2"/>
      <c r="FYY2"/>
      <c r="FZA2"/>
      <c r="FZC2"/>
      <c r="FZE2"/>
      <c r="FZG2"/>
      <c r="FZI2"/>
      <c r="FZK2"/>
      <c r="FZM2"/>
      <c r="FZO2"/>
      <c r="FZQ2"/>
      <c r="FZS2"/>
      <c r="FZU2"/>
      <c r="FZW2"/>
      <c r="FZY2"/>
      <c r="GAA2"/>
      <c r="GAC2"/>
      <c r="GAE2"/>
      <c r="GAG2"/>
      <c r="GAI2"/>
      <c r="GAK2"/>
      <c r="GAM2"/>
      <c r="GAO2"/>
      <c r="GAQ2"/>
      <c r="GAS2"/>
      <c r="GAU2"/>
      <c r="GAW2"/>
      <c r="GAY2"/>
      <c r="GBA2"/>
      <c r="GBC2"/>
      <c r="GBE2"/>
      <c r="GBG2"/>
      <c r="GBI2"/>
      <c r="GBK2"/>
      <c r="GBM2"/>
      <c r="GBO2"/>
      <c r="GBQ2"/>
      <c r="GBS2"/>
      <c r="GBU2"/>
      <c r="GBW2"/>
      <c r="GBY2"/>
      <c r="GCA2"/>
      <c r="GCC2"/>
      <c r="GCE2"/>
      <c r="GCG2"/>
      <c r="GCI2"/>
      <c r="GCK2"/>
      <c r="GCM2"/>
      <c r="GCO2"/>
      <c r="GCQ2"/>
      <c r="GCS2"/>
      <c r="GCU2"/>
      <c r="GCW2"/>
      <c r="GCY2"/>
      <c r="GDA2"/>
      <c r="GDC2"/>
      <c r="GDE2"/>
      <c r="GDG2"/>
      <c r="GDI2"/>
      <c r="GDK2"/>
      <c r="GDM2"/>
      <c r="GDO2"/>
      <c r="GDQ2"/>
      <c r="GDS2"/>
      <c r="GDU2"/>
      <c r="GDW2"/>
      <c r="GDY2"/>
      <c r="GEA2"/>
      <c r="GEC2"/>
      <c r="GEE2"/>
      <c r="GEG2"/>
      <c r="GEI2"/>
      <c r="GEK2"/>
      <c r="GEM2"/>
      <c r="GEO2"/>
      <c r="GEQ2"/>
      <c r="GES2"/>
      <c r="GEU2"/>
      <c r="GEW2"/>
      <c r="GEY2"/>
      <c r="GFA2"/>
      <c r="GFC2"/>
      <c r="GFE2"/>
      <c r="GFG2"/>
      <c r="GFI2"/>
      <c r="GFK2"/>
      <c r="GFM2"/>
      <c r="GFO2"/>
      <c r="GFQ2"/>
      <c r="GFS2"/>
      <c r="GFU2"/>
      <c r="GFW2"/>
      <c r="GFY2"/>
      <c r="GGA2"/>
      <c r="GGC2"/>
      <c r="GGE2"/>
      <c r="GGG2"/>
      <c r="GGI2"/>
      <c r="GGK2"/>
      <c r="GGM2"/>
      <c r="GGO2"/>
      <c r="GGQ2"/>
      <c r="GGS2"/>
      <c r="GGU2"/>
      <c r="GGW2"/>
      <c r="GGY2"/>
      <c r="GHA2"/>
      <c r="GHC2"/>
      <c r="GHE2"/>
      <c r="GHG2"/>
      <c r="GHI2"/>
      <c r="GHK2"/>
      <c r="GHM2"/>
      <c r="GHO2"/>
      <c r="GHQ2"/>
      <c r="GHS2"/>
      <c r="GHU2"/>
      <c r="GHW2"/>
      <c r="GHY2"/>
      <c r="GIA2"/>
      <c r="GIC2"/>
      <c r="GIE2"/>
      <c r="GIG2"/>
      <c r="GII2"/>
      <c r="GIK2"/>
      <c r="GIM2"/>
      <c r="GIO2"/>
      <c r="GIQ2"/>
      <c r="GIS2"/>
      <c r="GIU2"/>
      <c r="GIW2"/>
      <c r="GIY2"/>
      <c r="GJA2"/>
      <c r="GJC2"/>
      <c r="GJE2"/>
      <c r="GJG2"/>
      <c r="GJI2"/>
      <c r="GJK2"/>
      <c r="GJM2"/>
      <c r="GJO2"/>
      <c r="GJQ2"/>
      <c r="GJS2"/>
      <c r="GJU2"/>
      <c r="GJW2"/>
      <c r="GJY2"/>
      <c r="GKA2"/>
      <c r="GKC2"/>
      <c r="GKE2"/>
      <c r="GKG2"/>
      <c r="GKI2"/>
      <c r="GKK2"/>
      <c r="GKM2"/>
      <c r="GKO2"/>
      <c r="GKQ2"/>
      <c r="GKS2"/>
      <c r="GKU2"/>
      <c r="GKW2"/>
      <c r="GKY2"/>
      <c r="GLA2"/>
      <c r="GLC2"/>
      <c r="GLE2"/>
      <c r="GLG2"/>
      <c r="GLI2"/>
      <c r="GLK2"/>
      <c r="GLM2"/>
      <c r="GLO2"/>
      <c r="GLQ2"/>
      <c r="GLS2"/>
      <c r="GLU2"/>
      <c r="GLW2"/>
      <c r="GLY2"/>
      <c r="GMA2"/>
      <c r="GMC2"/>
      <c r="GME2"/>
      <c r="GMG2"/>
      <c r="GMI2"/>
      <c r="GMK2"/>
      <c r="GMM2"/>
      <c r="GMO2"/>
      <c r="GMQ2"/>
      <c r="GMS2"/>
      <c r="GMU2"/>
      <c r="GMW2"/>
      <c r="GMY2"/>
      <c r="GNA2"/>
      <c r="GNC2"/>
      <c r="GNE2"/>
      <c r="GNG2"/>
      <c r="GNI2"/>
      <c r="GNK2"/>
      <c r="GNM2"/>
      <c r="GNO2"/>
      <c r="GNQ2"/>
      <c r="GNS2"/>
      <c r="GNU2"/>
      <c r="GNW2"/>
      <c r="GNY2"/>
      <c r="GOA2"/>
      <c r="GOC2"/>
      <c r="GOE2"/>
      <c r="GOG2"/>
      <c r="GOI2"/>
      <c r="GOK2"/>
      <c r="GOM2"/>
      <c r="GOO2"/>
      <c r="GOQ2"/>
      <c r="GOS2"/>
      <c r="GOU2"/>
      <c r="GOW2"/>
      <c r="GOY2"/>
      <c r="GPA2"/>
      <c r="GPC2"/>
      <c r="GPE2"/>
      <c r="GPG2"/>
      <c r="GPI2"/>
      <c r="GPK2"/>
      <c r="GPM2"/>
      <c r="GPO2"/>
      <c r="GPQ2"/>
      <c r="GPS2"/>
      <c r="GPU2"/>
      <c r="GPW2"/>
      <c r="GPY2"/>
      <c r="GQA2"/>
      <c r="GQC2"/>
      <c r="GQE2"/>
      <c r="GQG2"/>
      <c r="GQI2"/>
      <c r="GQK2"/>
      <c r="GQM2"/>
      <c r="GQO2"/>
      <c r="GQQ2"/>
      <c r="GQS2"/>
      <c r="GQU2"/>
      <c r="GQW2"/>
      <c r="GQY2"/>
      <c r="GRA2"/>
      <c r="GRC2"/>
      <c r="GRE2"/>
      <c r="GRG2"/>
      <c r="GRI2"/>
      <c r="GRK2"/>
      <c r="GRM2"/>
      <c r="GRO2"/>
      <c r="GRQ2"/>
      <c r="GRS2"/>
      <c r="GRU2"/>
      <c r="GRW2"/>
      <c r="GRY2"/>
      <c r="GSA2"/>
      <c r="GSC2"/>
      <c r="GSE2"/>
      <c r="GSG2"/>
      <c r="GSI2"/>
      <c r="GSK2"/>
      <c r="GSM2"/>
      <c r="GSO2"/>
      <c r="GSQ2"/>
      <c r="GSS2"/>
      <c r="GSU2"/>
      <c r="GSW2"/>
      <c r="GSY2"/>
      <c r="GTA2"/>
      <c r="GTC2"/>
      <c r="GTE2"/>
      <c r="GTG2"/>
      <c r="GTI2"/>
      <c r="GTK2"/>
      <c r="GTM2"/>
      <c r="GTO2"/>
      <c r="GTQ2"/>
      <c r="GTS2"/>
      <c r="GTU2"/>
      <c r="GTW2"/>
      <c r="GTY2"/>
      <c r="GUA2"/>
      <c r="GUC2"/>
      <c r="GUE2"/>
      <c r="GUG2"/>
      <c r="GUI2"/>
      <c r="GUK2"/>
      <c r="GUM2"/>
      <c r="GUO2"/>
      <c r="GUQ2"/>
      <c r="GUS2"/>
      <c r="GUU2"/>
      <c r="GUW2"/>
      <c r="GUY2"/>
      <c r="GVA2"/>
      <c r="GVC2"/>
      <c r="GVE2"/>
      <c r="GVG2"/>
      <c r="GVI2"/>
      <c r="GVK2"/>
      <c r="GVM2"/>
      <c r="GVO2"/>
      <c r="GVQ2"/>
      <c r="GVS2"/>
      <c r="GVU2"/>
      <c r="GVW2"/>
      <c r="GVY2"/>
      <c r="GWA2"/>
      <c r="GWC2"/>
      <c r="GWE2"/>
      <c r="GWG2"/>
      <c r="GWI2"/>
      <c r="GWK2"/>
      <c r="GWM2"/>
      <c r="GWO2"/>
      <c r="GWQ2"/>
      <c r="GWS2"/>
      <c r="GWU2"/>
      <c r="GWW2"/>
      <c r="GWY2"/>
      <c r="GXA2"/>
      <c r="GXC2"/>
      <c r="GXE2"/>
      <c r="GXG2"/>
      <c r="GXI2"/>
      <c r="GXK2"/>
      <c r="GXM2"/>
      <c r="GXO2"/>
      <c r="GXQ2"/>
      <c r="GXS2"/>
      <c r="GXU2"/>
      <c r="GXW2"/>
      <c r="GXY2"/>
      <c r="GYA2"/>
      <c r="GYC2"/>
      <c r="GYE2"/>
      <c r="GYG2"/>
      <c r="GYI2"/>
      <c r="GYK2"/>
      <c r="GYM2"/>
      <c r="GYO2"/>
      <c r="GYQ2"/>
      <c r="GYS2"/>
      <c r="GYU2"/>
      <c r="GYW2"/>
      <c r="GYY2"/>
      <c r="GZA2"/>
      <c r="GZC2"/>
      <c r="GZE2"/>
      <c r="GZG2"/>
      <c r="GZI2"/>
      <c r="GZK2"/>
      <c r="GZM2"/>
      <c r="GZO2"/>
      <c r="GZQ2"/>
      <c r="GZS2"/>
      <c r="GZU2"/>
      <c r="GZW2"/>
      <c r="GZY2"/>
      <c r="HAA2"/>
      <c r="HAC2"/>
      <c r="HAE2"/>
      <c r="HAG2"/>
      <c r="HAI2"/>
      <c r="HAK2"/>
      <c r="HAM2"/>
      <c r="HAO2"/>
      <c r="HAQ2"/>
      <c r="HAS2"/>
      <c r="HAU2"/>
      <c r="HAW2"/>
      <c r="HAY2"/>
      <c r="HBA2"/>
      <c r="HBC2"/>
      <c r="HBE2"/>
      <c r="HBG2"/>
      <c r="HBI2"/>
      <c r="HBK2"/>
      <c r="HBM2"/>
      <c r="HBO2"/>
      <c r="HBQ2"/>
      <c r="HBS2"/>
      <c r="HBU2"/>
      <c r="HBW2"/>
      <c r="HBY2"/>
      <c r="HCA2"/>
      <c r="HCC2"/>
      <c r="HCE2"/>
      <c r="HCG2"/>
      <c r="HCI2"/>
      <c r="HCK2"/>
      <c r="HCM2"/>
      <c r="HCO2"/>
      <c r="HCQ2"/>
      <c r="HCS2"/>
      <c r="HCU2"/>
      <c r="HCW2"/>
      <c r="HCY2"/>
      <c r="HDA2"/>
      <c r="HDC2"/>
      <c r="HDE2"/>
      <c r="HDG2"/>
      <c r="HDI2"/>
      <c r="HDK2"/>
      <c r="HDM2"/>
      <c r="HDO2"/>
      <c r="HDQ2"/>
      <c r="HDS2"/>
      <c r="HDU2"/>
      <c r="HDW2"/>
      <c r="HDY2"/>
      <c r="HEA2"/>
      <c r="HEC2"/>
      <c r="HEE2"/>
      <c r="HEG2"/>
      <c r="HEI2"/>
      <c r="HEK2"/>
      <c r="HEM2"/>
      <c r="HEO2"/>
      <c r="HEQ2"/>
      <c r="HES2"/>
      <c r="HEU2"/>
      <c r="HEW2"/>
      <c r="HEY2"/>
      <c r="HFA2"/>
      <c r="HFC2"/>
      <c r="HFE2"/>
      <c r="HFG2"/>
      <c r="HFI2"/>
      <c r="HFK2"/>
      <c r="HFM2"/>
      <c r="HFO2"/>
      <c r="HFQ2"/>
      <c r="HFS2"/>
      <c r="HFU2"/>
      <c r="HFW2"/>
      <c r="HFY2"/>
      <c r="HGA2"/>
      <c r="HGC2"/>
      <c r="HGE2"/>
      <c r="HGG2"/>
      <c r="HGI2"/>
      <c r="HGK2"/>
      <c r="HGM2"/>
      <c r="HGO2"/>
      <c r="HGQ2"/>
      <c r="HGS2"/>
      <c r="HGU2"/>
      <c r="HGW2"/>
      <c r="HGY2"/>
      <c r="HHA2"/>
      <c r="HHC2"/>
      <c r="HHE2"/>
      <c r="HHG2"/>
      <c r="HHI2"/>
      <c r="HHK2"/>
      <c r="HHM2"/>
      <c r="HHO2"/>
      <c r="HHQ2"/>
      <c r="HHS2"/>
      <c r="HHU2"/>
      <c r="HHW2"/>
      <c r="HHY2"/>
      <c r="HIA2"/>
      <c r="HIC2"/>
      <c r="HIE2"/>
      <c r="HIG2"/>
      <c r="HII2"/>
      <c r="HIK2"/>
      <c r="HIM2"/>
      <c r="HIO2"/>
      <c r="HIQ2"/>
      <c r="HIS2"/>
      <c r="HIU2"/>
      <c r="HIW2"/>
      <c r="HIY2"/>
      <c r="HJA2"/>
      <c r="HJC2"/>
      <c r="HJE2"/>
      <c r="HJG2"/>
      <c r="HJI2"/>
      <c r="HJK2"/>
      <c r="HJM2"/>
      <c r="HJO2"/>
      <c r="HJQ2"/>
      <c r="HJS2"/>
      <c r="HJU2"/>
      <c r="HJW2"/>
      <c r="HJY2"/>
      <c r="HKA2"/>
      <c r="HKC2"/>
      <c r="HKE2"/>
      <c r="HKG2"/>
      <c r="HKI2"/>
      <c r="HKK2"/>
      <c r="HKM2"/>
      <c r="HKO2"/>
      <c r="HKQ2"/>
      <c r="HKS2"/>
      <c r="HKU2"/>
      <c r="HKW2"/>
      <c r="HKY2"/>
      <c r="HLA2"/>
      <c r="HLC2"/>
      <c r="HLE2"/>
      <c r="HLG2"/>
      <c r="HLI2"/>
      <c r="HLK2"/>
      <c r="HLM2"/>
      <c r="HLO2"/>
      <c r="HLQ2"/>
      <c r="HLS2"/>
      <c r="HLU2"/>
      <c r="HLW2"/>
      <c r="HLY2"/>
      <c r="HMA2"/>
      <c r="HMC2"/>
      <c r="HME2"/>
      <c r="HMG2"/>
      <c r="HMI2"/>
      <c r="HMK2"/>
      <c r="HMM2"/>
      <c r="HMO2"/>
      <c r="HMQ2"/>
      <c r="HMS2"/>
      <c r="HMU2"/>
      <c r="HMW2"/>
      <c r="HMY2"/>
      <c r="HNA2"/>
      <c r="HNC2"/>
      <c r="HNE2"/>
      <c r="HNG2"/>
      <c r="HNI2"/>
      <c r="HNK2"/>
      <c r="HNM2"/>
      <c r="HNO2"/>
      <c r="HNQ2"/>
      <c r="HNS2"/>
      <c r="HNU2"/>
      <c r="HNW2"/>
      <c r="HNY2"/>
      <c r="HOA2"/>
      <c r="HOC2"/>
      <c r="HOE2"/>
      <c r="HOG2"/>
      <c r="HOI2"/>
      <c r="HOK2"/>
      <c r="HOM2"/>
      <c r="HOO2"/>
      <c r="HOQ2"/>
      <c r="HOS2"/>
      <c r="HOU2"/>
      <c r="HOW2"/>
      <c r="HOY2"/>
      <c r="HPA2"/>
      <c r="HPC2"/>
      <c r="HPE2"/>
      <c r="HPG2"/>
      <c r="HPI2"/>
      <c r="HPK2"/>
      <c r="HPM2"/>
      <c r="HPO2"/>
      <c r="HPQ2"/>
      <c r="HPS2"/>
      <c r="HPU2"/>
      <c r="HPW2"/>
      <c r="HPY2"/>
      <c r="HQA2"/>
      <c r="HQC2"/>
      <c r="HQE2"/>
      <c r="HQG2"/>
      <c r="HQI2"/>
      <c r="HQK2"/>
      <c r="HQM2"/>
      <c r="HQO2"/>
      <c r="HQQ2"/>
      <c r="HQS2"/>
      <c r="HQU2"/>
      <c r="HQW2"/>
      <c r="HQY2"/>
      <c r="HRA2"/>
      <c r="HRC2"/>
      <c r="HRE2"/>
      <c r="HRG2"/>
      <c r="HRI2"/>
      <c r="HRK2"/>
      <c r="HRM2"/>
      <c r="HRO2"/>
      <c r="HRQ2"/>
      <c r="HRS2"/>
      <c r="HRU2"/>
      <c r="HRW2"/>
      <c r="HRY2"/>
      <c r="HSA2"/>
      <c r="HSC2"/>
      <c r="HSE2"/>
      <c r="HSG2"/>
      <c r="HSI2"/>
      <c r="HSK2"/>
      <c r="HSM2"/>
      <c r="HSO2"/>
      <c r="HSQ2"/>
      <c r="HSS2"/>
      <c r="HSU2"/>
      <c r="HSW2"/>
      <c r="HSY2"/>
      <c r="HTA2"/>
      <c r="HTC2"/>
      <c r="HTE2"/>
      <c r="HTG2"/>
      <c r="HTI2"/>
      <c r="HTK2"/>
      <c r="HTM2"/>
      <c r="HTO2"/>
      <c r="HTQ2"/>
      <c r="HTS2"/>
      <c r="HTU2"/>
      <c r="HTW2"/>
      <c r="HTY2"/>
      <c r="HUA2"/>
      <c r="HUC2"/>
      <c r="HUE2"/>
      <c r="HUG2"/>
      <c r="HUI2"/>
      <c r="HUK2"/>
      <c r="HUM2"/>
      <c r="HUO2"/>
      <c r="HUQ2"/>
      <c r="HUS2"/>
      <c r="HUU2"/>
      <c r="HUW2"/>
      <c r="HUY2"/>
      <c r="HVA2"/>
      <c r="HVC2"/>
      <c r="HVE2"/>
      <c r="HVG2"/>
      <c r="HVI2"/>
      <c r="HVK2"/>
      <c r="HVM2"/>
      <c r="HVO2"/>
      <c r="HVQ2"/>
      <c r="HVS2"/>
      <c r="HVU2"/>
      <c r="HVW2"/>
      <c r="HVY2"/>
      <c r="HWA2"/>
      <c r="HWC2"/>
      <c r="HWE2"/>
      <c r="HWG2"/>
      <c r="HWI2"/>
      <c r="HWK2"/>
      <c r="HWM2"/>
      <c r="HWO2"/>
      <c r="HWQ2"/>
      <c r="HWS2"/>
      <c r="HWU2"/>
      <c r="HWW2"/>
      <c r="HWY2"/>
      <c r="HXA2"/>
      <c r="HXC2"/>
      <c r="HXE2"/>
      <c r="HXG2"/>
      <c r="HXI2"/>
      <c r="HXK2"/>
      <c r="HXM2"/>
      <c r="HXO2"/>
      <c r="HXQ2"/>
      <c r="HXS2"/>
      <c r="HXU2"/>
      <c r="HXW2"/>
      <c r="HXY2"/>
      <c r="HYA2"/>
      <c r="HYC2"/>
      <c r="HYE2"/>
      <c r="HYG2"/>
      <c r="HYI2"/>
      <c r="HYK2"/>
      <c r="HYM2"/>
      <c r="HYO2"/>
      <c r="HYQ2"/>
      <c r="HYS2"/>
      <c r="HYU2"/>
      <c r="HYW2"/>
      <c r="HYY2"/>
      <c r="HZA2"/>
      <c r="HZC2"/>
      <c r="HZE2"/>
      <c r="HZG2"/>
      <c r="HZI2"/>
      <c r="HZK2"/>
      <c r="HZM2"/>
      <c r="HZO2"/>
      <c r="HZQ2"/>
      <c r="HZS2"/>
      <c r="HZU2"/>
      <c r="HZW2"/>
      <c r="HZY2"/>
      <c r="IAA2"/>
      <c r="IAC2"/>
      <c r="IAE2"/>
      <c r="IAG2"/>
      <c r="IAI2"/>
      <c r="IAK2"/>
      <c r="IAM2"/>
      <c r="IAO2"/>
      <c r="IAQ2"/>
      <c r="IAS2"/>
      <c r="IAU2"/>
      <c r="IAW2"/>
      <c r="IAY2"/>
      <c r="IBA2"/>
      <c r="IBC2"/>
      <c r="IBE2"/>
      <c r="IBG2"/>
      <c r="IBI2"/>
      <c r="IBK2"/>
      <c r="IBM2"/>
      <c r="IBO2"/>
      <c r="IBQ2"/>
      <c r="IBS2"/>
      <c r="IBU2"/>
      <c r="IBW2"/>
      <c r="IBY2"/>
      <c r="ICA2"/>
      <c r="ICC2"/>
      <c r="ICE2"/>
      <c r="ICG2"/>
      <c r="ICI2"/>
      <c r="ICK2"/>
      <c r="ICM2"/>
      <c r="ICO2"/>
      <c r="ICQ2"/>
      <c r="ICS2"/>
      <c r="ICU2"/>
      <c r="ICW2"/>
      <c r="ICY2"/>
      <c r="IDA2"/>
      <c r="IDC2"/>
      <c r="IDE2"/>
      <c r="IDG2"/>
      <c r="IDI2"/>
      <c r="IDK2"/>
      <c r="IDM2"/>
      <c r="IDO2"/>
      <c r="IDQ2"/>
      <c r="IDS2"/>
      <c r="IDU2"/>
      <c r="IDW2"/>
      <c r="IDY2"/>
      <c r="IEA2"/>
      <c r="IEC2"/>
      <c r="IEE2"/>
      <c r="IEG2"/>
      <c r="IEI2"/>
      <c r="IEK2"/>
      <c r="IEM2"/>
      <c r="IEO2"/>
      <c r="IEQ2"/>
      <c r="IES2"/>
      <c r="IEU2"/>
      <c r="IEW2"/>
      <c r="IEY2"/>
      <c r="IFA2"/>
      <c r="IFC2"/>
      <c r="IFE2"/>
      <c r="IFG2"/>
      <c r="IFI2"/>
      <c r="IFK2"/>
      <c r="IFM2"/>
      <c r="IFO2"/>
      <c r="IFQ2"/>
      <c r="IFS2"/>
      <c r="IFU2"/>
      <c r="IFW2"/>
      <c r="IFY2"/>
      <c r="IGA2"/>
      <c r="IGC2"/>
      <c r="IGE2"/>
      <c r="IGG2"/>
      <c r="IGI2"/>
      <c r="IGK2"/>
      <c r="IGM2"/>
      <c r="IGO2"/>
      <c r="IGQ2"/>
      <c r="IGS2"/>
      <c r="IGU2"/>
      <c r="IGW2"/>
      <c r="IGY2"/>
      <c r="IHA2"/>
      <c r="IHC2"/>
      <c r="IHE2"/>
      <c r="IHG2"/>
      <c r="IHI2"/>
      <c r="IHK2"/>
      <c r="IHM2"/>
      <c r="IHO2"/>
      <c r="IHQ2"/>
      <c r="IHS2"/>
      <c r="IHU2"/>
      <c r="IHW2"/>
      <c r="IHY2"/>
      <c r="IIA2"/>
      <c r="IIC2"/>
      <c r="IIE2"/>
      <c r="IIG2"/>
      <c r="III2"/>
      <c r="IIK2"/>
      <c r="IIM2"/>
      <c r="IIO2"/>
      <c r="IIQ2"/>
      <c r="IIS2"/>
      <c r="IIU2"/>
      <c r="IIW2"/>
      <c r="IIY2"/>
      <c r="IJA2"/>
      <c r="IJC2"/>
      <c r="IJE2"/>
      <c r="IJG2"/>
      <c r="IJI2"/>
      <c r="IJK2"/>
      <c r="IJM2"/>
      <c r="IJO2"/>
      <c r="IJQ2"/>
      <c r="IJS2"/>
      <c r="IJU2"/>
      <c r="IJW2"/>
      <c r="IJY2"/>
      <c r="IKA2"/>
      <c r="IKC2"/>
      <c r="IKE2"/>
      <c r="IKG2"/>
      <c r="IKI2"/>
      <c r="IKK2"/>
      <c r="IKM2"/>
      <c r="IKO2"/>
      <c r="IKQ2"/>
      <c r="IKS2"/>
      <c r="IKU2"/>
      <c r="IKW2"/>
      <c r="IKY2"/>
      <c r="ILA2"/>
      <c r="ILC2"/>
      <c r="ILE2"/>
      <c r="ILG2"/>
      <c r="ILI2"/>
      <c r="ILK2"/>
      <c r="ILM2"/>
      <c r="ILO2"/>
      <c r="ILQ2"/>
      <c r="ILS2"/>
      <c r="ILU2"/>
      <c r="ILW2"/>
      <c r="ILY2"/>
      <c r="IMA2"/>
      <c r="IMC2"/>
      <c r="IME2"/>
      <c r="IMG2"/>
      <c r="IMI2"/>
      <c r="IMK2"/>
      <c r="IMM2"/>
      <c r="IMO2"/>
      <c r="IMQ2"/>
      <c r="IMS2"/>
      <c r="IMU2"/>
      <c r="IMW2"/>
      <c r="IMY2"/>
      <c r="INA2"/>
      <c r="INC2"/>
      <c r="INE2"/>
      <c r="ING2"/>
      <c r="INI2"/>
      <c r="INK2"/>
      <c r="INM2"/>
      <c r="INO2"/>
      <c r="INQ2"/>
      <c r="INS2"/>
      <c r="INU2"/>
      <c r="INW2"/>
      <c r="INY2"/>
      <c r="IOA2"/>
      <c r="IOC2"/>
      <c r="IOE2"/>
      <c r="IOG2"/>
      <c r="IOI2"/>
      <c r="IOK2"/>
      <c r="IOM2"/>
      <c r="IOO2"/>
      <c r="IOQ2"/>
      <c r="IOS2"/>
      <c r="IOU2"/>
      <c r="IOW2"/>
      <c r="IOY2"/>
      <c r="IPA2"/>
      <c r="IPC2"/>
      <c r="IPE2"/>
      <c r="IPG2"/>
      <c r="IPI2"/>
      <c r="IPK2"/>
      <c r="IPM2"/>
      <c r="IPO2"/>
      <c r="IPQ2"/>
      <c r="IPS2"/>
      <c r="IPU2"/>
      <c r="IPW2"/>
      <c r="IPY2"/>
      <c r="IQA2"/>
      <c r="IQC2"/>
      <c r="IQE2"/>
      <c r="IQG2"/>
      <c r="IQI2"/>
      <c r="IQK2"/>
      <c r="IQM2"/>
      <c r="IQO2"/>
      <c r="IQQ2"/>
      <c r="IQS2"/>
      <c r="IQU2"/>
      <c r="IQW2"/>
      <c r="IQY2"/>
      <c r="IRA2"/>
      <c r="IRC2"/>
      <c r="IRE2"/>
      <c r="IRG2"/>
      <c r="IRI2"/>
      <c r="IRK2"/>
      <c r="IRM2"/>
      <c r="IRO2"/>
      <c r="IRQ2"/>
      <c r="IRS2"/>
      <c r="IRU2"/>
      <c r="IRW2"/>
      <c r="IRY2"/>
      <c r="ISA2"/>
      <c r="ISC2"/>
      <c r="ISE2"/>
      <c r="ISG2"/>
      <c r="ISI2"/>
      <c r="ISK2"/>
      <c r="ISM2"/>
      <c r="ISO2"/>
      <c r="ISQ2"/>
      <c r="ISS2"/>
      <c r="ISU2"/>
      <c r="ISW2"/>
      <c r="ISY2"/>
      <c r="ITA2"/>
      <c r="ITC2"/>
      <c r="ITE2"/>
      <c r="ITG2"/>
      <c r="ITI2"/>
      <c r="ITK2"/>
      <c r="ITM2"/>
      <c r="ITO2"/>
      <c r="ITQ2"/>
      <c r="ITS2"/>
      <c r="ITU2"/>
      <c r="ITW2"/>
      <c r="ITY2"/>
      <c r="IUA2"/>
      <c r="IUC2"/>
      <c r="IUE2"/>
      <c r="IUG2"/>
      <c r="IUI2"/>
      <c r="IUK2"/>
      <c r="IUM2"/>
      <c r="IUO2"/>
      <c r="IUQ2"/>
      <c r="IUS2"/>
      <c r="IUU2"/>
      <c r="IUW2"/>
      <c r="IUY2"/>
      <c r="IVA2"/>
      <c r="IVC2"/>
      <c r="IVE2"/>
      <c r="IVG2"/>
      <c r="IVI2"/>
      <c r="IVK2"/>
      <c r="IVM2"/>
      <c r="IVO2"/>
      <c r="IVQ2"/>
      <c r="IVS2"/>
      <c r="IVU2"/>
      <c r="IVW2"/>
      <c r="IVY2"/>
      <c r="IWA2"/>
      <c r="IWC2"/>
      <c r="IWE2"/>
      <c r="IWG2"/>
      <c r="IWI2"/>
      <c r="IWK2"/>
      <c r="IWM2"/>
      <c r="IWO2"/>
      <c r="IWQ2"/>
      <c r="IWS2"/>
      <c r="IWU2"/>
      <c r="IWW2"/>
      <c r="IWY2"/>
      <c r="IXA2"/>
      <c r="IXC2"/>
      <c r="IXE2"/>
      <c r="IXG2"/>
      <c r="IXI2"/>
      <c r="IXK2"/>
      <c r="IXM2"/>
      <c r="IXO2"/>
      <c r="IXQ2"/>
      <c r="IXS2"/>
      <c r="IXU2"/>
      <c r="IXW2"/>
      <c r="IXY2"/>
      <c r="IYA2"/>
      <c r="IYC2"/>
      <c r="IYE2"/>
      <c r="IYG2"/>
      <c r="IYI2"/>
      <c r="IYK2"/>
      <c r="IYM2"/>
      <c r="IYO2"/>
      <c r="IYQ2"/>
      <c r="IYS2"/>
      <c r="IYU2"/>
      <c r="IYW2"/>
      <c r="IYY2"/>
      <c r="IZA2"/>
      <c r="IZC2"/>
      <c r="IZE2"/>
      <c r="IZG2"/>
      <c r="IZI2"/>
      <c r="IZK2"/>
      <c r="IZM2"/>
      <c r="IZO2"/>
      <c r="IZQ2"/>
      <c r="IZS2"/>
      <c r="IZU2"/>
      <c r="IZW2"/>
      <c r="IZY2"/>
      <c r="JAA2"/>
      <c r="JAC2"/>
      <c r="JAE2"/>
      <c r="JAG2"/>
      <c r="JAI2"/>
      <c r="JAK2"/>
      <c r="JAM2"/>
      <c r="JAO2"/>
      <c r="JAQ2"/>
      <c r="JAS2"/>
      <c r="JAU2"/>
      <c r="JAW2"/>
      <c r="JAY2"/>
      <c r="JBA2"/>
      <c r="JBC2"/>
      <c r="JBE2"/>
      <c r="JBG2"/>
      <c r="JBI2"/>
      <c r="JBK2"/>
      <c r="JBM2"/>
      <c r="JBO2"/>
      <c r="JBQ2"/>
      <c r="JBS2"/>
      <c r="JBU2"/>
      <c r="JBW2"/>
      <c r="JBY2"/>
      <c r="JCA2"/>
      <c r="JCC2"/>
      <c r="JCE2"/>
      <c r="JCG2"/>
      <c r="JCI2"/>
      <c r="JCK2"/>
      <c r="JCM2"/>
      <c r="JCO2"/>
      <c r="JCQ2"/>
      <c r="JCS2"/>
      <c r="JCU2"/>
      <c r="JCW2"/>
      <c r="JCY2"/>
      <c r="JDA2"/>
      <c r="JDC2"/>
      <c r="JDE2"/>
      <c r="JDG2"/>
      <c r="JDI2"/>
      <c r="JDK2"/>
      <c r="JDM2"/>
      <c r="JDO2"/>
      <c r="JDQ2"/>
      <c r="JDS2"/>
      <c r="JDU2"/>
      <c r="JDW2"/>
      <c r="JDY2"/>
      <c r="JEA2"/>
      <c r="JEC2"/>
      <c r="JEE2"/>
      <c r="JEG2"/>
      <c r="JEI2"/>
      <c r="JEK2"/>
      <c r="JEM2"/>
      <c r="JEO2"/>
      <c r="JEQ2"/>
      <c r="JES2"/>
      <c r="JEU2"/>
      <c r="JEW2"/>
      <c r="JEY2"/>
      <c r="JFA2"/>
      <c r="JFC2"/>
      <c r="JFE2"/>
      <c r="JFG2"/>
      <c r="JFI2"/>
      <c r="JFK2"/>
      <c r="JFM2"/>
      <c r="JFO2"/>
      <c r="JFQ2"/>
      <c r="JFS2"/>
      <c r="JFU2"/>
      <c r="JFW2"/>
      <c r="JFY2"/>
      <c r="JGA2"/>
      <c r="JGC2"/>
      <c r="JGE2"/>
      <c r="JGG2"/>
      <c r="JGI2"/>
      <c r="JGK2"/>
      <c r="JGM2"/>
      <c r="JGO2"/>
      <c r="JGQ2"/>
      <c r="JGS2"/>
      <c r="JGU2"/>
      <c r="JGW2"/>
      <c r="JGY2"/>
      <c r="JHA2"/>
      <c r="JHC2"/>
      <c r="JHE2"/>
      <c r="JHG2"/>
      <c r="JHI2"/>
      <c r="JHK2"/>
      <c r="JHM2"/>
      <c r="JHO2"/>
      <c r="JHQ2"/>
      <c r="JHS2"/>
      <c r="JHU2"/>
      <c r="JHW2"/>
      <c r="JHY2"/>
      <c r="JIA2"/>
      <c r="JIC2"/>
      <c r="JIE2"/>
      <c r="JIG2"/>
      <c r="JII2"/>
      <c r="JIK2"/>
      <c r="JIM2"/>
      <c r="JIO2"/>
      <c r="JIQ2"/>
      <c r="JIS2"/>
      <c r="JIU2"/>
      <c r="JIW2"/>
      <c r="JIY2"/>
      <c r="JJA2"/>
      <c r="JJC2"/>
      <c r="JJE2"/>
      <c r="JJG2"/>
      <c r="JJI2"/>
      <c r="JJK2"/>
      <c r="JJM2"/>
      <c r="JJO2"/>
      <c r="JJQ2"/>
      <c r="JJS2"/>
      <c r="JJU2"/>
      <c r="JJW2"/>
      <c r="JJY2"/>
      <c r="JKA2"/>
      <c r="JKC2"/>
      <c r="JKE2"/>
      <c r="JKG2"/>
      <c r="JKI2"/>
      <c r="JKK2"/>
      <c r="JKM2"/>
      <c r="JKO2"/>
      <c r="JKQ2"/>
      <c r="JKS2"/>
      <c r="JKU2"/>
      <c r="JKW2"/>
      <c r="JKY2"/>
      <c r="JLA2"/>
      <c r="JLC2"/>
      <c r="JLE2"/>
      <c r="JLG2"/>
      <c r="JLI2"/>
      <c r="JLK2"/>
      <c r="JLM2"/>
      <c r="JLO2"/>
      <c r="JLQ2"/>
      <c r="JLS2"/>
      <c r="JLU2"/>
      <c r="JLW2"/>
      <c r="JLY2"/>
      <c r="JMA2"/>
      <c r="JMC2"/>
      <c r="JME2"/>
      <c r="JMG2"/>
      <c r="JMI2"/>
      <c r="JMK2"/>
      <c r="JMM2"/>
      <c r="JMO2"/>
      <c r="JMQ2"/>
      <c r="JMS2"/>
      <c r="JMU2"/>
      <c r="JMW2"/>
      <c r="JMY2"/>
      <c r="JNA2"/>
      <c r="JNC2"/>
      <c r="JNE2"/>
      <c r="JNG2"/>
      <c r="JNI2"/>
      <c r="JNK2"/>
      <c r="JNM2"/>
      <c r="JNO2"/>
      <c r="JNQ2"/>
      <c r="JNS2"/>
      <c r="JNU2"/>
      <c r="JNW2"/>
      <c r="JNY2"/>
      <c r="JOA2"/>
      <c r="JOC2"/>
      <c r="JOE2"/>
      <c r="JOG2"/>
      <c r="JOI2"/>
      <c r="JOK2"/>
      <c r="JOM2"/>
      <c r="JOO2"/>
      <c r="JOQ2"/>
      <c r="JOS2"/>
      <c r="JOU2"/>
      <c r="JOW2"/>
      <c r="JOY2"/>
      <c r="JPA2"/>
      <c r="JPC2"/>
      <c r="JPE2"/>
      <c r="JPG2"/>
      <c r="JPI2"/>
      <c r="JPK2"/>
      <c r="JPM2"/>
      <c r="JPO2"/>
      <c r="JPQ2"/>
      <c r="JPS2"/>
      <c r="JPU2"/>
      <c r="JPW2"/>
      <c r="JPY2"/>
      <c r="JQA2"/>
      <c r="JQC2"/>
      <c r="JQE2"/>
      <c r="JQG2"/>
      <c r="JQI2"/>
      <c r="JQK2"/>
      <c r="JQM2"/>
      <c r="JQO2"/>
      <c r="JQQ2"/>
      <c r="JQS2"/>
      <c r="JQU2"/>
      <c r="JQW2"/>
      <c r="JQY2"/>
      <c r="JRA2"/>
      <c r="JRC2"/>
      <c r="JRE2"/>
      <c r="JRG2"/>
      <c r="JRI2"/>
      <c r="JRK2"/>
      <c r="JRM2"/>
      <c r="JRO2"/>
      <c r="JRQ2"/>
      <c r="JRS2"/>
      <c r="JRU2"/>
      <c r="JRW2"/>
      <c r="JRY2"/>
      <c r="JSA2"/>
      <c r="JSC2"/>
      <c r="JSE2"/>
      <c r="JSG2"/>
      <c r="JSI2"/>
      <c r="JSK2"/>
      <c r="JSM2"/>
      <c r="JSO2"/>
      <c r="JSQ2"/>
      <c r="JSS2"/>
      <c r="JSU2"/>
      <c r="JSW2"/>
      <c r="JSY2"/>
      <c r="JTA2"/>
      <c r="JTC2"/>
      <c r="JTE2"/>
      <c r="JTG2"/>
      <c r="JTI2"/>
      <c r="JTK2"/>
      <c r="JTM2"/>
      <c r="JTO2"/>
      <c r="JTQ2"/>
      <c r="JTS2"/>
      <c r="JTU2"/>
      <c r="JTW2"/>
      <c r="JTY2"/>
      <c r="JUA2"/>
      <c r="JUC2"/>
      <c r="JUE2"/>
      <c r="JUG2"/>
      <c r="JUI2"/>
      <c r="JUK2"/>
      <c r="JUM2"/>
      <c r="JUO2"/>
      <c r="JUQ2"/>
      <c r="JUS2"/>
      <c r="JUU2"/>
      <c r="JUW2"/>
      <c r="JUY2"/>
      <c r="JVA2"/>
      <c r="JVC2"/>
      <c r="JVE2"/>
      <c r="JVG2"/>
      <c r="JVI2"/>
      <c r="JVK2"/>
      <c r="JVM2"/>
      <c r="JVO2"/>
      <c r="JVQ2"/>
      <c r="JVS2"/>
      <c r="JVU2"/>
      <c r="JVW2"/>
      <c r="JVY2"/>
      <c r="JWA2"/>
      <c r="JWC2"/>
      <c r="JWE2"/>
      <c r="JWG2"/>
      <c r="JWI2"/>
      <c r="JWK2"/>
      <c r="JWM2"/>
      <c r="JWO2"/>
      <c r="JWQ2"/>
      <c r="JWS2"/>
      <c r="JWU2"/>
      <c r="JWW2"/>
      <c r="JWY2"/>
      <c r="JXA2"/>
      <c r="JXC2"/>
      <c r="JXE2"/>
      <c r="JXG2"/>
      <c r="JXI2"/>
      <c r="JXK2"/>
      <c r="JXM2"/>
      <c r="JXO2"/>
      <c r="JXQ2"/>
      <c r="JXS2"/>
      <c r="JXU2"/>
      <c r="JXW2"/>
      <c r="JXY2"/>
      <c r="JYA2"/>
      <c r="JYC2"/>
      <c r="JYE2"/>
      <c r="JYG2"/>
      <c r="JYI2"/>
      <c r="JYK2"/>
      <c r="JYM2"/>
      <c r="JYO2"/>
      <c r="JYQ2"/>
      <c r="JYS2"/>
      <c r="JYU2"/>
      <c r="JYW2"/>
      <c r="JYY2"/>
      <c r="JZA2"/>
      <c r="JZC2"/>
      <c r="JZE2"/>
      <c r="JZG2"/>
      <c r="JZI2"/>
      <c r="JZK2"/>
      <c r="JZM2"/>
      <c r="JZO2"/>
      <c r="JZQ2"/>
      <c r="JZS2"/>
      <c r="JZU2"/>
      <c r="JZW2"/>
      <c r="JZY2"/>
      <c r="KAA2"/>
      <c r="KAC2"/>
      <c r="KAE2"/>
      <c r="KAG2"/>
      <c r="KAI2"/>
      <c r="KAK2"/>
      <c r="KAM2"/>
      <c r="KAO2"/>
      <c r="KAQ2"/>
      <c r="KAS2"/>
      <c r="KAU2"/>
      <c r="KAW2"/>
      <c r="KAY2"/>
      <c r="KBA2"/>
      <c r="KBC2"/>
      <c r="KBE2"/>
      <c r="KBG2"/>
      <c r="KBI2"/>
      <c r="KBK2"/>
      <c r="KBM2"/>
      <c r="KBO2"/>
      <c r="KBQ2"/>
      <c r="KBS2"/>
      <c r="KBU2"/>
      <c r="KBW2"/>
      <c r="KBY2"/>
      <c r="KCA2"/>
      <c r="KCC2"/>
      <c r="KCE2"/>
      <c r="KCG2"/>
      <c r="KCI2"/>
      <c r="KCK2"/>
      <c r="KCM2"/>
      <c r="KCO2"/>
      <c r="KCQ2"/>
      <c r="KCS2"/>
      <c r="KCU2"/>
      <c r="KCW2"/>
      <c r="KCY2"/>
      <c r="KDA2"/>
      <c r="KDC2"/>
      <c r="KDE2"/>
      <c r="KDG2"/>
      <c r="KDI2"/>
      <c r="KDK2"/>
      <c r="KDM2"/>
      <c r="KDO2"/>
      <c r="KDQ2"/>
      <c r="KDS2"/>
      <c r="KDU2"/>
      <c r="KDW2"/>
      <c r="KDY2"/>
      <c r="KEA2"/>
      <c r="KEC2"/>
      <c r="KEE2"/>
      <c r="KEG2"/>
      <c r="KEI2"/>
      <c r="KEK2"/>
      <c r="KEM2"/>
      <c r="KEO2"/>
      <c r="KEQ2"/>
      <c r="KES2"/>
      <c r="KEU2"/>
      <c r="KEW2"/>
      <c r="KEY2"/>
      <c r="KFA2"/>
      <c r="KFC2"/>
      <c r="KFE2"/>
      <c r="KFG2"/>
      <c r="KFI2"/>
      <c r="KFK2"/>
      <c r="KFM2"/>
      <c r="KFO2"/>
      <c r="KFQ2"/>
      <c r="KFS2"/>
      <c r="KFU2"/>
      <c r="KFW2"/>
      <c r="KFY2"/>
      <c r="KGA2"/>
      <c r="KGC2"/>
      <c r="KGE2"/>
      <c r="KGG2"/>
      <c r="KGI2"/>
      <c r="KGK2"/>
      <c r="KGM2"/>
      <c r="KGO2"/>
      <c r="KGQ2"/>
      <c r="KGS2"/>
      <c r="KGU2"/>
      <c r="KGW2"/>
      <c r="KGY2"/>
      <c r="KHA2"/>
      <c r="KHC2"/>
      <c r="KHE2"/>
      <c r="KHG2"/>
      <c r="KHI2"/>
      <c r="KHK2"/>
      <c r="KHM2"/>
      <c r="KHO2"/>
      <c r="KHQ2"/>
      <c r="KHS2"/>
      <c r="KHU2"/>
      <c r="KHW2"/>
      <c r="KHY2"/>
      <c r="KIA2"/>
      <c r="KIC2"/>
      <c r="KIE2"/>
      <c r="KIG2"/>
      <c r="KII2"/>
      <c r="KIK2"/>
      <c r="KIM2"/>
      <c r="KIO2"/>
      <c r="KIQ2"/>
      <c r="KIS2"/>
      <c r="KIU2"/>
      <c r="KIW2"/>
      <c r="KIY2"/>
      <c r="KJA2"/>
      <c r="KJC2"/>
      <c r="KJE2"/>
      <c r="KJG2"/>
      <c r="KJI2"/>
      <c r="KJK2"/>
      <c r="KJM2"/>
      <c r="KJO2"/>
      <c r="KJQ2"/>
      <c r="KJS2"/>
      <c r="KJU2"/>
      <c r="KJW2"/>
      <c r="KJY2"/>
      <c r="KKA2"/>
      <c r="KKC2"/>
      <c r="KKE2"/>
      <c r="KKG2"/>
      <c r="KKI2"/>
      <c r="KKK2"/>
      <c r="KKM2"/>
      <c r="KKO2"/>
      <c r="KKQ2"/>
      <c r="KKS2"/>
      <c r="KKU2"/>
      <c r="KKW2"/>
      <c r="KKY2"/>
      <c r="KLA2"/>
      <c r="KLC2"/>
      <c r="KLE2"/>
      <c r="KLG2"/>
      <c r="KLI2"/>
      <c r="KLK2"/>
      <c r="KLM2"/>
      <c r="KLO2"/>
      <c r="KLQ2"/>
      <c r="KLS2"/>
      <c r="KLU2"/>
      <c r="KLW2"/>
      <c r="KLY2"/>
      <c r="KMA2"/>
      <c r="KMC2"/>
      <c r="KME2"/>
      <c r="KMG2"/>
      <c r="KMI2"/>
      <c r="KMK2"/>
      <c r="KMM2"/>
      <c r="KMO2"/>
      <c r="KMQ2"/>
      <c r="KMS2"/>
      <c r="KMU2"/>
      <c r="KMW2"/>
      <c r="KMY2"/>
      <c r="KNA2"/>
      <c r="KNC2"/>
      <c r="KNE2"/>
      <c r="KNG2"/>
      <c r="KNI2"/>
      <c r="KNK2"/>
      <c r="KNM2"/>
      <c r="KNO2"/>
      <c r="KNQ2"/>
      <c r="KNS2"/>
      <c r="KNU2"/>
      <c r="KNW2"/>
      <c r="KNY2"/>
      <c r="KOA2"/>
      <c r="KOC2"/>
      <c r="KOE2"/>
      <c r="KOG2"/>
      <c r="KOI2"/>
      <c r="KOK2"/>
      <c r="KOM2"/>
      <c r="KOO2"/>
      <c r="KOQ2"/>
      <c r="KOS2"/>
      <c r="KOU2"/>
      <c r="KOW2"/>
      <c r="KOY2"/>
      <c r="KPA2"/>
      <c r="KPC2"/>
      <c r="KPE2"/>
      <c r="KPG2"/>
      <c r="KPI2"/>
      <c r="KPK2"/>
      <c r="KPM2"/>
      <c r="KPO2"/>
      <c r="KPQ2"/>
      <c r="KPS2"/>
      <c r="KPU2"/>
      <c r="KPW2"/>
      <c r="KPY2"/>
      <c r="KQA2"/>
      <c r="KQC2"/>
      <c r="KQE2"/>
      <c r="KQG2"/>
      <c r="KQI2"/>
      <c r="KQK2"/>
      <c r="KQM2"/>
      <c r="KQO2"/>
      <c r="KQQ2"/>
      <c r="KQS2"/>
      <c r="KQU2"/>
      <c r="KQW2"/>
      <c r="KQY2"/>
      <c r="KRA2"/>
      <c r="KRC2"/>
      <c r="KRE2"/>
      <c r="KRG2"/>
      <c r="KRI2"/>
      <c r="KRK2"/>
      <c r="KRM2"/>
      <c r="KRO2"/>
      <c r="KRQ2"/>
      <c r="KRS2"/>
      <c r="KRU2"/>
      <c r="KRW2"/>
      <c r="KRY2"/>
      <c r="KSA2"/>
      <c r="KSC2"/>
      <c r="KSE2"/>
      <c r="KSG2"/>
      <c r="KSI2"/>
      <c r="KSK2"/>
      <c r="KSM2"/>
      <c r="KSO2"/>
      <c r="KSQ2"/>
      <c r="KSS2"/>
      <c r="KSU2"/>
      <c r="KSW2"/>
      <c r="KSY2"/>
      <c r="KTA2"/>
      <c r="KTC2"/>
      <c r="KTE2"/>
      <c r="KTG2"/>
      <c r="KTI2"/>
      <c r="KTK2"/>
      <c r="KTM2"/>
      <c r="KTO2"/>
      <c r="KTQ2"/>
      <c r="KTS2"/>
      <c r="KTU2"/>
      <c r="KTW2"/>
      <c r="KTY2"/>
      <c r="KUA2"/>
      <c r="KUC2"/>
      <c r="KUE2"/>
      <c r="KUG2"/>
      <c r="KUI2"/>
      <c r="KUK2"/>
      <c r="KUM2"/>
      <c r="KUO2"/>
      <c r="KUQ2"/>
      <c r="KUS2"/>
      <c r="KUU2"/>
      <c r="KUW2"/>
      <c r="KUY2"/>
      <c r="KVA2"/>
      <c r="KVC2"/>
      <c r="KVE2"/>
      <c r="KVG2"/>
      <c r="KVI2"/>
      <c r="KVK2"/>
      <c r="KVM2"/>
      <c r="KVO2"/>
      <c r="KVQ2"/>
      <c r="KVS2"/>
      <c r="KVU2"/>
      <c r="KVW2"/>
      <c r="KVY2"/>
      <c r="KWA2"/>
      <c r="KWC2"/>
      <c r="KWE2"/>
      <c r="KWG2"/>
      <c r="KWI2"/>
      <c r="KWK2"/>
      <c r="KWM2"/>
      <c r="KWO2"/>
      <c r="KWQ2"/>
      <c r="KWS2"/>
      <c r="KWU2"/>
      <c r="KWW2"/>
      <c r="KWY2"/>
      <c r="KXA2"/>
      <c r="KXC2"/>
      <c r="KXE2"/>
      <c r="KXG2"/>
      <c r="KXI2"/>
      <c r="KXK2"/>
      <c r="KXM2"/>
      <c r="KXO2"/>
      <c r="KXQ2"/>
      <c r="KXS2"/>
      <c r="KXU2"/>
      <c r="KXW2"/>
      <c r="KXY2"/>
      <c r="KYA2"/>
      <c r="KYC2"/>
      <c r="KYE2"/>
      <c r="KYG2"/>
      <c r="KYI2"/>
      <c r="KYK2"/>
      <c r="KYM2"/>
      <c r="KYO2"/>
      <c r="KYQ2"/>
      <c r="KYS2"/>
      <c r="KYU2"/>
      <c r="KYW2"/>
      <c r="KYY2"/>
      <c r="KZA2"/>
      <c r="KZC2"/>
      <c r="KZE2"/>
      <c r="KZG2"/>
      <c r="KZI2"/>
      <c r="KZK2"/>
      <c r="KZM2"/>
      <c r="KZO2"/>
      <c r="KZQ2"/>
      <c r="KZS2"/>
      <c r="KZU2"/>
      <c r="KZW2"/>
      <c r="KZY2"/>
      <c r="LAA2"/>
      <c r="LAC2"/>
      <c r="LAE2"/>
      <c r="LAG2"/>
      <c r="LAI2"/>
      <c r="LAK2"/>
      <c r="LAM2"/>
      <c r="LAO2"/>
      <c r="LAQ2"/>
      <c r="LAS2"/>
      <c r="LAU2"/>
      <c r="LAW2"/>
      <c r="LAY2"/>
      <c r="LBA2"/>
      <c r="LBC2"/>
      <c r="LBE2"/>
      <c r="LBG2"/>
      <c r="LBI2"/>
      <c r="LBK2"/>
      <c r="LBM2"/>
      <c r="LBO2"/>
      <c r="LBQ2"/>
      <c r="LBS2"/>
      <c r="LBU2"/>
      <c r="LBW2"/>
      <c r="LBY2"/>
      <c r="LCA2"/>
      <c r="LCC2"/>
      <c r="LCE2"/>
      <c r="LCG2"/>
      <c r="LCI2"/>
      <c r="LCK2"/>
      <c r="LCM2"/>
      <c r="LCO2"/>
      <c r="LCQ2"/>
      <c r="LCS2"/>
      <c r="LCU2"/>
      <c r="LCW2"/>
      <c r="LCY2"/>
      <c r="LDA2"/>
      <c r="LDC2"/>
      <c r="LDE2"/>
      <c r="LDG2"/>
      <c r="LDI2"/>
      <c r="LDK2"/>
      <c r="LDM2"/>
      <c r="LDO2"/>
      <c r="LDQ2"/>
      <c r="LDS2"/>
      <c r="LDU2"/>
      <c r="LDW2"/>
      <c r="LDY2"/>
      <c r="LEA2"/>
      <c r="LEC2"/>
      <c r="LEE2"/>
      <c r="LEG2"/>
      <c r="LEI2"/>
      <c r="LEK2"/>
      <c r="LEM2"/>
      <c r="LEO2"/>
      <c r="LEQ2"/>
      <c r="LES2"/>
      <c r="LEU2"/>
      <c r="LEW2"/>
      <c r="LEY2"/>
      <c r="LFA2"/>
      <c r="LFC2"/>
      <c r="LFE2"/>
      <c r="LFG2"/>
      <c r="LFI2"/>
      <c r="LFK2"/>
      <c r="LFM2"/>
      <c r="LFO2"/>
      <c r="LFQ2"/>
      <c r="LFS2"/>
      <c r="LFU2"/>
      <c r="LFW2"/>
      <c r="LFY2"/>
      <c r="LGA2"/>
      <c r="LGC2"/>
      <c r="LGE2"/>
      <c r="LGG2"/>
      <c r="LGI2"/>
      <c r="LGK2"/>
      <c r="LGM2"/>
      <c r="LGO2"/>
      <c r="LGQ2"/>
      <c r="LGS2"/>
      <c r="LGU2"/>
      <c r="LGW2"/>
      <c r="LGY2"/>
      <c r="LHA2"/>
      <c r="LHC2"/>
      <c r="LHE2"/>
      <c r="LHG2"/>
      <c r="LHI2"/>
      <c r="LHK2"/>
      <c r="LHM2"/>
      <c r="LHO2"/>
      <c r="LHQ2"/>
      <c r="LHS2"/>
      <c r="LHU2"/>
      <c r="LHW2"/>
      <c r="LHY2"/>
      <c r="LIA2"/>
      <c r="LIC2"/>
      <c r="LIE2"/>
      <c r="LIG2"/>
      <c r="LII2"/>
      <c r="LIK2"/>
      <c r="LIM2"/>
      <c r="LIO2"/>
      <c r="LIQ2"/>
      <c r="LIS2"/>
      <c r="LIU2"/>
      <c r="LIW2"/>
      <c r="LIY2"/>
      <c r="LJA2"/>
      <c r="LJC2"/>
      <c r="LJE2"/>
      <c r="LJG2"/>
      <c r="LJI2"/>
      <c r="LJK2"/>
      <c r="LJM2"/>
      <c r="LJO2"/>
      <c r="LJQ2"/>
      <c r="LJS2"/>
      <c r="LJU2"/>
      <c r="LJW2"/>
      <c r="LJY2"/>
      <c r="LKA2"/>
      <c r="LKC2"/>
      <c r="LKE2"/>
      <c r="LKG2"/>
      <c r="LKI2"/>
      <c r="LKK2"/>
      <c r="LKM2"/>
      <c r="LKO2"/>
      <c r="LKQ2"/>
      <c r="LKS2"/>
      <c r="LKU2"/>
      <c r="LKW2"/>
      <c r="LKY2"/>
      <c r="LLA2"/>
      <c r="LLC2"/>
      <c r="LLE2"/>
      <c r="LLG2"/>
      <c r="LLI2"/>
      <c r="LLK2"/>
      <c r="LLM2"/>
      <c r="LLO2"/>
      <c r="LLQ2"/>
      <c r="LLS2"/>
      <c r="LLU2"/>
      <c r="LLW2"/>
      <c r="LLY2"/>
      <c r="LMA2"/>
      <c r="LMC2"/>
      <c r="LME2"/>
      <c r="LMG2"/>
      <c r="LMI2"/>
      <c r="LMK2"/>
      <c r="LMM2"/>
      <c r="LMO2"/>
      <c r="LMQ2"/>
      <c r="LMS2"/>
      <c r="LMU2"/>
      <c r="LMW2"/>
      <c r="LMY2"/>
      <c r="LNA2"/>
      <c r="LNC2"/>
      <c r="LNE2"/>
      <c r="LNG2"/>
      <c r="LNI2"/>
      <c r="LNK2"/>
      <c r="LNM2"/>
      <c r="LNO2"/>
      <c r="LNQ2"/>
      <c r="LNS2"/>
      <c r="LNU2"/>
      <c r="LNW2"/>
      <c r="LNY2"/>
      <c r="LOA2"/>
      <c r="LOC2"/>
      <c r="LOE2"/>
      <c r="LOG2"/>
      <c r="LOI2"/>
      <c r="LOK2"/>
      <c r="LOM2"/>
      <c r="LOO2"/>
      <c r="LOQ2"/>
      <c r="LOS2"/>
      <c r="LOU2"/>
      <c r="LOW2"/>
      <c r="LOY2"/>
      <c r="LPA2"/>
      <c r="LPC2"/>
      <c r="LPE2"/>
      <c r="LPG2"/>
      <c r="LPI2"/>
      <c r="LPK2"/>
      <c r="LPM2"/>
      <c r="LPO2"/>
      <c r="LPQ2"/>
      <c r="LPS2"/>
      <c r="LPU2"/>
      <c r="LPW2"/>
      <c r="LPY2"/>
      <c r="LQA2"/>
      <c r="LQC2"/>
      <c r="LQE2"/>
      <c r="LQG2"/>
      <c r="LQI2"/>
      <c r="LQK2"/>
      <c r="LQM2"/>
      <c r="LQO2"/>
      <c r="LQQ2"/>
      <c r="LQS2"/>
      <c r="LQU2"/>
      <c r="LQW2"/>
      <c r="LQY2"/>
      <c r="LRA2"/>
      <c r="LRC2"/>
      <c r="LRE2"/>
      <c r="LRG2"/>
      <c r="LRI2"/>
      <c r="LRK2"/>
      <c r="LRM2"/>
      <c r="LRO2"/>
      <c r="LRQ2"/>
      <c r="LRS2"/>
      <c r="LRU2"/>
      <c r="LRW2"/>
      <c r="LRY2"/>
      <c r="LSA2"/>
      <c r="LSC2"/>
      <c r="LSE2"/>
      <c r="LSG2"/>
      <c r="LSI2"/>
      <c r="LSK2"/>
      <c r="LSM2"/>
      <c r="LSO2"/>
      <c r="LSQ2"/>
      <c r="LSS2"/>
      <c r="LSU2"/>
      <c r="LSW2"/>
      <c r="LSY2"/>
      <c r="LTA2"/>
      <c r="LTC2"/>
      <c r="LTE2"/>
      <c r="LTG2"/>
      <c r="LTI2"/>
      <c r="LTK2"/>
      <c r="LTM2"/>
      <c r="LTO2"/>
      <c r="LTQ2"/>
      <c r="LTS2"/>
      <c r="LTU2"/>
      <c r="LTW2"/>
      <c r="LTY2"/>
      <c r="LUA2"/>
      <c r="LUC2"/>
      <c r="LUE2"/>
      <c r="LUG2"/>
      <c r="LUI2"/>
      <c r="LUK2"/>
      <c r="LUM2"/>
      <c r="LUO2"/>
      <c r="LUQ2"/>
      <c r="LUS2"/>
      <c r="LUU2"/>
      <c r="LUW2"/>
      <c r="LUY2"/>
      <c r="LVA2"/>
      <c r="LVC2"/>
      <c r="LVE2"/>
      <c r="LVG2"/>
      <c r="LVI2"/>
      <c r="LVK2"/>
      <c r="LVM2"/>
      <c r="LVO2"/>
      <c r="LVQ2"/>
      <c r="LVS2"/>
      <c r="LVU2"/>
      <c r="LVW2"/>
      <c r="LVY2"/>
      <c r="LWA2"/>
      <c r="LWC2"/>
      <c r="LWE2"/>
      <c r="LWG2"/>
      <c r="LWI2"/>
      <c r="LWK2"/>
      <c r="LWM2"/>
      <c r="LWO2"/>
      <c r="LWQ2"/>
      <c r="LWS2"/>
      <c r="LWU2"/>
      <c r="LWW2"/>
      <c r="LWY2"/>
      <c r="LXA2"/>
      <c r="LXC2"/>
      <c r="LXE2"/>
      <c r="LXG2"/>
      <c r="LXI2"/>
      <c r="LXK2"/>
      <c r="LXM2"/>
      <c r="LXO2"/>
      <c r="LXQ2"/>
      <c r="LXS2"/>
      <c r="LXU2"/>
      <c r="LXW2"/>
      <c r="LXY2"/>
      <c r="LYA2"/>
      <c r="LYC2"/>
      <c r="LYE2"/>
      <c r="LYG2"/>
      <c r="LYI2"/>
      <c r="LYK2"/>
      <c r="LYM2"/>
      <c r="LYO2"/>
      <c r="LYQ2"/>
      <c r="LYS2"/>
      <c r="LYU2"/>
      <c r="LYW2"/>
      <c r="LYY2"/>
      <c r="LZA2"/>
      <c r="LZC2"/>
      <c r="LZE2"/>
      <c r="LZG2"/>
      <c r="LZI2"/>
      <c r="LZK2"/>
      <c r="LZM2"/>
      <c r="LZO2"/>
      <c r="LZQ2"/>
      <c r="LZS2"/>
      <c r="LZU2"/>
      <c r="LZW2"/>
      <c r="LZY2"/>
      <c r="MAA2"/>
      <c r="MAC2"/>
      <c r="MAE2"/>
      <c r="MAG2"/>
      <c r="MAI2"/>
      <c r="MAK2"/>
      <c r="MAM2"/>
      <c r="MAO2"/>
      <c r="MAQ2"/>
      <c r="MAS2"/>
      <c r="MAU2"/>
      <c r="MAW2"/>
      <c r="MAY2"/>
      <c r="MBA2"/>
      <c r="MBC2"/>
      <c r="MBE2"/>
      <c r="MBG2"/>
      <c r="MBI2"/>
      <c r="MBK2"/>
      <c r="MBM2"/>
      <c r="MBO2"/>
      <c r="MBQ2"/>
      <c r="MBS2"/>
      <c r="MBU2"/>
      <c r="MBW2"/>
      <c r="MBY2"/>
      <c r="MCA2"/>
      <c r="MCC2"/>
      <c r="MCE2"/>
      <c r="MCG2"/>
      <c r="MCI2"/>
      <c r="MCK2"/>
      <c r="MCM2"/>
      <c r="MCO2"/>
      <c r="MCQ2"/>
      <c r="MCS2"/>
      <c r="MCU2"/>
      <c r="MCW2"/>
      <c r="MCY2"/>
      <c r="MDA2"/>
      <c r="MDC2"/>
      <c r="MDE2"/>
      <c r="MDG2"/>
      <c r="MDI2"/>
      <c r="MDK2"/>
      <c r="MDM2"/>
      <c r="MDO2"/>
      <c r="MDQ2"/>
      <c r="MDS2"/>
      <c r="MDU2"/>
      <c r="MDW2"/>
      <c r="MDY2"/>
      <c r="MEA2"/>
      <c r="MEC2"/>
      <c r="MEE2"/>
      <c r="MEG2"/>
      <c r="MEI2"/>
      <c r="MEK2"/>
      <c r="MEM2"/>
      <c r="MEO2"/>
      <c r="MEQ2"/>
      <c r="MES2"/>
      <c r="MEU2"/>
      <c r="MEW2"/>
      <c r="MEY2"/>
      <c r="MFA2"/>
      <c r="MFC2"/>
      <c r="MFE2"/>
      <c r="MFG2"/>
      <c r="MFI2"/>
      <c r="MFK2"/>
      <c r="MFM2"/>
      <c r="MFO2"/>
      <c r="MFQ2"/>
      <c r="MFS2"/>
      <c r="MFU2"/>
      <c r="MFW2"/>
      <c r="MFY2"/>
      <c r="MGA2"/>
      <c r="MGC2"/>
      <c r="MGE2"/>
      <c r="MGG2"/>
      <c r="MGI2"/>
      <c r="MGK2"/>
      <c r="MGM2"/>
      <c r="MGO2"/>
      <c r="MGQ2"/>
      <c r="MGS2"/>
      <c r="MGU2"/>
      <c r="MGW2"/>
      <c r="MGY2"/>
      <c r="MHA2"/>
      <c r="MHC2"/>
      <c r="MHE2"/>
      <c r="MHG2"/>
      <c r="MHI2"/>
      <c r="MHK2"/>
      <c r="MHM2"/>
      <c r="MHO2"/>
      <c r="MHQ2"/>
      <c r="MHS2"/>
      <c r="MHU2"/>
      <c r="MHW2"/>
      <c r="MHY2"/>
      <c r="MIA2"/>
      <c r="MIC2"/>
      <c r="MIE2"/>
      <c r="MIG2"/>
      <c r="MII2"/>
      <c r="MIK2"/>
      <c r="MIM2"/>
      <c r="MIO2"/>
      <c r="MIQ2"/>
      <c r="MIS2"/>
      <c r="MIU2"/>
      <c r="MIW2"/>
      <c r="MIY2"/>
      <c r="MJA2"/>
      <c r="MJC2"/>
      <c r="MJE2"/>
      <c r="MJG2"/>
      <c r="MJI2"/>
      <c r="MJK2"/>
      <c r="MJM2"/>
      <c r="MJO2"/>
      <c r="MJQ2"/>
      <c r="MJS2"/>
      <c r="MJU2"/>
      <c r="MJW2"/>
      <c r="MJY2"/>
      <c r="MKA2"/>
      <c r="MKC2"/>
      <c r="MKE2"/>
      <c r="MKG2"/>
      <c r="MKI2"/>
      <c r="MKK2"/>
      <c r="MKM2"/>
      <c r="MKO2"/>
      <c r="MKQ2"/>
      <c r="MKS2"/>
      <c r="MKU2"/>
      <c r="MKW2"/>
      <c r="MKY2"/>
      <c r="MLA2"/>
      <c r="MLC2"/>
      <c r="MLE2"/>
      <c r="MLG2"/>
      <c r="MLI2"/>
      <c r="MLK2"/>
      <c r="MLM2"/>
      <c r="MLO2"/>
      <c r="MLQ2"/>
      <c r="MLS2"/>
      <c r="MLU2"/>
      <c r="MLW2"/>
      <c r="MLY2"/>
      <c r="MMA2"/>
      <c r="MMC2"/>
      <c r="MME2"/>
      <c r="MMG2"/>
      <c r="MMI2"/>
      <c r="MMK2"/>
      <c r="MMM2"/>
      <c r="MMO2"/>
      <c r="MMQ2"/>
      <c r="MMS2"/>
      <c r="MMU2"/>
      <c r="MMW2"/>
      <c r="MMY2"/>
      <c r="MNA2"/>
      <c r="MNC2"/>
      <c r="MNE2"/>
      <c r="MNG2"/>
      <c r="MNI2"/>
      <c r="MNK2"/>
      <c r="MNM2"/>
      <c r="MNO2"/>
      <c r="MNQ2"/>
      <c r="MNS2"/>
      <c r="MNU2"/>
      <c r="MNW2"/>
      <c r="MNY2"/>
      <c r="MOA2"/>
      <c r="MOC2"/>
      <c r="MOE2"/>
      <c r="MOG2"/>
      <c r="MOI2"/>
      <c r="MOK2"/>
      <c r="MOM2"/>
      <c r="MOO2"/>
      <c r="MOQ2"/>
      <c r="MOS2"/>
      <c r="MOU2"/>
      <c r="MOW2"/>
      <c r="MOY2"/>
      <c r="MPA2"/>
      <c r="MPC2"/>
      <c r="MPE2"/>
      <c r="MPG2"/>
      <c r="MPI2"/>
      <c r="MPK2"/>
      <c r="MPM2"/>
      <c r="MPO2"/>
      <c r="MPQ2"/>
      <c r="MPS2"/>
      <c r="MPU2"/>
      <c r="MPW2"/>
      <c r="MPY2"/>
      <c r="MQA2"/>
      <c r="MQC2"/>
      <c r="MQE2"/>
      <c r="MQG2"/>
      <c r="MQI2"/>
      <c r="MQK2"/>
      <c r="MQM2"/>
      <c r="MQO2"/>
      <c r="MQQ2"/>
      <c r="MQS2"/>
      <c r="MQU2"/>
      <c r="MQW2"/>
      <c r="MQY2"/>
      <c r="MRA2"/>
      <c r="MRC2"/>
      <c r="MRE2"/>
      <c r="MRG2"/>
      <c r="MRI2"/>
      <c r="MRK2"/>
      <c r="MRM2"/>
      <c r="MRO2"/>
      <c r="MRQ2"/>
      <c r="MRS2"/>
      <c r="MRU2"/>
      <c r="MRW2"/>
      <c r="MRY2"/>
      <c r="MSA2"/>
      <c r="MSC2"/>
      <c r="MSE2"/>
      <c r="MSG2"/>
      <c r="MSI2"/>
      <c r="MSK2"/>
      <c r="MSM2"/>
      <c r="MSO2"/>
      <c r="MSQ2"/>
      <c r="MSS2"/>
      <c r="MSU2"/>
      <c r="MSW2"/>
      <c r="MSY2"/>
      <c r="MTA2"/>
      <c r="MTC2"/>
      <c r="MTE2"/>
      <c r="MTG2"/>
      <c r="MTI2"/>
      <c r="MTK2"/>
      <c r="MTM2"/>
      <c r="MTO2"/>
      <c r="MTQ2"/>
      <c r="MTS2"/>
      <c r="MTU2"/>
      <c r="MTW2"/>
      <c r="MTY2"/>
      <c r="MUA2"/>
      <c r="MUC2"/>
      <c r="MUE2"/>
      <c r="MUG2"/>
      <c r="MUI2"/>
      <c r="MUK2"/>
      <c r="MUM2"/>
      <c r="MUO2"/>
      <c r="MUQ2"/>
      <c r="MUS2"/>
      <c r="MUU2"/>
      <c r="MUW2"/>
      <c r="MUY2"/>
      <c r="MVA2"/>
      <c r="MVC2"/>
      <c r="MVE2"/>
      <c r="MVG2"/>
      <c r="MVI2"/>
      <c r="MVK2"/>
      <c r="MVM2"/>
      <c r="MVO2"/>
      <c r="MVQ2"/>
      <c r="MVS2"/>
      <c r="MVU2"/>
      <c r="MVW2"/>
      <c r="MVY2"/>
      <c r="MWA2"/>
      <c r="MWC2"/>
      <c r="MWE2"/>
      <c r="MWG2"/>
      <c r="MWI2"/>
      <c r="MWK2"/>
      <c r="MWM2"/>
      <c r="MWO2"/>
      <c r="MWQ2"/>
      <c r="MWS2"/>
      <c r="MWU2"/>
      <c r="MWW2"/>
      <c r="MWY2"/>
      <c r="MXA2"/>
      <c r="MXC2"/>
      <c r="MXE2"/>
      <c r="MXG2"/>
      <c r="MXI2"/>
      <c r="MXK2"/>
      <c r="MXM2"/>
      <c r="MXO2"/>
      <c r="MXQ2"/>
      <c r="MXS2"/>
      <c r="MXU2"/>
      <c r="MXW2"/>
      <c r="MXY2"/>
      <c r="MYA2"/>
      <c r="MYC2"/>
      <c r="MYE2"/>
      <c r="MYG2"/>
      <c r="MYI2"/>
      <c r="MYK2"/>
      <c r="MYM2"/>
      <c r="MYO2"/>
      <c r="MYQ2"/>
      <c r="MYS2"/>
      <c r="MYU2"/>
      <c r="MYW2"/>
      <c r="MYY2"/>
      <c r="MZA2"/>
      <c r="MZC2"/>
      <c r="MZE2"/>
      <c r="MZG2"/>
      <c r="MZI2"/>
      <c r="MZK2"/>
      <c r="MZM2"/>
      <c r="MZO2"/>
      <c r="MZQ2"/>
      <c r="MZS2"/>
      <c r="MZU2"/>
      <c r="MZW2"/>
      <c r="MZY2"/>
      <c r="NAA2"/>
      <c r="NAC2"/>
      <c r="NAE2"/>
      <c r="NAG2"/>
      <c r="NAI2"/>
      <c r="NAK2"/>
      <c r="NAM2"/>
      <c r="NAO2"/>
      <c r="NAQ2"/>
      <c r="NAS2"/>
      <c r="NAU2"/>
      <c r="NAW2"/>
      <c r="NAY2"/>
      <c r="NBA2"/>
      <c r="NBC2"/>
      <c r="NBE2"/>
      <c r="NBG2"/>
      <c r="NBI2"/>
      <c r="NBK2"/>
      <c r="NBM2"/>
      <c r="NBO2"/>
      <c r="NBQ2"/>
      <c r="NBS2"/>
      <c r="NBU2"/>
      <c r="NBW2"/>
      <c r="NBY2"/>
      <c r="NCA2"/>
      <c r="NCC2"/>
      <c r="NCE2"/>
      <c r="NCG2"/>
      <c r="NCI2"/>
      <c r="NCK2"/>
      <c r="NCM2"/>
      <c r="NCO2"/>
      <c r="NCQ2"/>
      <c r="NCS2"/>
      <c r="NCU2"/>
      <c r="NCW2"/>
      <c r="NCY2"/>
      <c r="NDA2"/>
      <c r="NDC2"/>
      <c r="NDE2"/>
      <c r="NDG2"/>
      <c r="NDI2"/>
      <c r="NDK2"/>
      <c r="NDM2"/>
      <c r="NDO2"/>
      <c r="NDQ2"/>
      <c r="NDS2"/>
      <c r="NDU2"/>
      <c r="NDW2"/>
      <c r="NDY2"/>
      <c r="NEA2"/>
      <c r="NEC2"/>
      <c r="NEE2"/>
      <c r="NEG2"/>
      <c r="NEI2"/>
      <c r="NEK2"/>
      <c r="NEM2"/>
      <c r="NEO2"/>
      <c r="NEQ2"/>
      <c r="NES2"/>
      <c r="NEU2"/>
      <c r="NEW2"/>
      <c r="NEY2"/>
      <c r="NFA2"/>
      <c r="NFC2"/>
      <c r="NFE2"/>
      <c r="NFG2"/>
      <c r="NFI2"/>
      <c r="NFK2"/>
      <c r="NFM2"/>
      <c r="NFO2"/>
      <c r="NFQ2"/>
      <c r="NFS2"/>
      <c r="NFU2"/>
      <c r="NFW2"/>
      <c r="NFY2"/>
      <c r="NGA2"/>
      <c r="NGC2"/>
      <c r="NGE2"/>
      <c r="NGG2"/>
      <c r="NGI2"/>
      <c r="NGK2"/>
      <c r="NGM2"/>
      <c r="NGO2"/>
      <c r="NGQ2"/>
      <c r="NGS2"/>
      <c r="NGU2"/>
      <c r="NGW2"/>
      <c r="NGY2"/>
      <c r="NHA2"/>
      <c r="NHC2"/>
      <c r="NHE2"/>
      <c r="NHG2"/>
      <c r="NHI2"/>
      <c r="NHK2"/>
      <c r="NHM2"/>
      <c r="NHO2"/>
      <c r="NHQ2"/>
      <c r="NHS2"/>
      <c r="NHU2"/>
      <c r="NHW2"/>
      <c r="NHY2"/>
      <c r="NIA2"/>
      <c r="NIC2"/>
      <c r="NIE2"/>
      <c r="NIG2"/>
      <c r="NII2"/>
      <c r="NIK2"/>
      <c r="NIM2"/>
      <c r="NIO2"/>
      <c r="NIQ2"/>
      <c r="NIS2"/>
      <c r="NIU2"/>
      <c r="NIW2"/>
      <c r="NIY2"/>
      <c r="NJA2"/>
      <c r="NJC2"/>
      <c r="NJE2"/>
      <c r="NJG2"/>
      <c r="NJI2"/>
      <c r="NJK2"/>
      <c r="NJM2"/>
      <c r="NJO2"/>
      <c r="NJQ2"/>
      <c r="NJS2"/>
      <c r="NJU2"/>
      <c r="NJW2"/>
      <c r="NJY2"/>
      <c r="NKA2"/>
      <c r="NKC2"/>
      <c r="NKE2"/>
      <c r="NKG2"/>
      <c r="NKI2"/>
      <c r="NKK2"/>
      <c r="NKM2"/>
      <c r="NKO2"/>
      <c r="NKQ2"/>
      <c r="NKS2"/>
      <c r="NKU2"/>
      <c r="NKW2"/>
      <c r="NKY2"/>
      <c r="NLA2"/>
      <c r="NLC2"/>
      <c r="NLE2"/>
      <c r="NLG2"/>
      <c r="NLI2"/>
      <c r="NLK2"/>
      <c r="NLM2"/>
      <c r="NLO2"/>
      <c r="NLQ2"/>
      <c r="NLS2"/>
      <c r="NLU2"/>
      <c r="NLW2"/>
      <c r="NLY2"/>
      <c r="NMA2"/>
      <c r="NMC2"/>
      <c r="NME2"/>
      <c r="NMG2"/>
      <c r="NMI2"/>
      <c r="NMK2"/>
      <c r="NMM2"/>
      <c r="NMO2"/>
      <c r="NMQ2"/>
      <c r="NMS2"/>
      <c r="NMU2"/>
      <c r="NMW2"/>
      <c r="NMY2"/>
      <c r="NNA2"/>
      <c r="NNC2"/>
      <c r="NNE2"/>
      <c r="NNG2"/>
      <c r="NNI2"/>
      <c r="NNK2"/>
      <c r="NNM2"/>
      <c r="NNO2"/>
      <c r="NNQ2"/>
      <c r="NNS2"/>
      <c r="NNU2"/>
      <c r="NNW2"/>
      <c r="NNY2"/>
      <c r="NOA2"/>
      <c r="NOC2"/>
      <c r="NOE2"/>
      <c r="NOG2"/>
      <c r="NOI2"/>
      <c r="NOK2"/>
      <c r="NOM2"/>
      <c r="NOO2"/>
      <c r="NOQ2"/>
      <c r="NOS2"/>
      <c r="NOU2"/>
      <c r="NOW2"/>
      <c r="NOY2"/>
      <c r="NPA2"/>
      <c r="NPC2"/>
      <c r="NPE2"/>
      <c r="NPG2"/>
      <c r="NPI2"/>
      <c r="NPK2"/>
      <c r="NPM2"/>
      <c r="NPO2"/>
      <c r="NPQ2"/>
      <c r="NPS2"/>
      <c r="NPU2"/>
      <c r="NPW2"/>
      <c r="NPY2"/>
      <c r="NQA2"/>
      <c r="NQC2"/>
      <c r="NQE2"/>
      <c r="NQG2"/>
      <c r="NQI2"/>
      <c r="NQK2"/>
      <c r="NQM2"/>
      <c r="NQO2"/>
      <c r="NQQ2"/>
      <c r="NQS2"/>
      <c r="NQU2"/>
      <c r="NQW2"/>
      <c r="NQY2"/>
      <c r="NRA2"/>
      <c r="NRC2"/>
      <c r="NRE2"/>
      <c r="NRG2"/>
      <c r="NRI2"/>
      <c r="NRK2"/>
      <c r="NRM2"/>
      <c r="NRO2"/>
      <c r="NRQ2"/>
      <c r="NRS2"/>
      <c r="NRU2"/>
      <c r="NRW2"/>
      <c r="NRY2"/>
      <c r="NSA2"/>
      <c r="NSC2"/>
      <c r="NSE2"/>
      <c r="NSG2"/>
      <c r="NSI2"/>
      <c r="NSK2"/>
      <c r="NSM2"/>
      <c r="NSO2"/>
      <c r="NSQ2"/>
      <c r="NSS2"/>
      <c r="NSU2"/>
      <c r="NSW2"/>
      <c r="NSY2"/>
      <c r="NTA2"/>
      <c r="NTC2"/>
      <c r="NTE2"/>
      <c r="NTG2"/>
      <c r="NTI2"/>
      <c r="NTK2"/>
      <c r="NTM2"/>
      <c r="NTO2"/>
      <c r="NTQ2"/>
      <c r="NTS2"/>
      <c r="NTU2"/>
      <c r="NTW2"/>
      <c r="NTY2"/>
      <c r="NUA2"/>
      <c r="NUC2"/>
      <c r="NUE2"/>
      <c r="NUG2"/>
      <c r="NUI2"/>
      <c r="NUK2"/>
      <c r="NUM2"/>
      <c r="NUO2"/>
      <c r="NUQ2"/>
      <c r="NUS2"/>
      <c r="NUU2"/>
      <c r="NUW2"/>
      <c r="NUY2"/>
      <c r="NVA2"/>
      <c r="NVC2"/>
      <c r="NVE2"/>
      <c r="NVG2"/>
      <c r="NVI2"/>
      <c r="NVK2"/>
      <c r="NVM2"/>
      <c r="NVO2"/>
      <c r="NVQ2"/>
      <c r="NVS2"/>
      <c r="NVU2"/>
      <c r="NVW2"/>
      <c r="NVY2"/>
      <c r="NWA2"/>
      <c r="NWC2"/>
      <c r="NWE2"/>
      <c r="NWG2"/>
      <c r="NWI2"/>
      <c r="NWK2"/>
      <c r="NWM2"/>
      <c r="NWO2"/>
      <c r="NWQ2"/>
      <c r="NWS2"/>
      <c r="NWU2"/>
      <c r="NWW2"/>
      <c r="NWY2"/>
      <c r="NXA2"/>
      <c r="NXC2"/>
      <c r="NXE2"/>
      <c r="NXG2"/>
      <c r="NXI2"/>
      <c r="NXK2"/>
      <c r="NXM2"/>
      <c r="NXO2"/>
      <c r="NXQ2"/>
      <c r="NXS2"/>
      <c r="NXU2"/>
      <c r="NXW2"/>
      <c r="NXY2"/>
      <c r="NYA2"/>
      <c r="NYC2"/>
      <c r="NYE2"/>
      <c r="NYG2"/>
      <c r="NYI2"/>
      <c r="NYK2"/>
      <c r="NYM2"/>
      <c r="NYO2"/>
      <c r="NYQ2"/>
      <c r="NYS2"/>
      <c r="NYU2"/>
      <c r="NYW2"/>
      <c r="NYY2"/>
      <c r="NZA2"/>
      <c r="NZC2"/>
      <c r="NZE2"/>
      <c r="NZG2"/>
      <c r="NZI2"/>
      <c r="NZK2"/>
      <c r="NZM2"/>
      <c r="NZO2"/>
      <c r="NZQ2"/>
      <c r="NZS2"/>
      <c r="NZU2"/>
      <c r="NZW2"/>
      <c r="NZY2"/>
      <c r="OAA2"/>
      <c r="OAC2"/>
      <c r="OAE2"/>
      <c r="OAG2"/>
      <c r="OAI2"/>
      <c r="OAK2"/>
      <c r="OAM2"/>
      <c r="OAO2"/>
      <c r="OAQ2"/>
      <c r="OAS2"/>
      <c r="OAU2"/>
      <c r="OAW2"/>
      <c r="OAY2"/>
      <c r="OBA2"/>
      <c r="OBC2"/>
      <c r="OBE2"/>
      <c r="OBG2"/>
      <c r="OBI2"/>
      <c r="OBK2"/>
      <c r="OBM2"/>
      <c r="OBO2"/>
      <c r="OBQ2"/>
      <c r="OBS2"/>
      <c r="OBU2"/>
      <c r="OBW2"/>
      <c r="OBY2"/>
      <c r="OCA2"/>
      <c r="OCC2"/>
      <c r="OCE2"/>
      <c r="OCG2"/>
      <c r="OCI2"/>
      <c r="OCK2"/>
      <c r="OCM2"/>
      <c r="OCO2"/>
      <c r="OCQ2"/>
      <c r="OCS2"/>
      <c r="OCU2"/>
      <c r="OCW2"/>
      <c r="OCY2"/>
      <c r="ODA2"/>
      <c r="ODC2"/>
      <c r="ODE2"/>
      <c r="ODG2"/>
      <c r="ODI2"/>
      <c r="ODK2"/>
      <c r="ODM2"/>
      <c r="ODO2"/>
      <c r="ODQ2"/>
      <c r="ODS2"/>
      <c r="ODU2"/>
      <c r="ODW2"/>
      <c r="ODY2"/>
      <c r="OEA2"/>
      <c r="OEC2"/>
      <c r="OEE2"/>
      <c r="OEG2"/>
      <c r="OEI2"/>
      <c r="OEK2"/>
      <c r="OEM2"/>
      <c r="OEO2"/>
      <c r="OEQ2"/>
      <c r="OES2"/>
      <c r="OEU2"/>
      <c r="OEW2"/>
      <c r="OEY2"/>
      <c r="OFA2"/>
      <c r="OFC2"/>
      <c r="OFE2"/>
      <c r="OFG2"/>
      <c r="OFI2"/>
      <c r="OFK2"/>
      <c r="OFM2"/>
      <c r="OFO2"/>
      <c r="OFQ2"/>
      <c r="OFS2"/>
      <c r="OFU2"/>
      <c r="OFW2"/>
      <c r="OFY2"/>
      <c r="OGA2"/>
      <c r="OGC2"/>
      <c r="OGE2"/>
      <c r="OGG2"/>
      <c r="OGI2"/>
      <c r="OGK2"/>
      <c r="OGM2"/>
      <c r="OGO2"/>
      <c r="OGQ2"/>
      <c r="OGS2"/>
      <c r="OGU2"/>
      <c r="OGW2"/>
      <c r="OGY2"/>
      <c r="OHA2"/>
      <c r="OHC2"/>
      <c r="OHE2"/>
      <c r="OHG2"/>
      <c r="OHI2"/>
      <c r="OHK2"/>
      <c r="OHM2"/>
      <c r="OHO2"/>
      <c r="OHQ2"/>
      <c r="OHS2"/>
      <c r="OHU2"/>
      <c r="OHW2"/>
      <c r="OHY2"/>
      <c r="OIA2"/>
      <c r="OIC2"/>
      <c r="OIE2"/>
      <c r="OIG2"/>
      <c r="OII2"/>
      <c r="OIK2"/>
      <c r="OIM2"/>
      <c r="OIO2"/>
      <c r="OIQ2"/>
      <c r="OIS2"/>
      <c r="OIU2"/>
      <c r="OIW2"/>
      <c r="OIY2"/>
      <c r="OJA2"/>
      <c r="OJC2"/>
      <c r="OJE2"/>
      <c r="OJG2"/>
      <c r="OJI2"/>
      <c r="OJK2"/>
      <c r="OJM2"/>
      <c r="OJO2"/>
      <c r="OJQ2"/>
      <c r="OJS2"/>
      <c r="OJU2"/>
      <c r="OJW2"/>
      <c r="OJY2"/>
      <c r="OKA2"/>
      <c r="OKC2"/>
      <c r="OKE2"/>
      <c r="OKG2"/>
      <c r="OKI2"/>
      <c r="OKK2"/>
      <c r="OKM2"/>
      <c r="OKO2"/>
      <c r="OKQ2"/>
      <c r="OKS2"/>
      <c r="OKU2"/>
      <c r="OKW2"/>
      <c r="OKY2"/>
      <c r="OLA2"/>
      <c r="OLC2"/>
      <c r="OLE2"/>
      <c r="OLG2"/>
      <c r="OLI2"/>
      <c r="OLK2"/>
      <c r="OLM2"/>
      <c r="OLO2"/>
      <c r="OLQ2"/>
      <c r="OLS2"/>
      <c r="OLU2"/>
      <c r="OLW2"/>
      <c r="OLY2"/>
      <c r="OMA2"/>
      <c r="OMC2"/>
      <c r="OME2"/>
      <c r="OMG2"/>
      <c r="OMI2"/>
      <c r="OMK2"/>
      <c r="OMM2"/>
      <c r="OMO2"/>
      <c r="OMQ2"/>
      <c r="OMS2"/>
      <c r="OMU2"/>
      <c r="OMW2"/>
      <c r="OMY2"/>
      <c r="ONA2"/>
      <c r="ONC2"/>
      <c r="ONE2"/>
      <c r="ONG2"/>
      <c r="ONI2"/>
      <c r="ONK2"/>
      <c r="ONM2"/>
      <c r="ONO2"/>
      <c r="ONQ2"/>
      <c r="ONS2"/>
      <c r="ONU2"/>
      <c r="ONW2"/>
      <c r="ONY2"/>
      <c r="OOA2"/>
      <c r="OOC2"/>
      <c r="OOE2"/>
      <c r="OOG2"/>
      <c r="OOI2"/>
      <c r="OOK2"/>
      <c r="OOM2"/>
      <c r="OOO2"/>
      <c r="OOQ2"/>
      <c r="OOS2"/>
      <c r="OOU2"/>
      <c r="OOW2"/>
      <c r="OOY2"/>
      <c r="OPA2"/>
      <c r="OPC2"/>
      <c r="OPE2"/>
      <c r="OPG2"/>
      <c r="OPI2"/>
      <c r="OPK2"/>
      <c r="OPM2"/>
      <c r="OPO2"/>
      <c r="OPQ2"/>
      <c r="OPS2"/>
      <c r="OPU2"/>
      <c r="OPW2"/>
      <c r="OPY2"/>
      <c r="OQA2"/>
      <c r="OQC2"/>
      <c r="OQE2"/>
      <c r="OQG2"/>
      <c r="OQI2"/>
      <c r="OQK2"/>
      <c r="OQM2"/>
      <c r="OQO2"/>
      <c r="OQQ2"/>
      <c r="OQS2"/>
      <c r="OQU2"/>
      <c r="OQW2"/>
      <c r="OQY2"/>
      <c r="ORA2"/>
      <c r="ORC2"/>
      <c r="ORE2"/>
      <c r="ORG2"/>
      <c r="ORI2"/>
      <c r="ORK2"/>
      <c r="ORM2"/>
      <c r="ORO2"/>
      <c r="ORQ2"/>
      <c r="ORS2"/>
      <c r="ORU2"/>
      <c r="ORW2"/>
      <c r="ORY2"/>
      <c r="OSA2"/>
      <c r="OSC2"/>
      <c r="OSE2"/>
      <c r="OSG2"/>
      <c r="OSI2"/>
      <c r="OSK2"/>
      <c r="OSM2"/>
      <c r="OSO2"/>
      <c r="OSQ2"/>
      <c r="OSS2"/>
      <c r="OSU2"/>
      <c r="OSW2"/>
      <c r="OSY2"/>
      <c r="OTA2"/>
      <c r="OTC2"/>
      <c r="OTE2"/>
      <c r="OTG2"/>
      <c r="OTI2"/>
      <c r="OTK2"/>
      <c r="OTM2"/>
      <c r="OTO2"/>
      <c r="OTQ2"/>
      <c r="OTS2"/>
      <c r="OTU2"/>
      <c r="OTW2"/>
      <c r="OTY2"/>
      <c r="OUA2"/>
      <c r="OUC2"/>
      <c r="OUE2"/>
      <c r="OUG2"/>
      <c r="OUI2"/>
      <c r="OUK2"/>
      <c r="OUM2"/>
      <c r="OUO2"/>
      <c r="OUQ2"/>
      <c r="OUS2"/>
      <c r="OUU2"/>
      <c r="OUW2"/>
      <c r="OUY2"/>
      <c r="OVA2"/>
      <c r="OVC2"/>
      <c r="OVE2"/>
      <c r="OVG2"/>
      <c r="OVI2"/>
      <c r="OVK2"/>
      <c r="OVM2"/>
      <c r="OVO2"/>
      <c r="OVQ2"/>
      <c r="OVS2"/>
      <c r="OVU2"/>
      <c r="OVW2"/>
      <c r="OVY2"/>
      <c r="OWA2"/>
      <c r="OWC2"/>
      <c r="OWE2"/>
      <c r="OWG2"/>
      <c r="OWI2"/>
      <c r="OWK2"/>
      <c r="OWM2"/>
      <c r="OWO2"/>
      <c r="OWQ2"/>
      <c r="OWS2"/>
      <c r="OWU2"/>
      <c r="OWW2"/>
      <c r="OWY2"/>
      <c r="OXA2"/>
      <c r="OXC2"/>
      <c r="OXE2"/>
      <c r="OXG2"/>
      <c r="OXI2"/>
      <c r="OXK2"/>
      <c r="OXM2"/>
      <c r="OXO2"/>
      <c r="OXQ2"/>
      <c r="OXS2"/>
      <c r="OXU2"/>
      <c r="OXW2"/>
      <c r="OXY2"/>
      <c r="OYA2"/>
      <c r="OYC2"/>
      <c r="OYE2"/>
      <c r="OYG2"/>
      <c r="OYI2"/>
      <c r="OYK2"/>
      <c r="OYM2"/>
      <c r="OYO2"/>
      <c r="OYQ2"/>
      <c r="OYS2"/>
      <c r="OYU2"/>
      <c r="OYW2"/>
      <c r="OYY2"/>
      <c r="OZA2"/>
      <c r="OZC2"/>
      <c r="OZE2"/>
      <c r="OZG2"/>
      <c r="OZI2"/>
      <c r="OZK2"/>
      <c r="OZM2"/>
      <c r="OZO2"/>
      <c r="OZQ2"/>
      <c r="OZS2"/>
      <c r="OZU2"/>
      <c r="OZW2"/>
      <c r="OZY2"/>
      <c r="PAA2"/>
      <c r="PAC2"/>
      <c r="PAE2"/>
      <c r="PAG2"/>
      <c r="PAI2"/>
      <c r="PAK2"/>
      <c r="PAM2"/>
      <c r="PAO2"/>
      <c r="PAQ2"/>
      <c r="PAS2"/>
      <c r="PAU2"/>
      <c r="PAW2"/>
      <c r="PAY2"/>
      <c r="PBA2"/>
      <c r="PBC2"/>
      <c r="PBE2"/>
      <c r="PBG2"/>
      <c r="PBI2"/>
      <c r="PBK2"/>
      <c r="PBM2"/>
      <c r="PBO2"/>
      <c r="PBQ2"/>
      <c r="PBS2"/>
      <c r="PBU2"/>
      <c r="PBW2"/>
      <c r="PBY2"/>
      <c r="PCA2"/>
      <c r="PCC2"/>
      <c r="PCE2"/>
      <c r="PCG2"/>
      <c r="PCI2"/>
      <c r="PCK2"/>
      <c r="PCM2"/>
      <c r="PCO2"/>
      <c r="PCQ2"/>
      <c r="PCS2"/>
      <c r="PCU2"/>
      <c r="PCW2"/>
      <c r="PCY2"/>
      <c r="PDA2"/>
      <c r="PDC2"/>
      <c r="PDE2"/>
      <c r="PDG2"/>
      <c r="PDI2"/>
      <c r="PDK2"/>
      <c r="PDM2"/>
      <c r="PDO2"/>
      <c r="PDQ2"/>
      <c r="PDS2"/>
      <c r="PDU2"/>
      <c r="PDW2"/>
      <c r="PDY2"/>
      <c r="PEA2"/>
      <c r="PEC2"/>
      <c r="PEE2"/>
      <c r="PEG2"/>
      <c r="PEI2"/>
      <c r="PEK2"/>
      <c r="PEM2"/>
      <c r="PEO2"/>
      <c r="PEQ2"/>
      <c r="PES2"/>
      <c r="PEU2"/>
      <c r="PEW2"/>
      <c r="PEY2"/>
      <c r="PFA2"/>
      <c r="PFC2"/>
      <c r="PFE2"/>
      <c r="PFG2"/>
      <c r="PFI2"/>
      <c r="PFK2"/>
      <c r="PFM2"/>
      <c r="PFO2"/>
      <c r="PFQ2"/>
      <c r="PFS2"/>
      <c r="PFU2"/>
      <c r="PFW2"/>
      <c r="PFY2"/>
      <c r="PGA2"/>
      <c r="PGC2"/>
      <c r="PGE2"/>
      <c r="PGG2"/>
      <c r="PGI2"/>
      <c r="PGK2"/>
      <c r="PGM2"/>
      <c r="PGO2"/>
      <c r="PGQ2"/>
      <c r="PGS2"/>
      <c r="PGU2"/>
      <c r="PGW2"/>
      <c r="PGY2"/>
      <c r="PHA2"/>
      <c r="PHC2"/>
      <c r="PHE2"/>
      <c r="PHG2"/>
      <c r="PHI2"/>
      <c r="PHK2"/>
      <c r="PHM2"/>
      <c r="PHO2"/>
      <c r="PHQ2"/>
      <c r="PHS2"/>
      <c r="PHU2"/>
      <c r="PHW2"/>
      <c r="PHY2"/>
      <c r="PIA2"/>
      <c r="PIC2"/>
      <c r="PIE2"/>
      <c r="PIG2"/>
      <c r="PII2"/>
      <c r="PIK2"/>
      <c r="PIM2"/>
      <c r="PIO2"/>
      <c r="PIQ2"/>
      <c r="PIS2"/>
      <c r="PIU2"/>
      <c r="PIW2"/>
      <c r="PIY2"/>
      <c r="PJA2"/>
      <c r="PJC2"/>
      <c r="PJE2"/>
      <c r="PJG2"/>
      <c r="PJI2"/>
      <c r="PJK2"/>
      <c r="PJM2"/>
      <c r="PJO2"/>
      <c r="PJQ2"/>
      <c r="PJS2"/>
      <c r="PJU2"/>
      <c r="PJW2"/>
      <c r="PJY2"/>
      <c r="PKA2"/>
      <c r="PKC2"/>
      <c r="PKE2"/>
      <c r="PKG2"/>
      <c r="PKI2"/>
      <c r="PKK2"/>
      <c r="PKM2"/>
      <c r="PKO2"/>
      <c r="PKQ2"/>
      <c r="PKS2"/>
      <c r="PKU2"/>
      <c r="PKW2"/>
      <c r="PKY2"/>
      <c r="PLA2"/>
      <c r="PLC2"/>
      <c r="PLE2"/>
      <c r="PLG2"/>
      <c r="PLI2"/>
      <c r="PLK2"/>
      <c r="PLM2"/>
      <c r="PLO2"/>
      <c r="PLQ2"/>
      <c r="PLS2"/>
      <c r="PLU2"/>
      <c r="PLW2"/>
      <c r="PLY2"/>
      <c r="PMA2"/>
      <c r="PMC2"/>
      <c r="PME2"/>
      <c r="PMG2"/>
      <c r="PMI2"/>
      <c r="PMK2"/>
      <c r="PMM2"/>
      <c r="PMO2"/>
      <c r="PMQ2"/>
      <c r="PMS2"/>
      <c r="PMU2"/>
      <c r="PMW2"/>
      <c r="PMY2"/>
      <c r="PNA2"/>
      <c r="PNC2"/>
      <c r="PNE2"/>
      <c r="PNG2"/>
      <c r="PNI2"/>
      <c r="PNK2"/>
      <c r="PNM2"/>
      <c r="PNO2"/>
      <c r="PNQ2"/>
      <c r="PNS2"/>
      <c r="PNU2"/>
      <c r="PNW2"/>
      <c r="PNY2"/>
      <c r="POA2"/>
      <c r="POC2"/>
      <c r="POE2"/>
      <c r="POG2"/>
      <c r="POI2"/>
      <c r="POK2"/>
      <c r="POM2"/>
      <c r="POO2"/>
      <c r="POQ2"/>
      <c r="POS2"/>
      <c r="POU2"/>
      <c r="POW2"/>
      <c r="POY2"/>
      <c r="PPA2"/>
      <c r="PPC2"/>
      <c r="PPE2"/>
      <c r="PPG2"/>
      <c r="PPI2"/>
      <c r="PPK2"/>
      <c r="PPM2"/>
      <c r="PPO2"/>
      <c r="PPQ2"/>
      <c r="PPS2"/>
      <c r="PPU2"/>
      <c r="PPW2"/>
      <c r="PPY2"/>
      <c r="PQA2"/>
      <c r="PQC2"/>
      <c r="PQE2"/>
      <c r="PQG2"/>
      <c r="PQI2"/>
      <c r="PQK2"/>
      <c r="PQM2"/>
      <c r="PQO2"/>
      <c r="PQQ2"/>
      <c r="PQS2"/>
      <c r="PQU2"/>
      <c r="PQW2"/>
      <c r="PQY2"/>
      <c r="PRA2"/>
      <c r="PRC2"/>
      <c r="PRE2"/>
      <c r="PRG2"/>
      <c r="PRI2"/>
      <c r="PRK2"/>
      <c r="PRM2"/>
      <c r="PRO2"/>
      <c r="PRQ2"/>
      <c r="PRS2"/>
      <c r="PRU2"/>
      <c r="PRW2"/>
      <c r="PRY2"/>
      <c r="PSA2"/>
      <c r="PSC2"/>
      <c r="PSE2"/>
      <c r="PSG2"/>
      <c r="PSI2"/>
      <c r="PSK2"/>
      <c r="PSM2"/>
      <c r="PSO2"/>
      <c r="PSQ2"/>
      <c r="PSS2"/>
      <c r="PSU2"/>
      <c r="PSW2"/>
      <c r="PSY2"/>
      <c r="PTA2"/>
      <c r="PTC2"/>
      <c r="PTE2"/>
      <c r="PTG2"/>
      <c r="PTI2"/>
      <c r="PTK2"/>
      <c r="PTM2"/>
      <c r="PTO2"/>
      <c r="PTQ2"/>
      <c r="PTS2"/>
      <c r="PTU2"/>
      <c r="PTW2"/>
      <c r="PTY2"/>
      <c r="PUA2"/>
      <c r="PUC2"/>
      <c r="PUE2"/>
      <c r="PUG2"/>
      <c r="PUI2"/>
      <c r="PUK2"/>
      <c r="PUM2"/>
      <c r="PUO2"/>
      <c r="PUQ2"/>
      <c r="PUS2"/>
      <c r="PUU2"/>
      <c r="PUW2"/>
      <c r="PUY2"/>
      <c r="PVA2"/>
      <c r="PVC2"/>
      <c r="PVE2"/>
      <c r="PVG2"/>
      <c r="PVI2"/>
      <c r="PVK2"/>
      <c r="PVM2"/>
      <c r="PVO2"/>
      <c r="PVQ2"/>
      <c r="PVS2"/>
      <c r="PVU2"/>
      <c r="PVW2"/>
      <c r="PVY2"/>
      <c r="PWA2"/>
      <c r="PWC2"/>
      <c r="PWE2"/>
      <c r="PWG2"/>
      <c r="PWI2"/>
      <c r="PWK2"/>
      <c r="PWM2"/>
      <c r="PWO2"/>
      <c r="PWQ2"/>
      <c r="PWS2"/>
      <c r="PWU2"/>
      <c r="PWW2"/>
      <c r="PWY2"/>
      <c r="PXA2"/>
      <c r="PXC2"/>
      <c r="PXE2"/>
      <c r="PXG2"/>
      <c r="PXI2"/>
      <c r="PXK2"/>
      <c r="PXM2"/>
      <c r="PXO2"/>
      <c r="PXQ2"/>
      <c r="PXS2"/>
      <c r="PXU2"/>
      <c r="PXW2"/>
      <c r="PXY2"/>
      <c r="PYA2"/>
      <c r="PYC2"/>
      <c r="PYE2"/>
      <c r="PYG2"/>
      <c r="PYI2"/>
      <c r="PYK2"/>
      <c r="PYM2"/>
      <c r="PYO2"/>
      <c r="PYQ2"/>
      <c r="PYS2"/>
      <c r="PYU2"/>
      <c r="PYW2"/>
      <c r="PYY2"/>
      <c r="PZA2"/>
      <c r="PZC2"/>
      <c r="PZE2"/>
      <c r="PZG2"/>
      <c r="PZI2"/>
      <c r="PZK2"/>
      <c r="PZM2"/>
      <c r="PZO2"/>
      <c r="PZQ2"/>
      <c r="PZS2"/>
      <c r="PZU2"/>
      <c r="PZW2"/>
      <c r="PZY2"/>
      <c r="QAA2"/>
      <c r="QAC2"/>
      <c r="QAE2"/>
      <c r="QAG2"/>
      <c r="QAI2"/>
      <c r="QAK2"/>
      <c r="QAM2"/>
      <c r="QAO2"/>
      <c r="QAQ2"/>
      <c r="QAS2"/>
      <c r="QAU2"/>
      <c r="QAW2"/>
      <c r="QAY2"/>
      <c r="QBA2"/>
      <c r="QBC2"/>
      <c r="QBE2"/>
      <c r="QBG2"/>
      <c r="QBI2"/>
      <c r="QBK2"/>
      <c r="QBM2"/>
      <c r="QBO2"/>
      <c r="QBQ2"/>
      <c r="QBS2"/>
      <c r="QBU2"/>
      <c r="QBW2"/>
      <c r="QBY2"/>
      <c r="QCA2"/>
      <c r="QCC2"/>
      <c r="QCE2"/>
      <c r="QCG2"/>
      <c r="QCI2"/>
      <c r="QCK2"/>
      <c r="QCM2"/>
      <c r="QCO2"/>
      <c r="QCQ2"/>
      <c r="QCS2"/>
      <c r="QCU2"/>
      <c r="QCW2"/>
      <c r="QCY2"/>
      <c r="QDA2"/>
      <c r="QDC2"/>
      <c r="QDE2"/>
      <c r="QDG2"/>
      <c r="QDI2"/>
      <c r="QDK2"/>
      <c r="QDM2"/>
      <c r="QDO2"/>
      <c r="QDQ2"/>
      <c r="QDS2"/>
      <c r="QDU2"/>
      <c r="QDW2"/>
      <c r="QDY2"/>
      <c r="QEA2"/>
      <c r="QEC2"/>
      <c r="QEE2"/>
      <c r="QEG2"/>
      <c r="QEI2"/>
      <c r="QEK2"/>
      <c r="QEM2"/>
      <c r="QEO2"/>
      <c r="QEQ2"/>
      <c r="QES2"/>
      <c r="QEU2"/>
      <c r="QEW2"/>
      <c r="QEY2"/>
      <c r="QFA2"/>
      <c r="QFC2"/>
      <c r="QFE2"/>
      <c r="QFG2"/>
      <c r="QFI2"/>
      <c r="QFK2"/>
      <c r="QFM2"/>
      <c r="QFO2"/>
      <c r="QFQ2"/>
      <c r="QFS2"/>
      <c r="QFU2"/>
      <c r="QFW2"/>
      <c r="QFY2"/>
      <c r="QGA2"/>
      <c r="QGC2"/>
      <c r="QGE2"/>
      <c r="QGG2"/>
      <c r="QGI2"/>
      <c r="QGK2"/>
      <c r="QGM2"/>
      <c r="QGO2"/>
      <c r="QGQ2"/>
      <c r="QGS2"/>
      <c r="QGU2"/>
      <c r="QGW2"/>
      <c r="QGY2"/>
      <c r="QHA2"/>
      <c r="QHC2"/>
      <c r="QHE2"/>
      <c r="QHG2"/>
      <c r="QHI2"/>
      <c r="QHK2"/>
      <c r="QHM2"/>
      <c r="QHO2"/>
      <c r="QHQ2"/>
      <c r="QHS2"/>
      <c r="QHU2"/>
      <c r="QHW2"/>
      <c r="QHY2"/>
      <c r="QIA2"/>
      <c r="QIC2"/>
      <c r="QIE2"/>
      <c r="QIG2"/>
      <c r="QII2"/>
      <c r="QIK2"/>
      <c r="QIM2"/>
      <c r="QIO2"/>
      <c r="QIQ2"/>
      <c r="QIS2"/>
      <c r="QIU2"/>
      <c r="QIW2"/>
      <c r="QIY2"/>
      <c r="QJA2"/>
      <c r="QJC2"/>
      <c r="QJE2"/>
      <c r="QJG2"/>
      <c r="QJI2"/>
      <c r="QJK2"/>
      <c r="QJM2"/>
      <c r="QJO2"/>
      <c r="QJQ2"/>
      <c r="QJS2"/>
      <c r="QJU2"/>
      <c r="QJW2"/>
      <c r="QJY2"/>
      <c r="QKA2"/>
      <c r="QKC2"/>
      <c r="QKE2"/>
      <c r="QKG2"/>
      <c r="QKI2"/>
      <c r="QKK2"/>
      <c r="QKM2"/>
      <c r="QKO2"/>
      <c r="QKQ2"/>
      <c r="QKS2"/>
      <c r="QKU2"/>
      <c r="QKW2"/>
      <c r="QKY2"/>
      <c r="QLA2"/>
      <c r="QLC2"/>
      <c r="QLE2"/>
      <c r="QLG2"/>
      <c r="QLI2"/>
      <c r="QLK2"/>
      <c r="QLM2"/>
      <c r="QLO2"/>
      <c r="QLQ2"/>
      <c r="QLS2"/>
      <c r="QLU2"/>
      <c r="QLW2"/>
      <c r="QLY2"/>
      <c r="QMA2"/>
      <c r="QMC2"/>
      <c r="QME2"/>
      <c r="QMG2"/>
      <c r="QMI2"/>
      <c r="QMK2"/>
      <c r="QMM2"/>
      <c r="QMO2"/>
      <c r="QMQ2"/>
      <c r="QMS2"/>
      <c r="QMU2"/>
      <c r="QMW2"/>
      <c r="QMY2"/>
      <c r="QNA2"/>
      <c r="QNC2"/>
      <c r="QNE2"/>
      <c r="QNG2"/>
      <c r="QNI2"/>
      <c r="QNK2"/>
      <c r="QNM2"/>
      <c r="QNO2"/>
      <c r="QNQ2"/>
      <c r="QNS2"/>
      <c r="QNU2"/>
      <c r="QNW2"/>
      <c r="QNY2"/>
      <c r="QOA2"/>
      <c r="QOC2"/>
      <c r="QOE2"/>
      <c r="QOG2"/>
      <c r="QOI2"/>
      <c r="QOK2"/>
      <c r="QOM2"/>
      <c r="QOO2"/>
      <c r="QOQ2"/>
      <c r="QOS2"/>
      <c r="QOU2"/>
      <c r="QOW2"/>
      <c r="QOY2"/>
      <c r="QPA2"/>
      <c r="QPC2"/>
      <c r="QPE2"/>
      <c r="QPG2"/>
      <c r="QPI2"/>
      <c r="QPK2"/>
      <c r="QPM2"/>
      <c r="QPO2"/>
      <c r="QPQ2"/>
      <c r="QPS2"/>
      <c r="QPU2"/>
      <c r="QPW2"/>
      <c r="QPY2"/>
      <c r="QQA2"/>
      <c r="QQC2"/>
      <c r="QQE2"/>
      <c r="QQG2"/>
      <c r="QQI2"/>
      <c r="QQK2"/>
      <c r="QQM2"/>
      <c r="QQO2"/>
      <c r="QQQ2"/>
      <c r="QQS2"/>
      <c r="QQU2"/>
      <c r="QQW2"/>
      <c r="QQY2"/>
      <c r="QRA2"/>
      <c r="QRC2"/>
      <c r="QRE2"/>
      <c r="QRG2"/>
      <c r="QRI2"/>
      <c r="QRK2"/>
      <c r="QRM2"/>
      <c r="QRO2"/>
      <c r="QRQ2"/>
      <c r="QRS2"/>
      <c r="QRU2"/>
      <c r="QRW2"/>
      <c r="QRY2"/>
      <c r="QSA2"/>
      <c r="QSC2"/>
      <c r="QSE2"/>
      <c r="QSG2"/>
      <c r="QSI2"/>
      <c r="QSK2"/>
      <c r="QSM2"/>
      <c r="QSO2"/>
      <c r="QSQ2"/>
      <c r="QSS2"/>
      <c r="QSU2"/>
      <c r="QSW2"/>
      <c r="QSY2"/>
      <c r="QTA2"/>
      <c r="QTC2"/>
      <c r="QTE2"/>
      <c r="QTG2"/>
      <c r="QTI2"/>
      <c r="QTK2"/>
      <c r="QTM2"/>
      <c r="QTO2"/>
      <c r="QTQ2"/>
      <c r="QTS2"/>
      <c r="QTU2"/>
      <c r="QTW2"/>
      <c r="QTY2"/>
      <c r="QUA2"/>
      <c r="QUC2"/>
      <c r="QUE2"/>
      <c r="QUG2"/>
      <c r="QUI2"/>
      <c r="QUK2"/>
      <c r="QUM2"/>
      <c r="QUO2"/>
      <c r="QUQ2"/>
      <c r="QUS2"/>
      <c r="QUU2"/>
      <c r="QUW2"/>
      <c r="QUY2"/>
      <c r="QVA2"/>
      <c r="QVC2"/>
      <c r="QVE2"/>
      <c r="QVG2"/>
      <c r="QVI2"/>
      <c r="QVK2"/>
      <c r="QVM2"/>
      <c r="QVO2"/>
      <c r="QVQ2"/>
      <c r="QVS2"/>
      <c r="QVU2"/>
      <c r="QVW2"/>
      <c r="QVY2"/>
      <c r="QWA2"/>
      <c r="QWC2"/>
      <c r="QWE2"/>
      <c r="QWG2"/>
      <c r="QWI2"/>
      <c r="QWK2"/>
      <c r="QWM2"/>
      <c r="QWO2"/>
      <c r="QWQ2"/>
      <c r="QWS2"/>
      <c r="QWU2"/>
      <c r="QWW2"/>
      <c r="QWY2"/>
      <c r="QXA2"/>
      <c r="QXC2"/>
      <c r="QXE2"/>
      <c r="QXG2"/>
      <c r="QXI2"/>
      <c r="QXK2"/>
      <c r="QXM2"/>
      <c r="QXO2"/>
      <c r="QXQ2"/>
      <c r="QXS2"/>
      <c r="QXU2"/>
      <c r="QXW2"/>
      <c r="QXY2"/>
      <c r="QYA2"/>
      <c r="QYC2"/>
      <c r="QYE2"/>
      <c r="QYG2"/>
      <c r="QYI2"/>
      <c r="QYK2"/>
      <c r="QYM2"/>
      <c r="QYO2"/>
      <c r="QYQ2"/>
      <c r="QYS2"/>
      <c r="QYU2"/>
      <c r="QYW2"/>
      <c r="QYY2"/>
      <c r="QZA2"/>
      <c r="QZC2"/>
      <c r="QZE2"/>
      <c r="QZG2"/>
      <c r="QZI2"/>
      <c r="QZK2"/>
      <c r="QZM2"/>
      <c r="QZO2"/>
      <c r="QZQ2"/>
      <c r="QZS2"/>
      <c r="QZU2"/>
      <c r="QZW2"/>
      <c r="QZY2"/>
      <c r="RAA2"/>
      <c r="RAC2"/>
      <c r="RAE2"/>
      <c r="RAG2"/>
      <c r="RAI2"/>
      <c r="RAK2"/>
      <c r="RAM2"/>
      <c r="RAO2"/>
      <c r="RAQ2"/>
      <c r="RAS2"/>
      <c r="RAU2"/>
      <c r="RAW2"/>
      <c r="RAY2"/>
      <c r="RBA2"/>
      <c r="RBC2"/>
      <c r="RBE2"/>
      <c r="RBG2"/>
      <c r="RBI2"/>
      <c r="RBK2"/>
      <c r="RBM2"/>
      <c r="RBO2"/>
      <c r="RBQ2"/>
      <c r="RBS2"/>
      <c r="RBU2"/>
      <c r="RBW2"/>
      <c r="RBY2"/>
      <c r="RCA2"/>
      <c r="RCC2"/>
      <c r="RCE2"/>
      <c r="RCG2"/>
      <c r="RCI2"/>
      <c r="RCK2"/>
      <c r="RCM2"/>
      <c r="RCO2"/>
      <c r="RCQ2"/>
      <c r="RCS2"/>
      <c r="RCU2"/>
      <c r="RCW2"/>
      <c r="RCY2"/>
      <c r="RDA2"/>
      <c r="RDC2"/>
      <c r="RDE2"/>
      <c r="RDG2"/>
      <c r="RDI2"/>
      <c r="RDK2"/>
      <c r="RDM2"/>
      <c r="RDO2"/>
      <c r="RDQ2"/>
      <c r="RDS2"/>
      <c r="RDU2"/>
      <c r="RDW2"/>
      <c r="RDY2"/>
      <c r="REA2"/>
      <c r="REC2"/>
      <c r="REE2"/>
      <c r="REG2"/>
      <c r="REI2"/>
      <c r="REK2"/>
      <c r="REM2"/>
      <c r="REO2"/>
      <c r="REQ2"/>
      <c r="RES2"/>
      <c r="REU2"/>
      <c r="REW2"/>
      <c r="REY2"/>
      <c r="RFA2"/>
      <c r="RFC2"/>
      <c r="RFE2"/>
      <c r="RFG2"/>
      <c r="RFI2"/>
      <c r="RFK2"/>
      <c r="RFM2"/>
      <c r="RFO2"/>
      <c r="RFQ2"/>
      <c r="RFS2"/>
      <c r="RFU2"/>
      <c r="RFW2"/>
      <c r="RFY2"/>
      <c r="RGA2"/>
      <c r="RGC2"/>
      <c r="RGE2"/>
      <c r="RGG2"/>
      <c r="RGI2"/>
      <c r="RGK2"/>
      <c r="RGM2"/>
      <c r="RGO2"/>
      <c r="RGQ2"/>
      <c r="RGS2"/>
      <c r="RGU2"/>
      <c r="RGW2"/>
      <c r="RGY2"/>
      <c r="RHA2"/>
      <c r="RHC2"/>
      <c r="RHE2"/>
      <c r="RHG2"/>
      <c r="RHI2"/>
      <c r="RHK2"/>
      <c r="RHM2"/>
      <c r="RHO2"/>
      <c r="RHQ2"/>
      <c r="RHS2"/>
      <c r="RHU2"/>
      <c r="RHW2"/>
      <c r="RHY2"/>
      <c r="RIA2"/>
      <c r="RIC2"/>
      <c r="RIE2"/>
      <c r="RIG2"/>
      <c r="RII2"/>
      <c r="RIK2"/>
      <c r="RIM2"/>
      <c r="RIO2"/>
      <c r="RIQ2"/>
      <c r="RIS2"/>
      <c r="RIU2"/>
      <c r="RIW2"/>
      <c r="RIY2"/>
      <c r="RJA2"/>
      <c r="RJC2"/>
      <c r="RJE2"/>
      <c r="RJG2"/>
      <c r="RJI2"/>
      <c r="RJK2"/>
      <c r="RJM2"/>
      <c r="RJO2"/>
      <c r="RJQ2"/>
      <c r="RJS2"/>
      <c r="RJU2"/>
      <c r="RJW2"/>
      <c r="RJY2"/>
      <c r="RKA2"/>
      <c r="RKC2"/>
      <c r="RKE2"/>
      <c r="RKG2"/>
      <c r="RKI2"/>
      <c r="RKK2"/>
      <c r="RKM2"/>
      <c r="RKO2"/>
      <c r="RKQ2"/>
      <c r="RKS2"/>
      <c r="RKU2"/>
      <c r="RKW2"/>
      <c r="RKY2"/>
      <c r="RLA2"/>
      <c r="RLC2"/>
      <c r="RLE2"/>
      <c r="RLG2"/>
      <c r="RLI2"/>
      <c r="RLK2"/>
      <c r="RLM2"/>
      <c r="RLO2"/>
      <c r="RLQ2"/>
      <c r="RLS2"/>
      <c r="RLU2"/>
      <c r="RLW2"/>
      <c r="RLY2"/>
      <c r="RMA2"/>
      <c r="RMC2"/>
      <c r="RME2"/>
      <c r="RMG2"/>
      <c r="RMI2"/>
      <c r="RMK2"/>
      <c r="RMM2"/>
      <c r="RMO2"/>
      <c r="RMQ2"/>
      <c r="RMS2"/>
      <c r="RMU2"/>
      <c r="RMW2"/>
      <c r="RMY2"/>
      <c r="RNA2"/>
      <c r="RNC2"/>
      <c r="RNE2"/>
      <c r="RNG2"/>
      <c r="RNI2"/>
      <c r="RNK2"/>
      <c r="RNM2"/>
      <c r="RNO2"/>
      <c r="RNQ2"/>
      <c r="RNS2"/>
      <c r="RNU2"/>
      <c r="RNW2"/>
      <c r="RNY2"/>
      <c r="ROA2"/>
      <c r="ROC2"/>
      <c r="ROE2"/>
      <c r="ROG2"/>
      <c r="ROI2"/>
      <c r="ROK2"/>
      <c r="ROM2"/>
      <c r="ROO2"/>
      <c r="ROQ2"/>
      <c r="ROS2"/>
      <c r="ROU2"/>
      <c r="ROW2"/>
      <c r="ROY2"/>
      <c r="RPA2"/>
      <c r="RPC2"/>
      <c r="RPE2"/>
      <c r="RPG2"/>
      <c r="RPI2"/>
      <c r="RPK2"/>
      <c r="RPM2"/>
      <c r="RPO2"/>
      <c r="RPQ2"/>
      <c r="RPS2"/>
      <c r="RPU2"/>
      <c r="RPW2"/>
      <c r="RPY2"/>
      <c r="RQA2"/>
      <c r="RQC2"/>
      <c r="RQE2"/>
      <c r="RQG2"/>
      <c r="RQI2"/>
      <c r="RQK2"/>
      <c r="RQM2"/>
      <c r="RQO2"/>
      <c r="RQQ2"/>
      <c r="RQS2"/>
      <c r="RQU2"/>
      <c r="RQW2"/>
      <c r="RQY2"/>
      <c r="RRA2"/>
      <c r="RRC2"/>
      <c r="RRE2"/>
      <c r="RRG2"/>
      <c r="RRI2"/>
      <c r="RRK2"/>
      <c r="RRM2"/>
      <c r="RRO2"/>
      <c r="RRQ2"/>
      <c r="RRS2"/>
      <c r="RRU2"/>
      <c r="RRW2"/>
      <c r="RRY2"/>
      <c r="RSA2"/>
      <c r="RSC2"/>
      <c r="RSE2"/>
      <c r="RSG2"/>
      <c r="RSI2"/>
      <c r="RSK2"/>
      <c r="RSM2"/>
      <c r="RSO2"/>
      <c r="RSQ2"/>
      <c r="RSS2"/>
      <c r="RSU2"/>
      <c r="RSW2"/>
      <c r="RSY2"/>
      <c r="RTA2"/>
      <c r="RTC2"/>
      <c r="RTE2"/>
      <c r="RTG2"/>
      <c r="RTI2"/>
      <c r="RTK2"/>
      <c r="RTM2"/>
      <c r="RTO2"/>
      <c r="RTQ2"/>
      <c r="RTS2"/>
      <c r="RTU2"/>
      <c r="RTW2"/>
      <c r="RTY2"/>
      <c r="RUA2"/>
      <c r="RUC2"/>
      <c r="RUE2"/>
      <c r="RUG2"/>
      <c r="RUI2"/>
      <c r="RUK2"/>
      <c r="RUM2"/>
      <c r="RUO2"/>
      <c r="RUQ2"/>
      <c r="RUS2"/>
      <c r="RUU2"/>
      <c r="RUW2"/>
      <c r="RUY2"/>
      <c r="RVA2"/>
      <c r="RVC2"/>
      <c r="RVE2"/>
      <c r="RVG2"/>
      <c r="RVI2"/>
      <c r="RVK2"/>
      <c r="RVM2"/>
      <c r="RVO2"/>
      <c r="RVQ2"/>
      <c r="RVS2"/>
      <c r="RVU2"/>
      <c r="RVW2"/>
      <c r="RVY2"/>
      <c r="RWA2"/>
      <c r="RWC2"/>
      <c r="RWE2"/>
      <c r="RWG2"/>
      <c r="RWI2"/>
      <c r="RWK2"/>
      <c r="RWM2"/>
      <c r="RWO2"/>
      <c r="RWQ2"/>
      <c r="RWS2"/>
      <c r="RWU2"/>
      <c r="RWW2"/>
      <c r="RWY2"/>
      <c r="RXA2"/>
      <c r="RXC2"/>
      <c r="RXE2"/>
      <c r="RXG2"/>
      <c r="RXI2"/>
      <c r="RXK2"/>
      <c r="RXM2"/>
      <c r="RXO2"/>
      <c r="RXQ2"/>
      <c r="RXS2"/>
      <c r="RXU2"/>
      <c r="RXW2"/>
      <c r="RXY2"/>
      <c r="RYA2"/>
      <c r="RYC2"/>
      <c r="RYE2"/>
      <c r="RYG2"/>
      <c r="RYI2"/>
      <c r="RYK2"/>
      <c r="RYM2"/>
      <c r="RYO2"/>
      <c r="RYQ2"/>
      <c r="RYS2"/>
      <c r="RYU2"/>
      <c r="RYW2"/>
      <c r="RYY2"/>
      <c r="RZA2"/>
      <c r="RZC2"/>
      <c r="RZE2"/>
      <c r="RZG2"/>
      <c r="RZI2"/>
      <c r="RZK2"/>
      <c r="RZM2"/>
      <c r="RZO2"/>
      <c r="RZQ2"/>
      <c r="RZS2"/>
      <c r="RZU2"/>
      <c r="RZW2"/>
      <c r="RZY2"/>
      <c r="SAA2"/>
      <c r="SAC2"/>
      <c r="SAE2"/>
      <c r="SAG2"/>
      <c r="SAI2"/>
      <c r="SAK2"/>
      <c r="SAM2"/>
      <c r="SAO2"/>
      <c r="SAQ2"/>
      <c r="SAS2"/>
      <c r="SAU2"/>
      <c r="SAW2"/>
      <c r="SAY2"/>
      <c r="SBA2"/>
      <c r="SBC2"/>
      <c r="SBE2"/>
      <c r="SBG2"/>
      <c r="SBI2"/>
      <c r="SBK2"/>
      <c r="SBM2"/>
      <c r="SBO2"/>
      <c r="SBQ2"/>
      <c r="SBS2"/>
      <c r="SBU2"/>
      <c r="SBW2"/>
      <c r="SBY2"/>
      <c r="SCA2"/>
      <c r="SCC2"/>
      <c r="SCE2"/>
      <c r="SCG2"/>
      <c r="SCI2"/>
      <c r="SCK2"/>
      <c r="SCM2"/>
      <c r="SCO2"/>
      <c r="SCQ2"/>
      <c r="SCS2"/>
      <c r="SCU2"/>
      <c r="SCW2"/>
      <c r="SCY2"/>
      <c r="SDA2"/>
      <c r="SDC2"/>
      <c r="SDE2"/>
      <c r="SDG2"/>
      <c r="SDI2"/>
      <c r="SDK2"/>
      <c r="SDM2"/>
      <c r="SDO2"/>
      <c r="SDQ2"/>
      <c r="SDS2"/>
      <c r="SDU2"/>
      <c r="SDW2"/>
      <c r="SDY2"/>
      <c r="SEA2"/>
      <c r="SEC2"/>
      <c r="SEE2"/>
      <c r="SEG2"/>
      <c r="SEI2"/>
      <c r="SEK2"/>
      <c r="SEM2"/>
      <c r="SEO2"/>
      <c r="SEQ2"/>
      <c r="SES2"/>
      <c r="SEU2"/>
      <c r="SEW2"/>
      <c r="SEY2"/>
      <c r="SFA2"/>
      <c r="SFC2"/>
      <c r="SFE2"/>
      <c r="SFG2"/>
      <c r="SFI2"/>
      <c r="SFK2"/>
      <c r="SFM2"/>
      <c r="SFO2"/>
      <c r="SFQ2"/>
      <c r="SFS2"/>
      <c r="SFU2"/>
      <c r="SFW2"/>
      <c r="SFY2"/>
      <c r="SGA2"/>
      <c r="SGC2"/>
      <c r="SGE2"/>
      <c r="SGG2"/>
      <c r="SGI2"/>
      <c r="SGK2"/>
      <c r="SGM2"/>
      <c r="SGO2"/>
      <c r="SGQ2"/>
      <c r="SGS2"/>
      <c r="SGU2"/>
      <c r="SGW2"/>
      <c r="SGY2"/>
      <c r="SHA2"/>
      <c r="SHC2"/>
      <c r="SHE2"/>
      <c r="SHG2"/>
      <c r="SHI2"/>
      <c r="SHK2"/>
      <c r="SHM2"/>
      <c r="SHO2"/>
      <c r="SHQ2"/>
      <c r="SHS2"/>
      <c r="SHU2"/>
      <c r="SHW2"/>
      <c r="SHY2"/>
      <c r="SIA2"/>
      <c r="SIC2"/>
      <c r="SIE2"/>
      <c r="SIG2"/>
      <c r="SII2"/>
      <c r="SIK2"/>
      <c r="SIM2"/>
      <c r="SIO2"/>
      <c r="SIQ2"/>
      <c r="SIS2"/>
      <c r="SIU2"/>
      <c r="SIW2"/>
      <c r="SIY2"/>
      <c r="SJA2"/>
      <c r="SJC2"/>
      <c r="SJE2"/>
      <c r="SJG2"/>
      <c r="SJI2"/>
      <c r="SJK2"/>
      <c r="SJM2"/>
      <c r="SJO2"/>
      <c r="SJQ2"/>
      <c r="SJS2"/>
      <c r="SJU2"/>
      <c r="SJW2"/>
      <c r="SJY2"/>
      <c r="SKA2"/>
      <c r="SKC2"/>
      <c r="SKE2"/>
      <c r="SKG2"/>
      <c r="SKI2"/>
      <c r="SKK2"/>
      <c r="SKM2"/>
      <c r="SKO2"/>
      <c r="SKQ2"/>
      <c r="SKS2"/>
      <c r="SKU2"/>
      <c r="SKW2"/>
      <c r="SKY2"/>
      <c r="SLA2"/>
      <c r="SLC2"/>
      <c r="SLE2"/>
      <c r="SLG2"/>
      <c r="SLI2"/>
      <c r="SLK2"/>
      <c r="SLM2"/>
      <c r="SLO2"/>
      <c r="SLQ2"/>
      <c r="SLS2"/>
      <c r="SLU2"/>
      <c r="SLW2"/>
      <c r="SLY2"/>
      <c r="SMA2"/>
      <c r="SMC2"/>
      <c r="SME2"/>
      <c r="SMG2"/>
      <c r="SMI2"/>
      <c r="SMK2"/>
      <c r="SMM2"/>
      <c r="SMO2"/>
      <c r="SMQ2"/>
      <c r="SMS2"/>
      <c r="SMU2"/>
      <c r="SMW2"/>
      <c r="SMY2"/>
      <c r="SNA2"/>
      <c r="SNC2"/>
      <c r="SNE2"/>
      <c r="SNG2"/>
      <c r="SNI2"/>
      <c r="SNK2"/>
      <c r="SNM2"/>
      <c r="SNO2"/>
      <c r="SNQ2"/>
      <c r="SNS2"/>
      <c r="SNU2"/>
      <c r="SNW2"/>
      <c r="SNY2"/>
      <c r="SOA2"/>
      <c r="SOC2"/>
      <c r="SOE2"/>
      <c r="SOG2"/>
      <c r="SOI2"/>
      <c r="SOK2"/>
      <c r="SOM2"/>
      <c r="SOO2"/>
      <c r="SOQ2"/>
      <c r="SOS2"/>
      <c r="SOU2"/>
      <c r="SOW2"/>
      <c r="SOY2"/>
      <c r="SPA2"/>
      <c r="SPC2"/>
      <c r="SPE2"/>
      <c r="SPG2"/>
      <c r="SPI2"/>
      <c r="SPK2"/>
      <c r="SPM2"/>
      <c r="SPO2"/>
      <c r="SPQ2"/>
      <c r="SPS2"/>
      <c r="SPU2"/>
      <c r="SPW2"/>
      <c r="SPY2"/>
      <c r="SQA2"/>
      <c r="SQC2"/>
      <c r="SQE2"/>
      <c r="SQG2"/>
      <c r="SQI2"/>
      <c r="SQK2"/>
      <c r="SQM2"/>
      <c r="SQO2"/>
      <c r="SQQ2"/>
      <c r="SQS2"/>
      <c r="SQU2"/>
      <c r="SQW2"/>
      <c r="SQY2"/>
      <c r="SRA2"/>
      <c r="SRC2"/>
      <c r="SRE2"/>
      <c r="SRG2"/>
      <c r="SRI2"/>
      <c r="SRK2"/>
      <c r="SRM2"/>
      <c r="SRO2"/>
      <c r="SRQ2"/>
      <c r="SRS2"/>
      <c r="SRU2"/>
      <c r="SRW2"/>
      <c r="SRY2"/>
      <c r="SSA2"/>
      <c r="SSC2"/>
      <c r="SSE2"/>
      <c r="SSG2"/>
      <c r="SSI2"/>
      <c r="SSK2"/>
      <c r="SSM2"/>
      <c r="SSO2"/>
      <c r="SSQ2"/>
      <c r="SSS2"/>
      <c r="SSU2"/>
      <c r="SSW2"/>
      <c r="SSY2"/>
      <c r="STA2"/>
      <c r="STC2"/>
      <c r="STE2"/>
      <c r="STG2"/>
      <c r="STI2"/>
      <c r="STK2"/>
      <c r="STM2"/>
      <c r="STO2"/>
      <c r="STQ2"/>
      <c r="STS2"/>
      <c r="STU2"/>
      <c r="STW2"/>
      <c r="STY2"/>
      <c r="SUA2"/>
      <c r="SUC2"/>
      <c r="SUE2"/>
      <c r="SUG2"/>
      <c r="SUI2"/>
      <c r="SUK2"/>
      <c r="SUM2"/>
      <c r="SUO2"/>
      <c r="SUQ2"/>
      <c r="SUS2"/>
      <c r="SUU2"/>
      <c r="SUW2"/>
      <c r="SUY2"/>
      <c r="SVA2"/>
      <c r="SVC2"/>
      <c r="SVE2"/>
      <c r="SVG2"/>
      <c r="SVI2"/>
      <c r="SVK2"/>
      <c r="SVM2"/>
      <c r="SVO2"/>
      <c r="SVQ2"/>
      <c r="SVS2"/>
      <c r="SVU2"/>
      <c r="SVW2"/>
      <c r="SVY2"/>
      <c r="SWA2"/>
      <c r="SWC2"/>
      <c r="SWE2"/>
      <c r="SWG2"/>
      <c r="SWI2"/>
      <c r="SWK2"/>
      <c r="SWM2"/>
      <c r="SWO2"/>
      <c r="SWQ2"/>
      <c r="SWS2"/>
      <c r="SWU2"/>
      <c r="SWW2"/>
      <c r="SWY2"/>
      <c r="SXA2"/>
      <c r="SXC2"/>
      <c r="SXE2"/>
      <c r="SXG2"/>
      <c r="SXI2"/>
      <c r="SXK2"/>
      <c r="SXM2"/>
      <c r="SXO2"/>
      <c r="SXQ2"/>
      <c r="SXS2"/>
      <c r="SXU2"/>
      <c r="SXW2"/>
      <c r="SXY2"/>
      <c r="SYA2"/>
      <c r="SYC2"/>
      <c r="SYE2"/>
      <c r="SYG2"/>
      <c r="SYI2"/>
      <c r="SYK2"/>
      <c r="SYM2"/>
      <c r="SYO2"/>
      <c r="SYQ2"/>
      <c r="SYS2"/>
      <c r="SYU2"/>
      <c r="SYW2"/>
      <c r="SYY2"/>
      <c r="SZA2"/>
      <c r="SZC2"/>
      <c r="SZE2"/>
      <c r="SZG2"/>
      <c r="SZI2"/>
      <c r="SZK2"/>
      <c r="SZM2"/>
      <c r="SZO2"/>
      <c r="SZQ2"/>
      <c r="SZS2"/>
      <c r="SZU2"/>
      <c r="SZW2"/>
      <c r="SZY2"/>
      <c r="TAA2"/>
      <c r="TAC2"/>
      <c r="TAE2"/>
      <c r="TAG2"/>
      <c r="TAI2"/>
      <c r="TAK2"/>
      <c r="TAM2"/>
      <c r="TAO2"/>
      <c r="TAQ2"/>
      <c r="TAS2"/>
      <c r="TAU2"/>
      <c r="TAW2"/>
      <c r="TAY2"/>
      <c r="TBA2"/>
      <c r="TBC2"/>
      <c r="TBE2"/>
      <c r="TBG2"/>
      <c r="TBI2"/>
      <c r="TBK2"/>
      <c r="TBM2"/>
      <c r="TBO2"/>
      <c r="TBQ2"/>
      <c r="TBS2"/>
      <c r="TBU2"/>
      <c r="TBW2"/>
      <c r="TBY2"/>
      <c r="TCA2"/>
      <c r="TCC2"/>
      <c r="TCE2"/>
      <c r="TCG2"/>
      <c r="TCI2"/>
      <c r="TCK2"/>
      <c r="TCM2"/>
      <c r="TCO2"/>
      <c r="TCQ2"/>
      <c r="TCS2"/>
      <c r="TCU2"/>
      <c r="TCW2"/>
      <c r="TCY2"/>
      <c r="TDA2"/>
      <c r="TDC2"/>
      <c r="TDE2"/>
      <c r="TDG2"/>
      <c r="TDI2"/>
      <c r="TDK2"/>
      <c r="TDM2"/>
      <c r="TDO2"/>
      <c r="TDQ2"/>
      <c r="TDS2"/>
      <c r="TDU2"/>
      <c r="TDW2"/>
      <c r="TDY2"/>
      <c r="TEA2"/>
      <c r="TEC2"/>
      <c r="TEE2"/>
      <c r="TEG2"/>
      <c r="TEI2"/>
      <c r="TEK2"/>
      <c r="TEM2"/>
      <c r="TEO2"/>
      <c r="TEQ2"/>
      <c r="TES2"/>
      <c r="TEU2"/>
      <c r="TEW2"/>
      <c r="TEY2"/>
      <c r="TFA2"/>
      <c r="TFC2"/>
      <c r="TFE2"/>
      <c r="TFG2"/>
      <c r="TFI2"/>
      <c r="TFK2"/>
      <c r="TFM2"/>
      <c r="TFO2"/>
      <c r="TFQ2"/>
      <c r="TFS2"/>
      <c r="TFU2"/>
      <c r="TFW2"/>
      <c r="TFY2"/>
      <c r="TGA2"/>
      <c r="TGC2"/>
      <c r="TGE2"/>
      <c r="TGG2"/>
      <c r="TGI2"/>
      <c r="TGK2"/>
      <c r="TGM2"/>
      <c r="TGO2"/>
      <c r="TGQ2"/>
      <c r="TGS2"/>
      <c r="TGU2"/>
      <c r="TGW2"/>
      <c r="TGY2"/>
      <c r="THA2"/>
      <c r="THC2"/>
      <c r="THE2"/>
      <c r="THG2"/>
      <c r="THI2"/>
      <c r="THK2"/>
      <c r="THM2"/>
      <c r="THO2"/>
      <c r="THQ2"/>
      <c r="THS2"/>
      <c r="THU2"/>
      <c r="THW2"/>
      <c r="THY2"/>
      <c r="TIA2"/>
      <c r="TIC2"/>
      <c r="TIE2"/>
      <c r="TIG2"/>
      <c r="TII2"/>
      <c r="TIK2"/>
      <c r="TIM2"/>
      <c r="TIO2"/>
      <c r="TIQ2"/>
      <c r="TIS2"/>
      <c r="TIU2"/>
      <c r="TIW2"/>
      <c r="TIY2"/>
      <c r="TJA2"/>
      <c r="TJC2"/>
      <c r="TJE2"/>
      <c r="TJG2"/>
      <c r="TJI2"/>
      <c r="TJK2"/>
      <c r="TJM2"/>
      <c r="TJO2"/>
      <c r="TJQ2"/>
      <c r="TJS2"/>
      <c r="TJU2"/>
      <c r="TJW2"/>
      <c r="TJY2"/>
      <c r="TKA2"/>
      <c r="TKC2"/>
      <c r="TKE2"/>
      <c r="TKG2"/>
      <c r="TKI2"/>
      <c r="TKK2"/>
      <c r="TKM2"/>
      <c r="TKO2"/>
      <c r="TKQ2"/>
      <c r="TKS2"/>
      <c r="TKU2"/>
      <c r="TKW2"/>
      <c r="TKY2"/>
      <c r="TLA2"/>
      <c r="TLC2"/>
      <c r="TLE2"/>
      <c r="TLG2"/>
      <c r="TLI2"/>
      <c r="TLK2"/>
      <c r="TLM2"/>
      <c r="TLO2"/>
      <c r="TLQ2"/>
      <c r="TLS2"/>
      <c r="TLU2"/>
      <c r="TLW2"/>
      <c r="TLY2"/>
      <c r="TMA2"/>
      <c r="TMC2"/>
      <c r="TME2"/>
      <c r="TMG2"/>
      <c r="TMI2"/>
      <c r="TMK2"/>
      <c r="TMM2"/>
      <c r="TMO2"/>
      <c r="TMQ2"/>
      <c r="TMS2"/>
      <c r="TMU2"/>
      <c r="TMW2"/>
      <c r="TMY2"/>
      <c r="TNA2"/>
      <c r="TNC2"/>
      <c r="TNE2"/>
      <c r="TNG2"/>
      <c r="TNI2"/>
      <c r="TNK2"/>
      <c r="TNM2"/>
      <c r="TNO2"/>
      <c r="TNQ2"/>
      <c r="TNS2"/>
      <c r="TNU2"/>
      <c r="TNW2"/>
      <c r="TNY2"/>
      <c r="TOA2"/>
      <c r="TOC2"/>
      <c r="TOE2"/>
      <c r="TOG2"/>
      <c r="TOI2"/>
      <c r="TOK2"/>
      <c r="TOM2"/>
      <c r="TOO2"/>
      <c r="TOQ2"/>
      <c r="TOS2"/>
      <c r="TOU2"/>
      <c r="TOW2"/>
      <c r="TOY2"/>
      <c r="TPA2"/>
      <c r="TPC2"/>
      <c r="TPE2"/>
      <c r="TPG2"/>
      <c r="TPI2"/>
      <c r="TPK2"/>
      <c r="TPM2"/>
      <c r="TPO2"/>
      <c r="TPQ2"/>
      <c r="TPS2"/>
      <c r="TPU2"/>
      <c r="TPW2"/>
      <c r="TPY2"/>
      <c r="TQA2"/>
      <c r="TQC2"/>
      <c r="TQE2"/>
      <c r="TQG2"/>
      <c r="TQI2"/>
      <c r="TQK2"/>
      <c r="TQM2"/>
      <c r="TQO2"/>
      <c r="TQQ2"/>
      <c r="TQS2"/>
      <c r="TQU2"/>
      <c r="TQW2"/>
      <c r="TQY2"/>
      <c r="TRA2"/>
      <c r="TRC2"/>
      <c r="TRE2"/>
      <c r="TRG2"/>
      <c r="TRI2"/>
      <c r="TRK2"/>
      <c r="TRM2"/>
      <c r="TRO2"/>
      <c r="TRQ2"/>
      <c r="TRS2"/>
      <c r="TRU2"/>
      <c r="TRW2"/>
      <c r="TRY2"/>
      <c r="TSA2"/>
      <c r="TSC2"/>
      <c r="TSE2"/>
      <c r="TSG2"/>
      <c r="TSI2"/>
      <c r="TSK2"/>
      <c r="TSM2"/>
      <c r="TSO2"/>
      <c r="TSQ2"/>
      <c r="TSS2"/>
      <c r="TSU2"/>
      <c r="TSW2"/>
      <c r="TSY2"/>
      <c r="TTA2"/>
      <c r="TTC2"/>
      <c r="TTE2"/>
      <c r="TTG2"/>
      <c r="TTI2"/>
      <c r="TTK2"/>
      <c r="TTM2"/>
      <c r="TTO2"/>
      <c r="TTQ2"/>
      <c r="TTS2"/>
      <c r="TTU2"/>
      <c r="TTW2"/>
      <c r="TTY2"/>
      <c r="TUA2"/>
      <c r="TUC2"/>
      <c r="TUE2"/>
      <c r="TUG2"/>
      <c r="TUI2"/>
      <c r="TUK2"/>
      <c r="TUM2"/>
      <c r="TUO2"/>
      <c r="TUQ2"/>
      <c r="TUS2"/>
      <c r="TUU2"/>
      <c r="TUW2"/>
      <c r="TUY2"/>
      <c r="TVA2"/>
      <c r="TVC2"/>
      <c r="TVE2"/>
      <c r="TVG2"/>
      <c r="TVI2"/>
      <c r="TVK2"/>
      <c r="TVM2"/>
      <c r="TVO2"/>
      <c r="TVQ2"/>
      <c r="TVS2"/>
      <c r="TVU2"/>
      <c r="TVW2"/>
      <c r="TVY2"/>
      <c r="TWA2"/>
      <c r="TWC2"/>
      <c r="TWE2"/>
      <c r="TWG2"/>
      <c r="TWI2"/>
      <c r="TWK2"/>
      <c r="TWM2"/>
      <c r="TWO2"/>
      <c r="TWQ2"/>
      <c r="TWS2"/>
      <c r="TWU2"/>
      <c r="TWW2"/>
      <c r="TWY2"/>
      <c r="TXA2"/>
      <c r="TXC2"/>
      <c r="TXE2"/>
      <c r="TXG2"/>
      <c r="TXI2"/>
      <c r="TXK2"/>
      <c r="TXM2"/>
      <c r="TXO2"/>
      <c r="TXQ2"/>
      <c r="TXS2"/>
      <c r="TXU2"/>
      <c r="TXW2"/>
      <c r="TXY2"/>
      <c r="TYA2"/>
      <c r="TYC2"/>
      <c r="TYE2"/>
      <c r="TYG2"/>
      <c r="TYI2"/>
      <c r="TYK2"/>
      <c r="TYM2"/>
      <c r="TYO2"/>
      <c r="TYQ2"/>
      <c r="TYS2"/>
      <c r="TYU2"/>
      <c r="TYW2"/>
      <c r="TYY2"/>
      <c r="TZA2"/>
      <c r="TZC2"/>
      <c r="TZE2"/>
      <c r="TZG2"/>
      <c r="TZI2"/>
      <c r="TZK2"/>
      <c r="TZM2"/>
      <c r="TZO2"/>
      <c r="TZQ2"/>
      <c r="TZS2"/>
      <c r="TZU2"/>
      <c r="TZW2"/>
      <c r="TZY2"/>
      <c r="UAA2"/>
      <c r="UAC2"/>
      <c r="UAE2"/>
      <c r="UAG2"/>
      <c r="UAI2"/>
      <c r="UAK2"/>
      <c r="UAM2"/>
      <c r="UAO2"/>
      <c r="UAQ2"/>
      <c r="UAS2"/>
      <c r="UAU2"/>
      <c r="UAW2"/>
      <c r="UAY2"/>
      <c r="UBA2"/>
      <c r="UBC2"/>
      <c r="UBE2"/>
      <c r="UBG2"/>
      <c r="UBI2"/>
      <c r="UBK2"/>
      <c r="UBM2"/>
      <c r="UBO2"/>
      <c r="UBQ2"/>
      <c r="UBS2"/>
      <c r="UBU2"/>
      <c r="UBW2"/>
      <c r="UBY2"/>
      <c r="UCA2"/>
      <c r="UCC2"/>
      <c r="UCE2"/>
      <c r="UCG2"/>
      <c r="UCI2"/>
      <c r="UCK2"/>
      <c r="UCM2"/>
      <c r="UCO2"/>
      <c r="UCQ2"/>
      <c r="UCS2"/>
      <c r="UCU2"/>
      <c r="UCW2"/>
      <c r="UCY2"/>
      <c r="UDA2"/>
      <c r="UDC2"/>
      <c r="UDE2"/>
      <c r="UDG2"/>
      <c r="UDI2"/>
      <c r="UDK2"/>
      <c r="UDM2"/>
      <c r="UDO2"/>
      <c r="UDQ2"/>
      <c r="UDS2"/>
      <c r="UDU2"/>
      <c r="UDW2"/>
      <c r="UDY2"/>
      <c r="UEA2"/>
      <c r="UEC2"/>
      <c r="UEE2"/>
      <c r="UEG2"/>
      <c r="UEI2"/>
      <c r="UEK2"/>
      <c r="UEM2"/>
      <c r="UEO2"/>
      <c r="UEQ2"/>
      <c r="UES2"/>
      <c r="UEU2"/>
      <c r="UEW2"/>
      <c r="UEY2"/>
      <c r="UFA2"/>
      <c r="UFC2"/>
      <c r="UFE2"/>
      <c r="UFG2"/>
      <c r="UFI2"/>
      <c r="UFK2"/>
      <c r="UFM2"/>
      <c r="UFO2"/>
      <c r="UFQ2"/>
      <c r="UFS2"/>
      <c r="UFU2"/>
      <c r="UFW2"/>
      <c r="UFY2"/>
      <c r="UGA2"/>
      <c r="UGC2"/>
      <c r="UGE2"/>
      <c r="UGG2"/>
      <c r="UGI2"/>
      <c r="UGK2"/>
      <c r="UGM2"/>
      <c r="UGO2"/>
      <c r="UGQ2"/>
      <c r="UGS2"/>
      <c r="UGU2"/>
      <c r="UGW2"/>
      <c r="UGY2"/>
      <c r="UHA2"/>
      <c r="UHC2"/>
      <c r="UHE2"/>
      <c r="UHG2"/>
      <c r="UHI2"/>
      <c r="UHK2"/>
      <c r="UHM2"/>
      <c r="UHO2"/>
      <c r="UHQ2"/>
      <c r="UHS2"/>
      <c r="UHU2"/>
      <c r="UHW2"/>
      <c r="UHY2"/>
      <c r="UIA2"/>
      <c r="UIC2"/>
      <c r="UIE2"/>
      <c r="UIG2"/>
      <c r="UII2"/>
      <c r="UIK2"/>
      <c r="UIM2"/>
      <c r="UIO2"/>
      <c r="UIQ2"/>
      <c r="UIS2"/>
      <c r="UIU2"/>
      <c r="UIW2"/>
      <c r="UIY2"/>
      <c r="UJA2"/>
      <c r="UJC2"/>
      <c r="UJE2"/>
      <c r="UJG2"/>
      <c r="UJI2"/>
      <c r="UJK2"/>
      <c r="UJM2"/>
      <c r="UJO2"/>
      <c r="UJQ2"/>
      <c r="UJS2"/>
      <c r="UJU2"/>
      <c r="UJW2"/>
      <c r="UJY2"/>
      <c r="UKA2"/>
      <c r="UKC2"/>
      <c r="UKE2"/>
      <c r="UKG2"/>
      <c r="UKI2"/>
      <c r="UKK2"/>
      <c r="UKM2"/>
      <c r="UKO2"/>
      <c r="UKQ2"/>
      <c r="UKS2"/>
      <c r="UKU2"/>
      <c r="UKW2"/>
      <c r="UKY2"/>
      <c r="ULA2"/>
      <c r="ULC2"/>
      <c r="ULE2"/>
      <c r="ULG2"/>
      <c r="ULI2"/>
      <c r="ULK2"/>
      <c r="ULM2"/>
      <c r="ULO2"/>
      <c r="ULQ2"/>
      <c r="ULS2"/>
      <c r="ULU2"/>
      <c r="ULW2"/>
      <c r="ULY2"/>
      <c r="UMA2"/>
      <c r="UMC2"/>
      <c r="UME2"/>
      <c r="UMG2"/>
      <c r="UMI2"/>
      <c r="UMK2"/>
      <c r="UMM2"/>
      <c r="UMO2"/>
      <c r="UMQ2"/>
      <c r="UMS2"/>
      <c r="UMU2"/>
      <c r="UMW2"/>
      <c r="UMY2"/>
      <c r="UNA2"/>
      <c r="UNC2"/>
      <c r="UNE2"/>
      <c r="UNG2"/>
      <c r="UNI2"/>
      <c r="UNK2"/>
      <c r="UNM2"/>
      <c r="UNO2"/>
      <c r="UNQ2"/>
      <c r="UNS2"/>
      <c r="UNU2"/>
      <c r="UNW2"/>
      <c r="UNY2"/>
      <c r="UOA2"/>
      <c r="UOC2"/>
      <c r="UOE2"/>
      <c r="UOG2"/>
      <c r="UOI2"/>
      <c r="UOK2"/>
      <c r="UOM2"/>
      <c r="UOO2"/>
      <c r="UOQ2"/>
      <c r="UOS2"/>
      <c r="UOU2"/>
      <c r="UOW2"/>
      <c r="UOY2"/>
      <c r="UPA2"/>
      <c r="UPC2"/>
      <c r="UPE2"/>
      <c r="UPG2"/>
      <c r="UPI2"/>
      <c r="UPK2"/>
      <c r="UPM2"/>
      <c r="UPO2"/>
      <c r="UPQ2"/>
      <c r="UPS2"/>
      <c r="UPU2"/>
      <c r="UPW2"/>
      <c r="UPY2"/>
      <c r="UQA2"/>
      <c r="UQC2"/>
      <c r="UQE2"/>
      <c r="UQG2"/>
      <c r="UQI2"/>
      <c r="UQK2"/>
      <c r="UQM2"/>
      <c r="UQO2"/>
      <c r="UQQ2"/>
      <c r="UQS2"/>
      <c r="UQU2"/>
      <c r="UQW2"/>
      <c r="UQY2"/>
      <c r="URA2"/>
      <c r="URC2"/>
      <c r="URE2"/>
      <c r="URG2"/>
      <c r="URI2"/>
      <c r="URK2"/>
      <c r="URM2"/>
      <c r="URO2"/>
      <c r="URQ2"/>
      <c r="URS2"/>
      <c r="URU2"/>
      <c r="URW2"/>
      <c r="URY2"/>
      <c r="USA2"/>
      <c r="USC2"/>
      <c r="USE2"/>
      <c r="USG2"/>
      <c r="USI2"/>
      <c r="USK2"/>
      <c r="USM2"/>
      <c r="USO2"/>
      <c r="USQ2"/>
      <c r="USS2"/>
      <c r="USU2"/>
      <c r="USW2"/>
      <c r="USY2"/>
      <c r="UTA2"/>
      <c r="UTC2"/>
      <c r="UTE2"/>
      <c r="UTG2"/>
      <c r="UTI2"/>
      <c r="UTK2"/>
      <c r="UTM2"/>
      <c r="UTO2"/>
      <c r="UTQ2"/>
      <c r="UTS2"/>
      <c r="UTU2"/>
      <c r="UTW2"/>
      <c r="UTY2"/>
      <c r="UUA2"/>
      <c r="UUC2"/>
      <c r="UUE2"/>
      <c r="UUG2"/>
      <c r="UUI2"/>
      <c r="UUK2"/>
      <c r="UUM2"/>
      <c r="UUO2"/>
      <c r="UUQ2"/>
      <c r="UUS2"/>
      <c r="UUU2"/>
      <c r="UUW2"/>
      <c r="UUY2"/>
      <c r="UVA2"/>
      <c r="UVC2"/>
      <c r="UVE2"/>
      <c r="UVG2"/>
      <c r="UVI2"/>
      <c r="UVK2"/>
      <c r="UVM2"/>
      <c r="UVO2"/>
      <c r="UVQ2"/>
      <c r="UVS2"/>
      <c r="UVU2"/>
      <c r="UVW2"/>
      <c r="UVY2"/>
      <c r="UWA2"/>
      <c r="UWC2"/>
      <c r="UWE2"/>
      <c r="UWG2"/>
      <c r="UWI2"/>
      <c r="UWK2"/>
      <c r="UWM2"/>
      <c r="UWO2"/>
      <c r="UWQ2"/>
      <c r="UWS2"/>
      <c r="UWU2"/>
      <c r="UWW2"/>
      <c r="UWY2"/>
      <c r="UXA2"/>
      <c r="UXC2"/>
      <c r="UXE2"/>
      <c r="UXG2"/>
      <c r="UXI2"/>
      <c r="UXK2"/>
      <c r="UXM2"/>
      <c r="UXO2"/>
      <c r="UXQ2"/>
      <c r="UXS2"/>
      <c r="UXU2"/>
      <c r="UXW2"/>
      <c r="UXY2"/>
      <c r="UYA2"/>
      <c r="UYC2"/>
      <c r="UYE2"/>
      <c r="UYG2"/>
      <c r="UYI2"/>
      <c r="UYK2"/>
      <c r="UYM2"/>
      <c r="UYO2"/>
      <c r="UYQ2"/>
      <c r="UYS2"/>
      <c r="UYU2"/>
      <c r="UYW2"/>
      <c r="UYY2"/>
      <c r="UZA2"/>
      <c r="UZC2"/>
      <c r="UZE2"/>
      <c r="UZG2"/>
      <c r="UZI2"/>
      <c r="UZK2"/>
      <c r="UZM2"/>
      <c r="UZO2"/>
      <c r="UZQ2"/>
      <c r="UZS2"/>
      <c r="UZU2"/>
      <c r="UZW2"/>
      <c r="UZY2"/>
      <c r="VAA2"/>
      <c r="VAC2"/>
      <c r="VAE2"/>
      <c r="VAG2"/>
      <c r="VAI2"/>
      <c r="VAK2"/>
      <c r="VAM2"/>
      <c r="VAO2"/>
      <c r="VAQ2"/>
      <c r="VAS2"/>
      <c r="VAU2"/>
      <c r="VAW2"/>
      <c r="VAY2"/>
      <c r="VBA2"/>
      <c r="VBC2"/>
      <c r="VBE2"/>
      <c r="VBG2"/>
      <c r="VBI2"/>
      <c r="VBK2"/>
      <c r="VBM2"/>
      <c r="VBO2"/>
      <c r="VBQ2"/>
      <c r="VBS2"/>
      <c r="VBU2"/>
      <c r="VBW2"/>
      <c r="VBY2"/>
      <c r="VCA2"/>
      <c r="VCC2"/>
      <c r="VCE2"/>
      <c r="VCG2"/>
      <c r="VCI2"/>
      <c r="VCK2"/>
      <c r="VCM2"/>
      <c r="VCO2"/>
      <c r="VCQ2"/>
      <c r="VCS2"/>
      <c r="VCU2"/>
      <c r="VCW2"/>
      <c r="VCY2"/>
      <c r="VDA2"/>
      <c r="VDC2"/>
      <c r="VDE2"/>
      <c r="VDG2"/>
      <c r="VDI2"/>
      <c r="VDK2"/>
      <c r="VDM2"/>
      <c r="VDO2"/>
      <c r="VDQ2"/>
      <c r="VDS2"/>
      <c r="VDU2"/>
      <c r="VDW2"/>
      <c r="VDY2"/>
      <c r="VEA2"/>
      <c r="VEC2"/>
      <c r="VEE2"/>
      <c r="VEG2"/>
      <c r="VEI2"/>
      <c r="VEK2"/>
      <c r="VEM2"/>
      <c r="VEO2"/>
      <c r="VEQ2"/>
      <c r="VES2"/>
      <c r="VEU2"/>
      <c r="VEW2"/>
      <c r="VEY2"/>
      <c r="VFA2"/>
      <c r="VFC2"/>
      <c r="VFE2"/>
      <c r="VFG2"/>
      <c r="VFI2"/>
      <c r="VFK2"/>
      <c r="VFM2"/>
      <c r="VFO2"/>
      <c r="VFQ2"/>
      <c r="VFS2"/>
      <c r="VFU2"/>
      <c r="VFW2"/>
      <c r="VFY2"/>
      <c r="VGA2"/>
      <c r="VGC2"/>
      <c r="VGE2"/>
      <c r="VGG2"/>
      <c r="VGI2"/>
      <c r="VGK2"/>
      <c r="VGM2"/>
      <c r="VGO2"/>
      <c r="VGQ2"/>
      <c r="VGS2"/>
      <c r="VGU2"/>
      <c r="VGW2"/>
      <c r="VGY2"/>
      <c r="VHA2"/>
      <c r="VHC2"/>
      <c r="VHE2"/>
      <c r="VHG2"/>
      <c r="VHI2"/>
      <c r="VHK2"/>
      <c r="VHM2"/>
      <c r="VHO2"/>
      <c r="VHQ2"/>
      <c r="VHS2"/>
      <c r="VHU2"/>
      <c r="VHW2"/>
      <c r="VHY2"/>
      <c r="VIA2"/>
      <c r="VIC2"/>
      <c r="VIE2"/>
      <c r="VIG2"/>
      <c r="VII2"/>
      <c r="VIK2"/>
      <c r="VIM2"/>
      <c r="VIO2"/>
      <c r="VIQ2"/>
      <c r="VIS2"/>
      <c r="VIU2"/>
      <c r="VIW2"/>
      <c r="VIY2"/>
      <c r="VJA2"/>
      <c r="VJC2"/>
      <c r="VJE2"/>
      <c r="VJG2"/>
      <c r="VJI2"/>
      <c r="VJK2"/>
      <c r="VJM2"/>
      <c r="VJO2"/>
      <c r="VJQ2"/>
      <c r="VJS2"/>
      <c r="VJU2"/>
      <c r="VJW2"/>
      <c r="VJY2"/>
      <c r="VKA2"/>
      <c r="VKC2"/>
      <c r="VKE2"/>
      <c r="VKG2"/>
      <c r="VKI2"/>
      <c r="VKK2"/>
      <c r="VKM2"/>
      <c r="VKO2"/>
      <c r="VKQ2"/>
      <c r="VKS2"/>
      <c r="VKU2"/>
      <c r="VKW2"/>
      <c r="VKY2"/>
      <c r="VLA2"/>
      <c r="VLC2"/>
      <c r="VLE2"/>
      <c r="VLG2"/>
      <c r="VLI2"/>
      <c r="VLK2"/>
      <c r="VLM2"/>
      <c r="VLO2"/>
      <c r="VLQ2"/>
      <c r="VLS2"/>
      <c r="VLU2"/>
      <c r="VLW2"/>
      <c r="VLY2"/>
      <c r="VMA2"/>
      <c r="VMC2"/>
      <c r="VME2"/>
      <c r="VMG2"/>
      <c r="VMI2"/>
      <c r="VMK2"/>
      <c r="VMM2"/>
      <c r="VMO2"/>
      <c r="VMQ2"/>
      <c r="VMS2"/>
      <c r="VMU2"/>
      <c r="VMW2"/>
      <c r="VMY2"/>
      <c r="VNA2"/>
      <c r="VNC2"/>
      <c r="VNE2"/>
      <c r="VNG2"/>
      <c r="VNI2"/>
      <c r="VNK2"/>
      <c r="VNM2"/>
      <c r="VNO2"/>
      <c r="VNQ2"/>
      <c r="VNS2"/>
      <c r="VNU2"/>
      <c r="VNW2"/>
      <c r="VNY2"/>
      <c r="VOA2"/>
      <c r="VOC2"/>
      <c r="VOE2"/>
      <c r="VOG2"/>
      <c r="VOI2"/>
      <c r="VOK2"/>
      <c r="VOM2"/>
      <c r="VOO2"/>
      <c r="VOQ2"/>
      <c r="VOS2"/>
      <c r="VOU2"/>
      <c r="VOW2"/>
      <c r="VOY2"/>
      <c r="VPA2"/>
      <c r="VPC2"/>
      <c r="VPE2"/>
      <c r="VPG2"/>
      <c r="VPI2"/>
      <c r="VPK2"/>
      <c r="VPM2"/>
      <c r="VPO2"/>
      <c r="VPQ2"/>
      <c r="VPS2"/>
      <c r="VPU2"/>
      <c r="VPW2"/>
      <c r="VPY2"/>
      <c r="VQA2"/>
      <c r="VQC2"/>
      <c r="VQE2"/>
      <c r="VQG2"/>
      <c r="VQI2"/>
      <c r="VQK2"/>
      <c r="VQM2"/>
      <c r="VQO2"/>
      <c r="VQQ2"/>
      <c r="VQS2"/>
      <c r="VQU2"/>
      <c r="VQW2"/>
      <c r="VQY2"/>
      <c r="VRA2"/>
      <c r="VRC2"/>
      <c r="VRE2"/>
      <c r="VRG2"/>
      <c r="VRI2"/>
      <c r="VRK2"/>
      <c r="VRM2"/>
      <c r="VRO2"/>
      <c r="VRQ2"/>
      <c r="VRS2"/>
      <c r="VRU2"/>
      <c r="VRW2"/>
      <c r="VRY2"/>
      <c r="VSA2"/>
      <c r="VSC2"/>
      <c r="VSE2"/>
      <c r="VSG2"/>
      <c r="VSI2"/>
      <c r="VSK2"/>
      <c r="VSM2"/>
      <c r="VSO2"/>
      <c r="VSQ2"/>
      <c r="VSS2"/>
      <c r="VSU2"/>
      <c r="VSW2"/>
      <c r="VSY2"/>
      <c r="VTA2"/>
      <c r="VTC2"/>
      <c r="VTE2"/>
      <c r="VTG2"/>
      <c r="VTI2"/>
      <c r="VTK2"/>
      <c r="VTM2"/>
      <c r="VTO2"/>
      <c r="VTQ2"/>
      <c r="VTS2"/>
      <c r="VTU2"/>
      <c r="VTW2"/>
      <c r="VTY2"/>
      <c r="VUA2"/>
      <c r="VUC2"/>
      <c r="VUE2"/>
      <c r="VUG2"/>
      <c r="VUI2"/>
      <c r="VUK2"/>
      <c r="VUM2"/>
      <c r="VUO2"/>
      <c r="VUQ2"/>
      <c r="VUS2"/>
      <c r="VUU2"/>
      <c r="VUW2"/>
      <c r="VUY2"/>
      <c r="VVA2"/>
      <c r="VVC2"/>
      <c r="VVE2"/>
      <c r="VVG2"/>
      <c r="VVI2"/>
      <c r="VVK2"/>
      <c r="VVM2"/>
      <c r="VVO2"/>
      <c r="VVQ2"/>
      <c r="VVS2"/>
      <c r="VVU2"/>
      <c r="VVW2"/>
      <c r="VVY2"/>
      <c r="VWA2"/>
      <c r="VWC2"/>
      <c r="VWE2"/>
      <c r="VWG2"/>
      <c r="VWI2"/>
      <c r="VWK2"/>
      <c r="VWM2"/>
      <c r="VWO2"/>
      <c r="VWQ2"/>
      <c r="VWS2"/>
      <c r="VWU2"/>
      <c r="VWW2"/>
      <c r="VWY2"/>
      <c r="VXA2"/>
      <c r="VXC2"/>
      <c r="VXE2"/>
      <c r="VXG2"/>
      <c r="VXI2"/>
      <c r="VXK2"/>
      <c r="VXM2"/>
      <c r="VXO2"/>
      <c r="VXQ2"/>
      <c r="VXS2"/>
      <c r="VXU2"/>
      <c r="VXW2"/>
      <c r="VXY2"/>
      <c r="VYA2"/>
      <c r="VYC2"/>
      <c r="VYE2"/>
      <c r="VYG2"/>
      <c r="VYI2"/>
      <c r="VYK2"/>
      <c r="VYM2"/>
      <c r="VYO2"/>
      <c r="VYQ2"/>
      <c r="VYS2"/>
      <c r="VYU2"/>
      <c r="VYW2"/>
      <c r="VYY2"/>
      <c r="VZA2"/>
      <c r="VZC2"/>
      <c r="VZE2"/>
      <c r="VZG2"/>
      <c r="VZI2"/>
      <c r="VZK2"/>
      <c r="VZM2"/>
      <c r="VZO2"/>
      <c r="VZQ2"/>
      <c r="VZS2"/>
      <c r="VZU2"/>
      <c r="VZW2"/>
      <c r="VZY2"/>
      <c r="WAA2"/>
      <c r="WAC2"/>
      <c r="WAE2"/>
      <c r="WAG2"/>
      <c r="WAI2"/>
      <c r="WAK2"/>
      <c r="WAM2"/>
      <c r="WAO2"/>
      <c r="WAQ2"/>
      <c r="WAS2"/>
      <c r="WAU2"/>
      <c r="WAW2"/>
      <c r="WAY2"/>
      <c r="WBA2"/>
      <c r="WBC2"/>
      <c r="WBE2"/>
      <c r="WBG2"/>
      <c r="WBI2"/>
      <c r="WBK2"/>
      <c r="WBM2"/>
      <c r="WBO2"/>
      <c r="WBQ2"/>
      <c r="WBS2"/>
      <c r="WBU2"/>
      <c r="WBW2"/>
      <c r="WBY2"/>
      <c r="WCA2"/>
      <c r="WCC2"/>
      <c r="WCE2"/>
      <c r="WCG2"/>
      <c r="WCI2"/>
      <c r="WCK2"/>
      <c r="WCM2"/>
      <c r="WCO2"/>
      <c r="WCQ2"/>
      <c r="WCS2"/>
      <c r="WCU2"/>
      <c r="WCW2"/>
      <c r="WCY2"/>
      <c r="WDA2"/>
      <c r="WDC2"/>
      <c r="WDE2"/>
      <c r="WDG2"/>
      <c r="WDI2"/>
      <c r="WDK2"/>
      <c r="WDM2"/>
      <c r="WDO2"/>
      <c r="WDQ2"/>
      <c r="WDS2"/>
      <c r="WDU2"/>
      <c r="WDW2"/>
      <c r="WDY2"/>
      <c r="WEA2"/>
      <c r="WEC2"/>
      <c r="WEE2"/>
      <c r="WEG2"/>
      <c r="WEI2"/>
      <c r="WEK2"/>
      <c r="WEM2"/>
      <c r="WEO2"/>
      <c r="WEQ2"/>
      <c r="WES2"/>
      <c r="WEU2"/>
      <c r="WEW2"/>
      <c r="WEY2"/>
      <c r="WFA2"/>
      <c r="WFC2"/>
      <c r="WFE2"/>
      <c r="WFG2"/>
      <c r="WFI2"/>
      <c r="WFK2"/>
      <c r="WFM2"/>
      <c r="WFO2"/>
      <c r="WFQ2"/>
      <c r="WFS2"/>
      <c r="WFU2"/>
      <c r="WFW2"/>
      <c r="WFY2"/>
      <c r="WGA2"/>
      <c r="WGC2"/>
      <c r="WGE2"/>
      <c r="WGG2"/>
      <c r="WGI2"/>
      <c r="WGK2"/>
      <c r="WGM2"/>
      <c r="WGO2"/>
      <c r="WGQ2"/>
      <c r="WGS2"/>
      <c r="WGU2"/>
      <c r="WGW2"/>
      <c r="WGY2"/>
      <c r="WHA2"/>
      <c r="WHC2"/>
      <c r="WHE2"/>
      <c r="WHG2"/>
      <c r="WHI2"/>
      <c r="WHK2"/>
      <c r="WHM2"/>
      <c r="WHO2"/>
      <c r="WHQ2"/>
      <c r="WHS2"/>
      <c r="WHU2"/>
      <c r="WHW2"/>
      <c r="WHY2"/>
      <c r="WIA2"/>
      <c r="WIC2"/>
      <c r="WIE2"/>
      <c r="WIG2"/>
      <c r="WII2"/>
      <c r="WIK2"/>
      <c r="WIM2"/>
      <c r="WIO2"/>
      <c r="WIQ2"/>
      <c r="WIS2"/>
      <c r="WIU2"/>
      <c r="WIW2"/>
      <c r="WIY2"/>
      <c r="WJA2"/>
      <c r="WJC2"/>
      <c r="WJE2"/>
      <c r="WJG2"/>
      <c r="WJI2"/>
      <c r="WJK2"/>
      <c r="WJM2"/>
      <c r="WJO2"/>
      <c r="WJQ2"/>
      <c r="WJS2"/>
      <c r="WJU2"/>
      <c r="WJW2"/>
      <c r="WJY2"/>
      <c r="WKA2"/>
      <c r="WKC2"/>
      <c r="WKE2"/>
      <c r="WKG2"/>
      <c r="WKI2"/>
      <c r="WKK2"/>
      <c r="WKM2"/>
      <c r="WKO2"/>
      <c r="WKQ2"/>
      <c r="WKS2"/>
      <c r="WKU2"/>
      <c r="WKW2"/>
      <c r="WKY2"/>
      <c r="WLA2"/>
      <c r="WLC2"/>
      <c r="WLE2"/>
      <c r="WLG2"/>
      <c r="WLI2"/>
      <c r="WLK2"/>
      <c r="WLM2"/>
      <c r="WLO2"/>
      <c r="WLQ2"/>
      <c r="WLS2"/>
      <c r="WLU2"/>
      <c r="WLW2"/>
      <c r="WLY2"/>
      <c r="WMA2"/>
      <c r="WMC2"/>
      <c r="WME2"/>
      <c r="WMG2"/>
      <c r="WMI2"/>
      <c r="WMK2"/>
      <c r="WMM2"/>
      <c r="WMO2"/>
      <c r="WMQ2"/>
      <c r="WMS2"/>
      <c r="WMU2"/>
      <c r="WMW2"/>
      <c r="WMY2"/>
      <c r="WNA2"/>
      <c r="WNC2"/>
      <c r="WNE2"/>
      <c r="WNG2"/>
      <c r="WNI2"/>
      <c r="WNK2"/>
      <c r="WNM2"/>
      <c r="WNO2"/>
      <c r="WNQ2"/>
      <c r="WNS2"/>
      <c r="WNU2"/>
      <c r="WNW2"/>
      <c r="WNY2"/>
      <c r="WOA2"/>
      <c r="WOC2"/>
      <c r="WOE2"/>
      <c r="WOG2"/>
      <c r="WOI2"/>
      <c r="WOK2"/>
      <c r="WOM2"/>
      <c r="WOO2"/>
      <c r="WOQ2"/>
      <c r="WOS2"/>
      <c r="WOU2"/>
      <c r="WOW2"/>
      <c r="WOY2"/>
      <c r="WPA2"/>
      <c r="WPC2"/>
      <c r="WPE2"/>
      <c r="WPG2"/>
      <c r="WPI2"/>
      <c r="WPK2"/>
      <c r="WPM2"/>
      <c r="WPO2"/>
      <c r="WPQ2"/>
      <c r="WPS2"/>
      <c r="WPU2"/>
      <c r="WPW2"/>
      <c r="WPY2"/>
      <c r="WQA2"/>
      <c r="WQC2"/>
      <c r="WQE2"/>
      <c r="WQG2"/>
      <c r="WQI2"/>
      <c r="WQK2"/>
      <c r="WQM2"/>
      <c r="WQO2"/>
      <c r="WQQ2"/>
      <c r="WQS2"/>
      <c r="WQU2"/>
      <c r="WQW2"/>
      <c r="WQY2"/>
      <c r="WRA2"/>
      <c r="WRC2"/>
      <c r="WRE2"/>
      <c r="WRG2"/>
      <c r="WRI2"/>
      <c r="WRK2"/>
      <c r="WRM2"/>
      <c r="WRO2"/>
      <c r="WRQ2"/>
      <c r="WRS2"/>
      <c r="WRU2"/>
      <c r="WRW2"/>
      <c r="WRY2"/>
      <c r="WSA2"/>
      <c r="WSC2"/>
      <c r="WSE2"/>
      <c r="WSG2"/>
      <c r="WSI2"/>
      <c r="WSK2"/>
      <c r="WSM2"/>
      <c r="WSO2"/>
      <c r="WSQ2"/>
      <c r="WSS2"/>
      <c r="WSU2"/>
      <c r="WSW2"/>
      <c r="WSY2"/>
      <c r="WTA2"/>
      <c r="WTC2"/>
      <c r="WTE2"/>
      <c r="WTG2"/>
      <c r="WTI2"/>
      <c r="WTK2"/>
      <c r="WTM2"/>
      <c r="WTO2"/>
      <c r="WTQ2"/>
      <c r="WTS2"/>
      <c r="WTU2"/>
      <c r="WTW2"/>
      <c r="WTY2"/>
      <c r="WUA2"/>
      <c r="WUC2"/>
      <c r="WUE2"/>
      <c r="WUG2"/>
      <c r="WUI2"/>
      <c r="WUK2"/>
      <c r="WUM2"/>
      <c r="WUO2"/>
      <c r="WUQ2"/>
      <c r="WUS2"/>
      <c r="WUU2"/>
      <c r="WUW2"/>
      <c r="WUY2"/>
      <c r="WVA2"/>
      <c r="WVC2"/>
      <c r="WVE2"/>
      <c r="WVG2"/>
      <c r="WVI2"/>
      <c r="WVK2"/>
      <c r="WVM2"/>
      <c r="WVO2"/>
      <c r="WVQ2"/>
      <c r="WVS2"/>
      <c r="WVU2"/>
      <c r="WVW2"/>
      <c r="WVY2"/>
      <c r="WWA2"/>
      <c r="WWC2"/>
      <c r="WWE2"/>
      <c r="WWG2"/>
      <c r="WWI2"/>
      <c r="WWK2"/>
      <c r="WWM2"/>
      <c r="WWO2"/>
      <c r="WWQ2"/>
      <c r="WWS2"/>
      <c r="WWU2"/>
      <c r="WWW2"/>
      <c r="WWY2"/>
      <c r="WXA2"/>
      <c r="WXC2"/>
      <c r="WXE2"/>
      <c r="WXG2"/>
      <c r="WXI2"/>
      <c r="WXK2"/>
      <c r="WXM2"/>
      <c r="WXO2"/>
      <c r="WXQ2"/>
      <c r="WXS2"/>
      <c r="WXU2"/>
      <c r="WXW2"/>
      <c r="WXY2"/>
      <c r="WYA2"/>
      <c r="WYC2"/>
      <c r="WYE2"/>
      <c r="WYG2"/>
      <c r="WYI2"/>
      <c r="WYK2"/>
      <c r="WYM2"/>
      <c r="WYO2"/>
      <c r="WYQ2"/>
      <c r="WYS2"/>
      <c r="WYU2"/>
      <c r="WYW2"/>
      <c r="WYY2"/>
      <c r="WZA2"/>
      <c r="WZC2"/>
      <c r="WZE2"/>
      <c r="WZG2"/>
      <c r="WZI2"/>
      <c r="WZK2"/>
      <c r="WZM2"/>
      <c r="WZO2"/>
      <c r="WZQ2"/>
      <c r="WZS2"/>
      <c r="WZU2"/>
      <c r="WZW2"/>
      <c r="WZY2"/>
      <c r="XAA2"/>
      <c r="XAC2"/>
      <c r="XAE2"/>
      <c r="XAG2"/>
      <c r="XAI2"/>
      <c r="XAK2"/>
      <c r="XAM2"/>
      <c r="XAO2"/>
      <c r="XAQ2"/>
      <c r="XAS2"/>
      <c r="XAU2"/>
      <c r="XAW2"/>
      <c r="XAY2"/>
      <c r="XBA2"/>
      <c r="XBC2"/>
      <c r="XBE2"/>
      <c r="XBG2"/>
      <c r="XBI2"/>
      <c r="XBK2"/>
      <c r="XBM2"/>
      <c r="XBO2"/>
      <c r="XBQ2"/>
      <c r="XBS2"/>
      <c r="XBU2"/>
      <c r="XBW2"/>
      <c r="XBY2"/>
      <c r="XCA2"/>
      <c r="XCC2"/>
      <c r="XCE2"/>
      <c r="XCG2"/>
      <c r="XCI2"/>
      <c r="XCK2"/>
      <c r="XCM2"/>
      <c r="XCO2"/>
      <c r="XCQ2"/>
      <c r="XCS2"/>
      <c r="XCU2"/>
      <c r="XCW2"/>
      <c r="XCY2"/>
      <c r="XDA2"/>
      <c r="XDC2"/>
      <c r="XDE2"/>
      <c r="XDG2"/>
      <c r="XDI2"/>
      <c r="XDK2"/>
      <c r="XDM2"/>
      <c r="XDO2"/>
      <c r="XDQ2"/>
      <c r="XDS2"/>
      <c r="XDU2"/>
      <c r="XDW2"/>
      <c r="XDY2"/>
      <c r="XEA2"/>
      <c r="XEC2"/>
      <c r="XEE2"/>
      <c r="XEG2"/>
      <c r="XEI2"/>
      <c r="XEK2"/>
      <c r="XEM2"/>
      <c r="XEO2"/>
      <c r="XEQ2"/>
      <c r="XES2"/>
      <c r="XEU2"/>
      <c r="XEW2"/>
      <c r="XEY2"/>
      <c r="XFA2"/>
      <c r="XFC2"/>
    </row>
    <row r="3" spans="1:16384" s="474" customFormat="1" ht="16" thickTop="1" x14ac:dyDescent="0.2">
      <c r="A3" s="7"/>
      <c r="B3" s="545" t="s">
        <v>208</v>
      </c>
      <c r="C3" s="534" t="s">
        <v>209</v>
      </c>
      <c r="D3" s="535">
        <v>1.1200000000000001</v>
      </c>
      <c r="E3" s="548">
        <v>16499</v>
      </c>
      <c r="F3" s="548">
        <v>45008</v>
      </c>
      <c r="G3" s="536">
        <v>0.22</v>
      </c>
      <c r="H3" s="537">
        <f t="shared" si="0"/>
        <v>0.87096374013817535</v>
      </c>
      <c r="I3" s="641"/>
      <c r="J3" s="643" t="s">
        <v>432</v>
      </c>
      <c r="K3" s="644">
        <v>4.1500000000000002E-2</v>
      </c>
      <c r="L3" s="642"/>
      <c r="M3" s="506" t="s">
        <v>467</v>
      </c>
      <c r="N3" s="444">
        <f>PERCENTILE(H2:H8,0.75)</f>
        <v>1.1692682130022867</v>
      </c>
      <c r="O3"/>
      <c r="Q3"/>
      <c r="S3"/>
      <c r="U3"/>
      <c r="W3"/>
      <c r="Y3"/>
      <c r="AA3"/>
      <c r="AC3"/>
      <c r="AE3"/>
      <c r="AG3"/>
      <c r="AI3"/>
      <c r="AK3"/>
      <c r="AM3"/>
      <c r="AO3"/>
      <c r="AQ3"/>
      <c r="AS3"/>
      <c r="AU3"/>
      <c r="AW3"/>
      <c r="AY3"/>
      <c r="BA3"/>
      <c r="BC3"/>
      <c r="BE3"/>
      <c r="BG3"/>
      <c r="BI3"/>
      <c r="BK3"/>
      <c r="BM3"/>
      <c r="BO3"/>
      <c r="BQ3"/>
      <c r="BS3"/>
      <c r="BU3"/>
      <c r="BW3"/>
      <c r="BY3"/>
      <c r="CA3"/>
      <c r="CC3"/>
      <c r="CE3"/>
      <c r="CG3"/>
      <c r="CI3"/>
      <c r="CK3"/>
      <c r="CM3"/>
      <c r="CO3"/>
      <c r="CQ3"/>
      <c r="CS3"/>
      <c r="CU3"/>
      <c r="CW3"/>
      <c r="CY3"/>
      <c r="DA3"/>
      <c r="DC3"/>
      <c r="DE3"/>
      <c r="DG3"/>
      <c r="DI3"/>
      <c r="DK3"/>
      <c r="DM3"/>
      <c r="DO3"/>
      <c r="DQ3"/>
      <c r="DS3"/>
      <c r="DU3"/>
      <c r="DW3"/>
      <c r="DY3"/>
      <c r="EA3"/>
      <c r="EC3"/>
      <c r="EE3"/>
      <c r="EG3"/>
      <c r="EI3"/>
      <c r="EK3"/>
      <c r="EM3"/>
      <c r="EO3"/>
      <c r="EQ3"/>
      <c r="ES3"/>
      <c r="EU3"/>
      <c r="EW3"/>
      <c r="EY3"/>
      <c r="FA3"/>
      <c r="FC3"/>
      <c r="FE3"/>
      <c r="FG3"/>
      <c r="FI3"/>
      <c r="FK3"/>
      <c r="FM3"/>
      <c r="FO3"/>
      <c r="FQ3"/>
      <c r="FS3"/>
      <c r="FU3"/>
      <c r="FW3"/>
      <c r="FY3"/>
      <c r="GA3"/>
      <c r="GC3"/>
      <c r="GE3"/>
      <c r="GG3"/>
      <c r="GI3"/>
      <c r="GK3"/>
      <c r="GM3"/>
      <c r="GO3"/>
      <c r="GQ3"/>
      <c r="GS3"/>
      <c r="GU3"/>
      <c r="GW3"/>
      <c r="GY3"/>
      <c r="HA3"/>
      <c r="HC3"/>
      <c r="HE3"/>
      <c r="HG3"/>
      <c r="HI3"/>
      <c r="HK3"/>
      <c r="HM3"/>
      <c r="HO3"/>
      <c r="HQ3"/>
      <c r="HS3"/>
      <c r="HU3"/>
      <c r="HW3"/>
      <c r="HY3"/>
      <c r="IA3"/>
      <c r="IC3"/>
      <c r="IE3"/>
      <c r="IG3"/>
      <c r="II3"/>
      <c r="IK3"/>
      <c r="IM3"/>
      <c r="IO3"/>
      <c r="IQ3"/>
      <c r="IS3"/>
      <c r="IU3"/>
      <c r="IW3"/>
      <c r="IY3"/>
      <c r="JA3"/>
      <c r="JC3"/>
      <c r="JE3"/>
      <c r="JG3"/>
      <c r="JI3"/>
      <c r="JK3"/>
      <c r="JM3"/>
      <c r="JO3"/>
      <c r="JQ3"/>
      <c r="JS3"/>
      <c r="JU3"/>
      <c r="JW3"/>
      <c r="JY3"/>
      <c r="KA3"/>
      <c r="KC3"/>
      <c r="KE3"/>
      <c r="KG3"/>
      <c r="KI3"/>
      <c r="KK3"/>
      <c r="KM3"/>
      <c r="KO3"/>
      <c r="KQ3"/>
      <c r="KS3"/>
      <c r="KU3"/>
      <c r="KW3"/>
      <c r="KY3"/>
      <c r="LA3"/>
      <c r="LC3"/>
      <c r="LE3"/>
      <c r="LG3"/>
      <c r="LI3"/>
      <c r="LK3"/>
      <c r="LM3"/>
      <c r="LO3"/>
      <c r="LQ3"/>
      <c r="LS3"/>
      <c r="LU3"/>
      <c r="LW3"/>
      <c r="LY3"/>
      <c r="MA3"/>
      <c r="MC3"/>
      <c r="ME3"/>
      <c r="MG3"/>
      <c r="MI3"/>
      <c r="MK3"/>
      <c r="MM3"/>
      <c r="MO3"/>
      <c r="MQ3"/>
      <c r="MS3"/>
      <c r="MU3"/>
      <c r="MW3"/>
      <c r="MY3"/>
      <c r="NA3"/>
      <c r="NC3"/>
      <c r="NE3"/>
      <c r="NG3"/>
      <c r="NI3"/>
      <c r="NK3"/>
      <c r="NM3"/>
      <c r="NO3"/>
      <c r="NQ3"/>
      <c r="NS3"/>
      <c r="NU3"/>
      <c r="NW3"/>
      <c r="NY3"/>
      <c r="OA3"/>
      <c r="OC3"/>
      <c r="OE3"/>
      <c r="OG3"/>
      <c r="OI3"/>
      <c r="OK3"/>
      <c r="OM3"/>
      <c r="OO3"/>
      <c r="OQ3"/>
      <c r="OS3"/>
      <c r="OU3"/>
      <c r="OW3"/>
      <c r="OY3"/>
      <c r="PA3"/>
      <c r="PC3"/>
      <c r="PE3"/>
      <c r="PG3"/>
      <c r="PI3"/>
      <c r="PK3"/>
      <c r="PM3"/>
      <c r="PO3"/>
      <c r="PQ3"/>
      <c r="PS3"/>
      <c r="PU3"/>
      <c r="PW3"/>
      <c r="PY3"/>
      <c r="QA3"/>
      <c r="QC3"/>
      <c r="QE3"/>
      <c r="QG3"/>
      <c r="QI3"/>
      <c r="QK3"/>
      <c r="QM3"/>
      <c r="QO3"/>
      <c r="QQ3"/>
      <c r="QS3"/>
      <c r="QU3"/>
      <c r="QW3"/>
      <c r="QY3"/>
      <c r="RA3"/>
      <c r="RC3"/>
      <c r="RE3"/>
      <c r="RG3"/>
      <c r="RI3"/>
      <c r="RK3"/>
      <c r="RM3"/>
      <c r="RO3"/>
      <c r="RQ3"/>
      <c r="RS3"/>
      <c r="RU3"/>
      <c r="RW3"/>
      <c r="RY3"/>
      <c r="SA3"/>
      <c r="SC3"/>
      <c r="SE3"/>
      <c r="SG3"/>
      <c r="SI3"/>
      <c r="SK3"/>
      <c r="SM3"/>
      <c r="SO3"/>
      <c r="SQ3"/>
      <c r="SS3"/>
      <c r="SU3"/>
      <c r="SW3"/>
      <c r="SY3"/>
      <c r="TA3"/>
      <c r="TC3"/>
      <c r="TE3"/>
      <c r="TG3"/>
      <c r="TI3"/>
      <c r="TK3"/>
      <c r="TM3"/>
      <c r="TO3"/>
      <c r="TQ3"/>
      <c r="TS3"/>
      <c r="TU3"/>
      <c r="TW3"/>
      <c r="TY3"/>
      <c r="UA3"/>
      <c r="UC3"/>
      <c r="UE3"/>
      <c r="UG3"/>
      <c r="UI3"/>
      <c r="UK3"/>
      <c r="UM3"/>
      <c r="UO3"/>
      <c r="UQ3"/>
      <c r="US3"/>
      <c r="UU3"/>
      <c r="UW3"/>
      <c r="UY3"/>
      <c r="VA3"/>
      <c r="VC3"/>
      <c r="VE3"/>
      <c r="VG3"/>
      <c r="VI3"/>
      <c r="VK3"/>
      <c r="VM3"/>
      <c r="VO3"/>
      <c r="VQ3"/>
      <c r="VS3"/>
      <c r="VU3"/>
      <c r="VW3"/>
      <c r="VY3"/>
      <c r="WA3"/>
      <c r="WC3"/>
      <c r="WE3"/>
      <c r="WG3"/>
      <c r="WI3"/>
      <c r="WK3"/>
      <c r="WM3"/>
      <c r="WO3"/>
      <c r="WQ3"/>
      <c r="WS3"/>
      <c r="WU3"/>
      <c r="WW3"/>
      <c r="WY3"/>
      <c r="XA3"/>
      <c r="XC3"/>
      <c r="XE3"/>
      <c r="XG3"/>
      <c r="XI3"/>
      <c r="XK3"/>
      <c r="XM3"/>
      <c r="XO3"/>
      <c r="XQ3"/>
      <c r="XS3"/>
      <c r="XU3"/>
      <c r="XW3"/>
      <c r="XY3"/>
      <c r="YA3"/>
      <c r="YC3"/>
      <c r="YE3"/>
      <c r="YG3"/>
      <c r="YI3"/>
      <c r="YK3"/>
      <c r="YM3"/>
      <c r="YO3"/>
      <c r="YQ3"/>
      <c r="YS3"/>
      <c r="YU3"/>
      <c r="YW3"/>
      <c r="YY3"/>
      <c r="ZA3"/>
      <c r="ZC3"/>
      <c r="ZE3"/>
      <c r="ZG3"/>
      <c r="ZI3"/>
      <c r="ZK3"/>
      <c r="ZM3"/>
      <c r="ZO3"/>
      <c r="ZQ3"/>
      <c r="ZS3"/>
      <c r="ZU3"/>
      <c r="ZW3"/>
      <c r="ZY3"/>
      <c r="AAA3"/>
      <c r="AAC3"/>
      <c r="AAE3"/>
      <c r="AAG3"/>
      <c r="AAI3"/>
      <c r="AAK3"/>
      <c r="AAM3"/>
      <c r="AAO3"/>
      <c r="AAQ3"/>
      <c r="AAS3"/>
      <c r="AAU3"/>
      <c r="AAW3"/>
      <c r="AAY3"/>
      <c r="ABA3"/>
      <c r="ABC3"/>
      <c r="ABE3"/>
      <c r="ABG3"/>
      <c r="ABI3"/>
      <c r="ABK3"/>
      <c r="ABM3"/>
      <c r="ABO3"/>
      <c r="ABQ3"/>
      <c r="ABS3"/>
      <c r="ABU3"/>
      <c r="ABW3"/>
      <c r="ABY3"/>
      <c r="ACA3"/>
      <c r="ACC3"/>
      <c r="ACE3"/>
      <c r="ACG3"/>
      <c r="ACI3"/>
      <c r="ACK3"/>
      <c r="ACM3"/>
      <c r="ACO3"/>
      <c r="ACQ3"/>
      <c r="ACS3"/>
      <c r="ACU3"/>
      <c r="ACW3"/>
      <c r="ACY3"/>
      <c r="ADA3"/>
      <c r="ADC3"/>
      <c r="ADE3"/>
      <c r="ADG3"/>
      <c r="ADI3"/>
      <c r="ADK3"/>
      <c r="ADM3"/>
      <c r="ADO3"/>
      <c r="ADQ3"/>
      <c r="ADS3"/>
      <c r="ADU3"/>
      <c r="ADW3"/>
      <c r="ADY3"/>
      <c r="AEA3"/>
      <c r="AEC3"/>
      <c r="AEE3"/>
      <c r="AEG3"/>
      <c r="AEI3"/>
      <c r="AEK3"/>
      <c r="AEM3"/>
      <c r="AEO3"/>
      <c r="AEQ3"/>
      <c r="AES3"/>
      <c r="AEU3"/>
      <c r="AEW3"/>
      <c r="AEY3"/>
      <c r="AFA3"/>
      <c r="AFC3"/>
      <c r="AFE3"/>
      <c r="AFG3"/>
      <c r="AFI3"/>
      <c r="AFK3"/>
      <c r="AFM3"/>
      <c r="AFO3"/>
      <c r="AFQ3"/>
      <c r="AFS3"/>
      <c r="AFU3"/>
      <c r="AFW3"/>
      <c r="AFY3"/>
      <c r="AGA3"/>
      <c r="AGC3"/>
      <c r="AGE3"/>
      <c r="AGG3"/>
      <c r="AGI3"/>
      <c r="AGK3"/>
      <c r="AGM3"/>
      <c r="AGO3"/>
      <c r="AGQ3"/>
      <c r="AGS3"/>
      <c r="AGU3"/>
      <c r="AGW3"/>
      <c r="AGY3"/>
      <c r="AHA3"/>
      <c r="AHC3"/>
      <c r="AHE3"/>
      <c r="AHG3"/>
      <c r="AHI3"/>
      <c r="AHK3"/>
      <c r="AHM3"/>
      <c r="AHO3"/>
      <c r="AHQ3"/>
      <c r="AHS3"/>
      <c r="AHU3"/>
      <c r="AHW3"/>
      <c r="AHY3"/>
      <c r="AIA3"/>
      <c r="AIC3"/>
      <c r="AIE3"/>
      <c r="AIG3"/>
      <c r="AII3"/>
      <c r="AIK3"/>
      <c r="AIM3"/>
      <c r="AIO3"/>
      <c r="AIQ3"/>
      <c r="AIS3"/>
      <c r="AIU3"/>
      <c r="AIW3"/>
      <c r="AIY3"/>
      <c r="AJA3"/>
      <c r="AJC3"/>
      <c r="AJE3"/>
      <c r="AJG3"/>
      <c r="AJI3"/>
      <c r="AJK3"/>
      <c r="AJM3"/>
      <c r="AJO3"/>
      <c r="AJQ3"/>
      <c r="AJS3"/>
      <c r="AJU3"/>
      <c r="AJW3"/>
      <c r="AJY3"/>
      <c r="AKA3"/>
      <c r="AKC3"/>
      <c r="AKE3"/>
      <c r="AKG3"/>
      <c r="AKI3"/>
      <c r="AKK3"/>
      <c r="AKM3"/>
      <c r="AKO3"/>
      <c r="AKQ3"/>
      <c r="AKS3"/>
      <c r="AKU3"/>
      <c r="AKW3"/>
      <c r="AKY3"/>
      <c r="ALA3"/>
      <c r="ALC3"/>
      <c r="ALE3"/>
      <c r="ALG3"/>
      <c r="ALI3"/>
      <c r="ALK3"/>
      <c r="ALM3"/>
      <c r="ALO3"/>
      <c r="ALQ3"/>
      <c r="ALS3"/>
      <c r="ALU3"/>
      <c r="ALW3"/>
      <c r="ALY3"/>
      <c r="AMA3"/>
      <c r="AMC3"/>
      <c r="AME3"/>
      <c r="AMG3"/>
      <c r="AMI3"/>
      <c r="AMK3"/>
      <c r="AMM3"/>
      <c r="AMO3"/>
      <c r="AMQ3"/>
      <c r="AMS3"/>
      <c r="AMU3"/>
      <c r="AMW3"/>
      <c r="AMY3"/>
      <c r="ANA3"/>
      <c r="ANC3"/>
      <c r="ANE3"/>
      <c r="ANG3"/>
      <c r="ANI3"/>
      <c r="ANK3"/>
      <c r="ANM3"/>
      <c r="ANO3"/>
      <c r="ANQ3"/>
      <c r="ANS3"/>
      <c r="ANU3"/>
      <c r="ANW3"/>
      <c r="ANY3"/>
      <c r="AOA3"/>
      <c r="AOC3"/>
      <c r="AOE3"/>
      <c r="AOG3"/>
      <c r="AOI3"/>
      <c r="AOK3"/>
      <c r="AOM3"/>
      <c r="AOO3"/>
      <c r="AOQ3"/>
      <c r="AOS3"/>
      <c r="AOU3"/>
      <c r="AOW3"/>
      <c r="AOY3"/>
      <c r="APA3"/>
      <c r="APC3"/>
      <c r="APE3"/>
      <c r="APG3"/>
      <c r="API3"/>
      <c r="APK3"/>
      <c r="APM3"/>
      <c r="APO3"/>
      <c r="APQ3"/>
      <c r="APS3"/>
      <c r="APU3"/>
      <c r="APW3"/>
      <c r="APY3"/>
      <c r="AQA3"/>
      <c r="AQC3"/>
      <c r="AQE3"/>
      <c r="AQG3"/>
      <c r="AQI3"/>
      <c r="AQK3"/>
      <c r="AQM3"/>
      <c r="AQO3"/>
      <c r="AQQ3"/>
      <c r="AQS3"/>
      <c r="AQU3"/>
      <c r="AQW3"/>
      <c r="AQY3"/>
      <c r="ARA3"/>
      <c r="ARC3"/>
      <c r="ARE3"/>
      <c r="ARG3"/>
      <c r="ARI3"/>
      <c r="ARK3"/>
      <c r="ARM3"/>
      <c r="ARO3"/>
      <c r="ARQ3"/>
      <c r="ARS3"/>
      <c r="ARU3"/>
      <c r="ARW3"/>
      <c r="ARY3"/>
      <c r="ASA3"/>
      <c r="ASC3"/>
      <c r="ASE3"/>
      <c r="ASG3"/>
      <c r="ASI3"/>
      <c r="ASK3"/>
      <c r="ASM3"/>
      <c r="ASO3"/>
      <c r="ASQ3"/>
      <c r="ASS3"/>
      <c r="ASU3"/>
      <c r="ASW3"/>
      <c r="ASY3"/>
      <c r="ATA3"/>
      <c r="ATC3"/>
      <c r="ATE3"/>
      <c r="ATG3"/>
      <c r="ATI3"/>
      <c r="ATK3"/>
      <c r="ATM3"/>
      <c r="ATO3"/>
      <c r="ATQ3"/>
      <c r="ATS3"/>
      <c r="ATU3"/>
      <c r="ATW3"/>
      <c r="ATY3"/>
      <c r="AUA3"/>
      <c r="AUC3"/>
      <c r="AUE3"/>
      <c r="AUG3"/>
      <c r="AUI3"/>
      <c r="AUK3"/>
      <c r="AUM3"/>
      <c r="AUO3"/>
      <c r="AUQ3"/>
      <c r="AUS3"/>
      <c r="AUU3"/>
      <c r="AUW3"/>
      <c r="AUY3"/>
      <c r="AVA3"/>
      <c r="AVC3"/>
      <c r="AVE3"/>
      <c r="AVG3"/>
      <c r="AVI3"/>
      <c r="AVK3"/>
      <c r="AVM3"/>
      <c r="AVO3"/>
      <c r="AVQ3"/>
      <c r="AVS3"/>
      <c r="AVU3"/>
      <c r="AVW3"/>
      <c r="AVY3"/>
      <c r="AWA3"/>
      <c r="AWC3"/>
      <c r="AWE3"/>
      <c r="AWG3"/>
      <c r="AWI3"/>
      <c r="AWK3"/>
      <c r="AWM3"/>
      <c r="AWO3"/>
      <c r="AWQ3"/>
      <c r="AWS3"/>
      <c r="AWU3"/>
      <c r="AWW3"/>
      <c r="AWY3"/>
      <c r="AXA3"/>
      <c r="AXC3"/>
      <c r="AXE3"/>
      <c r="AXG3"/>
      <c r="AXI3"/>
      <c r="AXK3"/>
      <c r="AXM3"/>
      <c r="AXO3"/>
      <c r="AXQ3"/>
      <c r="AXS3"/>
      <c r="AXU3"/>
      <c r="AXW3"/>
      <c r="AXY3"/>
      <c r="AYA3"/>
      <c r="AYC3"/>
      <c r="AYE3"/>
      <c r="AYG3"/>
      <c r="AYI3"/>
      <c r="AYK3"/>
      <c r="AYM3"/>
      <c r="AYO3"/>
      <c r="AYQ3"/>
      <c r="AYS3"/>
      <c r="AYU3"/>
      <c r="AYW3"/>
      <c r="AYY3"/>
      <c r="AZA3"/>
      <c r="AZC3"/>
      <c r="AZE3"/>
      <c r="AZG3"/>
      <c r="AZI3"/>
      <c r="AZK3"/>
      <c r="AZM3"/>
      <c r="AZO3"/>
      <c r="AZQ3"/>
      <c r="AZS3"/>
      <c r="AZU3"/>
      <c r="AZW3"/>
      <c r="AZY3"/>
      <c r="BAA3"/>
      <c r="BAC3"/>
      <c r="BAE3"/>
      <c r="BAG3"/>
      <c r="BAI3"/>
      <c r="BAK3"/>
      <c r="BAM3"/>
      <c r="BAO3"/>
      <c r="BAQ3"/>
      <c r="BAS3"/>
      <c r="BAU3"/>
      <c r="BAW3"/>
      <c r="BAY3"/>
      <c r="BBA3"/>
      <c r="BBC3"/>
      <c r="BBE3"/>
      <c r="BBG3"/>
      <c r="BBI3"/>
      <c r="BBK3"/>
      <c r="BBM3"/>
      <c r="BBO3"/>
      <c r="BBQ3"/>
      <c r="BBS3"/>
      <c r="BBU3"/>
      <c r="BBW3"/>
      <c r="BBY3"/>
      <c r="BCA3"/>
      <c r="BCC3"/>
      <c r="BCE3"/>
      <c r="BCG3"/>
      <c r="BCI3"/>
      <c r="BCK3"/>
      <c r="BCM3"/>
      <c r="BCO3"/>
      <c r="BCQ3"/>
      <c r="BCS3"/>
      <c r="BCU3"/>
      <c r="BCW3"/>
      <c r="BCY3"/>
      <c r="BDA3"/>
      <c r="BDC3"/>
      <c r="BDE3"/>
      <c r="BDG3"/>
      <c r="BDI3"/>
      <c r="BDK3"/>
      <c r="BDM3"/>
      <c r="BDO3"/>
      <c r="BDQ3"/>
      <c r="BDS3"/>
      <c r="BDU3"/>
      <c r="BDW3"/>
      <c r="BDY3"/>
      <c r="BEA3"/>
      <c r="BEC3"/>
      <c r="BEE3"/>
      <c r="BEG3"/>
      <c r="BEI3"/>
      <c r="BEK3"/>
      <c r="BEM3"/>
      <c r="BEO3"/>
      <c r="BEQ3"/>
      <c r="BES3"/>
      <c r="BEU3"/>
      <c r="BEW3"/>
      <c r="BEY3"/>
      <c r="BFA3"/>
      <c r="BFC3"/>
      <c r="BFE3"/>
      <c r="BFG3"/>
      <c r="BFI3"/>
      <c r="BFK3"/>
      <c r="BFM3"/>
      <c r="BFO3"/>
      <c r="BFQ3"/>
      <c r="BFS3"/>
      <c r="BFU3"/>
      <c r="BFW3"/>
      <c r="BFY3"/>
      <c r="BGA3"/>
      <c r="BGC3"/>
      <c r="BGE3"/>
      <c r="BGG3"/>
      <c r="BGI3"/>
      <c r="BGK3"/>
      <c r="BGM3"/>
      <c r="BGO3"/>
      <c r="BGQ3"/>
      <c r="BGS3"/>
      <c r="BGU3"/>
      <c r="BGW3"/>
      <c r="BGY3"/>
      <c r="BHA3"/>
      <c r="BHC3"/>
      <c r="BHE3"/>
      <c r="BHG3"/>
      <c r="BHI3"/>
      <c r="BHK3"/>
      <c r="BHM3"/>
      <c r="BHO3"/>
      <c r="BHQ3"/>
      <c r="BHS3"/>
      <c r="BHU3"/>
      <c r="BHW3"/>
      <c r="BHY3"/>
      <c r="BIA3"/>
      <c r="BIC3"/>
      <c r="BIE3"/>
      <c r="BIG3"/>
      <c r="BII3"/>
      <c r="BIK3"/>
      <c r="BIM3"/>
      <c r="BIO3"/>
      <c r="BIQ3"/>
      <c r="BIS3"/>
      <c r="BIU3"/>
      <c r="BIW3"/>
      <c r="BIY3"/>
      <c r="BJA3"/>
      <c r="BJC3"/>
      <c r="BJE3"/>
      <c r="BJG3"/>
      <c r="BJI3"/>
      <c r="BJK3"/>
      <c r="BJM3"/>
      <c r="BJO3"/>
      <c r="BJQ3"/>
      <c r="BJS3"/>
      <c r="BJU3"/>
      <c r="BJW3"/>
      <c r="BJY3"/>
      <c r="BKA3"/>
      <c r="BKC3"/>
      <c r="BKE3"/>
      <c r="BKG3"/>
      <c r="BKI3"/>
      <c r="BKK3"/>
      <c r="BKM3"/>
      <c r="BKO3"/>
      <c r="BKQ3"/>
      <c r="BKS3"/>
      <c r="BKU3"/>
      <c r="BKW3"/>
      <c r="BKY3"/>
      <c r="BLA3"/>
      <c r="BLC3"/>
      <c r="BLE3"/>
      <c r="BLG3"/>
      <c r="BLI3"/>
      <c r="BLK3"/>
      <c r="BLM3"/>
      <c r="BLO3"/>
      <c r="BLQ3"/>
      <c r="BLS3"/>
      <c r="BLU3"/>
      <c r="BLW3"/>
      <c r="BLY3"/>
      <c r="BMA3"/>
      <c r="BMC3"/>
      <c r="BME3"/>
      <c r="BMG3"/>
      <c r="BMI3"/>
      <c r="BMK3"/>
      <c r="BMM3"/>
      <c r="BMO3"/>
      <c r="BMQ3"/>
      <c r="BMS3"/>
      <c r="BMU3"/>
      <c r="BMW3"/>
      <c r="BMY3"/>
      <c r="BNA3"/>
      <c r="BNC3"/>
      <c r="BNE3"/>
      <c r="BNG3"/>
      <c r="BNI3"/>
      <c r="BNK3"/>
      <c r="BNM3"/>
      <c r="BNO3"/>
      <c r="BNQ3"/>
      <c r="BNS3"/>
      <c r="BNU3"/>
      <c r="BNW3"/>
      <c r="BNY3"/>
      <c r="BOA3"/>
      <c r="BOC3"/>
      <c r="BOE3"/>
      <c r="BOG3"/>
      <c r="BOI3"/>
      <c r="BOK3"/>
      <c r="BOM3"/>
      <c r="BOO3"/>
      <c r="BOQ3"/>
      <c r="BOS3"/>
      <c r="BOU3"/>
      <c r="BOW3"/>
      <c r="BOY3"/>
      <c r="BPA3"/>
      <c r="BPC3"/>
      <c r="BPE3"/>
      <c r="BPG3"/>
      <c r="BPI3"/>
      <c r="BPK3"/>
      <c r="BPM3"/>
      <c r="BPO3"/>
      <c r="BPQ3"/>
      <c r="BPS3"/>
      <c r="BPU3"/>
      <c r="BPW3"/>
      <c r="BPY3"/>
      <c r="BQA3"/>
      <c r="BQC3"/>
      <c r="BQE3"/>
      <c r="BQG3"/>
      <c r="BQI3"/>
      <c r="BQK3"/>
      <c r="BQM3"/>
      <c r="BQO3"/>
      <c r="BQQ3"/>
      <c r="BQS3"/>
      <c r="BQU3"/>
      <c r="BQW3"/>
      <c r="BQY3"/>
      <c r="BRA3"/>
      <c r="BRC3"/>
      <c r="BRE3"/>
      <c r="BRG3"/>
      <c r="BRI3"/>
      <c r="BRK3"/>
      <c r="BRM3"/>
      <c r="BRO3"/>
      <c r="BRQ3"/>
      <c r="BRS3"/>
      <c r="BRU3"/>
      <c r="BRW3"/>
      <c r="BRY3"/>
      <c r="BSA3"/>
      <c r="BSC3"/>
      <c r="BSE3"/>
      <c r="BSG3"/>
      <c r="BSI3"/>
      <c r="BSK3"/>
      <c r="BSM3"/>
      <c r="BSO3"/>
      <c r="BSQ3"/>
      <c r="BSS3"/>
      <c r="BSU3"/>
      <c r="BSW3"/>
      <c r="BSY3"/>
      <c r="BTA3"/>
      <c r="BTC3"/>
      <c r="BTE3"/>
      <c r="BTG3"/>
      <c r="BTI3"/>
      <c r="BTK3"/>
      <c r="BTM3"/>
      <c r="BTO3"/>
      <c r="BTQ3"/>
      <c r="BTS3"/>
      <c r="BTU3"/>
      <c r="BTW3"/>
      <c r="BTY3"/>
      <c r="BUA3"/>
      <c r="BUC3"/>
      <c r="BUE3"/>
      <c r="BUG3"/>
      <c r="BUI3"/>
      <c r="BUK3"/>
      <c r="BUM3"/>
      <c r="BUO3"/>
      <c r="BUQ3"/>
      <c r="BUS3"/>
      <c r="BUU3"/>
      <c r="BUW3"/>
      <c r="BUY3"/>
      <c r="BVA3"/>
      <c r="BVC3"/>
      <c r="BVE3"/>
      <c r="BVG3"/>
      <c r="BVI3"/>
      <c r="BVK3"/>
      <c r="BVM3"/>
      <c r="BVO3"/>
      <c r="BVQ3"/>
      <c r="BVS3"/>
      <c r="BVU3"/>
      <c r="BVW3"/>
      <c r="BVY3"/>
      <c r="BWA3"/>
      <c r="BWC3"/>
      <c r="BWE3"/>
      <c r="BWG3"/>
      <c r="BWI3"/>
      <c r="BWK3"/>
      <c r="BWM3"/>
      <c r="BWO3"/>
      <c r="BWQ3"/>
      <c r="BWS3"/>
      <c r="BWU3"/>
      <c r="BWW3"/>
      <c r="BWY3"/>
      <c r="BXA3"/>
      <c r="BXC3"/>
      <c r="BXE3"/>
      <c r="BXG3"/>
      <c r="BXI3"/>
      <c r="BXK3"/>
      <c r="BXM3"/>
      <c r="BXO3"/>
      <c r="BXQ3"/>
      <c r="BXS3"/>
      <c r="BXU3"/>
      <c r="BXW3"/>
      <c r="BXY3"/>
      <c r="BYA3"/>
      <c r="BYC3"/>
      <c r="BYE3"/>
      <c r="BYG3"/>
      <c r="BYI3"/>
      <c r="BYK3"/>
      <c r="BYM3"/>
      <c r="BYO3"/>
      <c r="BYQ3"/>
      <c r="BYS3"/>
      <c r="BYU3"/>
      <c r="BYW3"/>
      <c r="BYY3"/>
      <c r="BZA3"/>
      <c r="BZC3"/>
      <c r="BZE3"/>
      <c r="BZG3"/>
      <c r="BZI3"/>
      <c r="BZK3"/>
      <c r="BZM3"/>
      <c r="BZO3"/>
      <c r="BZQ3"/>
      <c r="BZS3"/>
      <c r="BZU3"/>
      <c r="BZW3"/>
      <c r="BZY3"/>
      <c r="CAA3"/>
      <c r="CAC3"/>
      <c r="CAE3"/>
      <c r="CAG3"/>
      <c r="CAI3"/>
      <c r="CAK3"/>
      <c r="CAM3"/>
      <c r="CAO3"/>
      <c r="CAQ3"/>
      <c r="CAS3"/>
      <c r="CAU3"/>
      <c r="CAW3"/>
      <c r="CAY3"/>
      <c r="CBA3"/>
      <c r="CBC3"/>
      <c r="CBE3"/>
      <c r="CBG3"/>
      <c r="CBI3"/>
      <c r="CBK3"/>
      <c r="CBM3"/>
      <c r="CBO3"/>
      <c r="CBQ3"/>
      <c r="CBS3"/>
      <c r="CBU3"/>
      <c r="CBW3"/>
      <c r="CBY3"/>
      <c r="CCA3"/>
      <c r="CCC3"/>
      <c r="CCE3"/>
      <c r="CCG3"/>
      <c r="CCI3"/>
      <c r="CCK3"/>
      <c r="CCM3"/>
      <c r="CCO3"/>
      <c r="CCQ3"/>
      <c r="CCS3"/>
      <c r="CCU3"/>
      <c r="CCW3"/>
      <c r="CCY3"/>
      <c r="CDA3"/>
      <c r="CDC3"/>
      <c r="CDE3"/>
      <c r="CDG3"/>
      <c r="CDI3"/>
      <c r="CDK3"/>
      <c r="CDM3"/>
      <c r="CDO3"/>
      <c r="CDQ3"/>
      <c r="CDS3"/>
      <c r="CDU3"/>
      <c r="CDW3"/>
      <c r="CDY3"/>
      <c r="CEA3"/>
      <c r="CEC3"/>
      <c r="CEE3"/>
      <c r="CEG3"/>
      <c r="CEI3"/>
      <c r="CEK3"/>
      <c r="CEM3"/>
      <c r="CEO3"/>
      <c r="CEQ3"/>
      <c r="CES3"/>
      <c r="CEU3"/>
      <c r="CEW3"/>
      <c r="CEY3"/>
      <c r="CFA3"/>
      <c r="CFC3"/>
      <c r="CFE3"/>
      <c r="CFG3"/>
      <c r="CFI3"/>
      <c r="CFK3"/>
      <c r="CFM3"/>
      <c r="CFO3"/>
      <c r="CFQ3"/>
      <c r="CFS3"/>
      <c r="CFU3"/>
      <c r="CFW3"/>
      <c r="CFY3"/>
      <c r="CGA3"/>
      <c r="CGC3"/>
      <c r="CGE3"/>
      <c r="CGG3"/>
      <c r="CGI3"/>
      <c r="CGK3"/>
      <c r="CGM3"/>
      <c r="CGO3"/>
      <c r="CGQ3"/>
      <c r="CGS3"/>
      <c r="CGU3"/>
      <c r="CGW3"/>
      <c r="CGY3"/>
      <c r="CHA3"/>
      <c r="CHC3"/>
      <c r="CHE3"/>
      <c r="CHG3"/>
      <c r="CHI3"/>
      <c r="CHK3"/>
      <c r="CHM3"/>
      <c r="CHO3"/>
      <c r="CHQ3"/>
      <c r="CHS3"/>
      <c r="CHU3"/>
      <c r="CHW3"/>
      <c r="CHY3"/>
      <c r="CIA3"/>
      <c r="CIC3"/>
      <c r="CIE3"/>
      <c r="CIG3"/>
      <c r="CII3"/>
      <c r="CIK3"/>
      <c r="CIM3"/>
      <c r="CIO3"/>
      <c r="CIQ3"/>
      <c r="CIS3"/>
      <c r="CIU3"/>
      <c r="CIW3"/>
      <c r="CIY3"/>
      <c r="CJA3"/>
      <c r="CJC3"/>
      <c r="CJE3"/>
      <c r="CJG3"/>
      <c r="CJI3"/>
      <c r="CJK3"/>
      <c r="CJM3"/>
      <c r="CJO3"/>
      <c r="CJQ3"/>
      <c r="CJS3"/>
      <c r="CJU3"/>
      <c r="CJW3"/>
      <c r="CJY3"/>
      <c r="CKA3"/>
      <c r="CKC3"/>
      <c r="CKE3"/>
      <c r="CKG3"/>
      <c r="CKI3"/>
      <c r="CKK3"/>
      <c r="CKM3"/>
      <c r="CKO3"/>
      <c r="CKQ3"/>
      <c r="CKS3"/>
      <c r="CKU3"/>
      <c r="CKW3"/>
      <c r="CKY3"/>
      <c r="CLA3"/>
      <c r="CLC3"/>
      <c r="CLE3"/>
      <c r="CLG3"/>
      <c r="CLI3"/>
      <c r="CLK3"/>
      <c r="CLM3"/>
      <c r="CLO3"/>
      <c r="CLQ3"/>
      <c r="CLS3"/>
      <c r="CLU3"/>
      <c r="CLW3"/>
      <c r="CLY3"/>
      <c r="CMA3"/>
      <c r="CMC3"/>
      <c r="CME3"/>
      <c r="CMG3"/>
      <c r="CMI3"/>
      <c r="CMK3"/>
      <c r="CMM3"/>
      <c r="CMO3"/>
      <c r="CMQ3"/>
      <c r="CMS3"/>
      <c r="CMU3"/>
      <c r="CMW3"/>
      <c r="CMY3"/>
      <c r="CNA3"/>
      <c r="CNC3"/>
      <c r="CNE3"/>
      <c r="CNG3"/>
      <c r="CNI3"/>
      <c r="CNK3"/>
      <c r="CNM3"/>
      <c r="CNO3"/>
      <c r="CNQ3"/>
      <c r="CNS3"/>
      <c r="CNU3"/>
      <c r="CNW3"/>
      <c r="CNY3"/>
      <c r="COA3"/>
      <c r="COC3"/>
      <c r="COE3"/>
      <c r="COG3"/>
      <c r="COI3"/>
      <c r="COK3"/>
      <c r="COM3"/>
      <c r="COO3"/>
      <c r="COQ3"/>
      <c r="COS3"/>
      <c r="COU3"/>
      <c r="COW3"/>
      <c r="COY3"/>
      <c r="CPA3"/>
      <c r="CPC3"/>
      <c r="CPE3"/>
      <c r="CPG3"/>
      <c r="CPI3"/>
      <c r="CPK3"/>
      <c r="CPM3"/>
      <c r="CPO3"/>
      <c r="CPQ3"/>
      <c r="CPS3"/>
      <c r="CPU3"/>
      <c r="CPW3"/>
      <c r="CPY3"/>
      <c r="CQA3"/>
      <c r="CQC3"/>
      <c r="CQE3"/>
      <c r="CQG3"/>
      <c r="CQI3"/>
      <c r="CQK3"/>
      <c r="CQM3"/>
      <c r="CQO3"/>
      <c r="CQQ3"/>
      <c r="CQS3"/>
      <c r="CQU3"/>
      <c r="CQW3"/>
      <c r="CQY3"/>
      <c r="CRA3"/>
      <c r="CRC3"/>
      <c r="CRE3"/>
      <c r="CRG3"/>
      <c r="CRI3"/>
      <c r="CRK3"/>
      <c r="CRM3"/>
      <c r="CRO3"/>
      <c r="CRQ3"/>
      <c r="CRS3"/>
      <c r="CRU3"/>
      <c r="CRW3"/>
      <c r="CRY3"/>
      <c r="CSA3"/>
      <c r="CSC3"/>
      <c r="CSE3"/>
      <c r="CSG3"/>
      <c r="CSI3"/>
      <c r="CSK3"/>
      <c r="CSM3"/>
      <c r="CSO3"/>
      <c r="CSQ3"/>
      <c r="CSS3"/>
      <c r="CSU3"/>
      <c r="CSW3"/>
      <c r="CSY3"/>
      <c r="CTA3"/>
      <c r="CTC3"/>
      <c r="CTE3"/>
      <c r="CTG3"/>
      <c r="CTI3"/>
      <c r="CTK3"/>
      <c r="CTM3"/>
      <c r="CTO3"/>
      <c r="CTQ3"/>
      <c r="CTS3"/>
      <c r="CTU3"/>
      <c r="CTW3"/>
      <c r="CTY3"/>
      <c r="CUA3"/>
      <c r="CUC3"/>
      <c r="CUE3"/>
      <c r="CUG3"/>
      <c r="CUI3"/>
      <c r="CUK3"/>
      <c r="CUM3"/>
      <c r="CUO3"/>
      <c r="CUQ3"/>
      <c r="CUS3"/>
      <c r="CUU3"/>
      <c r="CUW3"/>
      <c r="CUY3"/>
      <c r="CVA3"/>
      <c r="CVC3"/>
      <c r="CVE3"/>
      <c r="CVG3"/>
      <c r="CVI3"/>
      <c r="CVK3"/>
      <c r="CVM3"/>
      <c r="CVO3"/>
      <c r="CVQ3"/>
      <c r="CVS3"/>
      <c r="CVU3"/>
      <c r="CVW3"/>
      <c r="CVY3"/>
      <c r="CWA3"/>
      <c r="CWC3"/>
      <c r="CWE3"/>
      <c r="CWG3"/>
      <c r="CWI3"/>
      <c r="CWK3"/>
      <c r="CWM3"/>
      <c r="CWO3"/>
      <c r="CWQ3"/>
      <c r="CWS3"/>
      <c r="CWU3"/>
      <c r="CWW3"/>
      <c r="CWY3"/>
      <c r="CXA3"/>
      <c r="CXC3"/>
      <c r="CXE3"/>
      <c r="CXG3"/>
      <c r="CXI3"/>
      <c r="CXK3"/>
      <c r="CXM3"/>
      <c r="CXO3"/>
      <c r="CXQ3"/>
      <c r="CXS3"/>
      <c r="CXU3"/>
      <c r="CXW3"/>
      <c r="CXY3"/>
      <c r="CYA3"/>
      <c r="CYC3"/>
      <c r="CYE3"/>
      <c r="CYG3"/>
      <c r="CYI3"/>
      <c r="CYK3"/>
      <c r="CYM3"/>
      <c r="CYO3"/>
      <c r="CYQ3"/>
      <c r="CYS3"/>
      <c r="CYU3"/>
      <c r="CYW3"/>
      <c r="CYY3"/>
      <c r="CZA3"/>
      <c r="CZC3"/>
      <c r="CZE3"/>
      <c r="CZG3"/>
      <c r="CZI3"/>
      <c r="CZK3"/>
      <c r="CZM3"/>
      <c r="CZO3"/>
      <c r="CZQ3"/>
      <c r="CZS3"/>
      <c r="CZU3"/>
      <c r="CZW3"/>
      <c r="CZY3"/>
      <c r="DAA3"/>
      <c r="DAC3"/>
      <c r="DAE3"/>
      <c r="DAG3"/>
      <c r="DAI3"/>
      <c r="DAK3"/>
      <c r="DAM3"/>
      <c r="DAO3"/>
      <c r="DAQ3"/>
      <c r="DAS3"/>
      <c r="DAU3"/>
      <c r="DAW3"/>
      <c r="DAY3"/>
      <c r="DBA3"/>
      <c r="DBC3"/>
      <c r="DBE3"/>
      <c r="DBG3"/>
      <c r="DBI3"/>
      <c r="DBK3"/>
      <c r="DBM3"/>
      <c r="DBO3"/>
      <c r="DBQ3"/>
      <c r="DBS3"/>
      <c r="DBU3"/>
      <c r="DBW3"/>
      <c r="DBY3"/>
      <c r="DCA3"/>
      <c r="DCC3"/>
      <c r="DCE3"/>
      <c r="DCG3"/>
      <c r="DCI3"/>
      <c r="DCK3"/>
      <c r="DCM3"/>
      <c r="DCO3"/>
      <c r="DCQ3"/>
      <c r="DCS3"/>
      <c r="DCU3"/>
      <c r="DCW3"/>
      <c r="DCY3"/>
      <c r="DDA3"/>
      <c r="DDC3"/>
      <c r="DDE3"/>
      <c r="DDG3"/>
      <c r="DDI3"/>
      <c r="DDK3"/>
      <c r="DDM3"/>
      <c r="DDO3"/>
      <c r="DDQ3"/>
      <c r="DDS3"/>
      <c r="DDU3"/>
      <c r="DDW3"/>
      <c r="DDY3"/>
      <c r="DEA3"/>
      <c r="DEC3"/>
      <c r="DEE3"/>
      <c r="DEG3"/>
      <c r="DEI3"/>
      <c r="DEK3"/>
      <c r="DEM3"/>
      <c r="DEO3"/>
      <c r="DEQ3"/>
      <c r="DES3"/>
      <c r="DEU3"/>
      <c r="DEW3"/>
      <c r="DEY3"/>
      <c r="DFA3"/>
      <c r="DFC3"/>
      <c r="DFE3"/>
      <c r="DFG3"/>
      <c r="DFI3"/>
      <c r="DFK3"/>
      <c r="DFM3"/>
      <c r="DFO3"/>
      <c r="DFQ3"/>
      <c r="DFS3"/>
      <c r="DFU3"/>
      <c r="DFW3"/>
      <c r="DFY3"/>
      <c r="DGA3"/>
      <c r="DGC3"/>
      <c r="DGE3"/>
      <c r="DGG3"/>
      <c r="DGI3"/>
      <c r="DGK3"/>
      <c r="DGM3"/>
      <c r="DGO3"/>
      <c r="DGQ3"/>
      <c r="DGS3"/>
      <c r="DGU3"/>
      <c r="DGW3"/>
      <c r="DGY3"/>
      <c r="DHA3"/>
      <c r="DHC3"/>
      <c r="DHE3"/>
      <c r="DHG3"/>
      <c r="DHI3"/>
      <c r="DHK3"/>
      <c r="DHM3"/>
      <c r="DHO3"/>
      <c r="DHQ3"/>
      <c r="DHS3"/>
      <c r="DHU3"/>
      <c r="DHW3"/>
      <c r="DHY3"/>
      <c r="DIA3"/>
      <c r="DIC3"/>
      <c r="DIE3"/>
      <c r="DIG3"/>
      <c r="DII3"/>
      <c r="DIK3"/>
      <c r="DIM3"/>
      <c r="DIO3"/>
      <c r="DIQ3"/>
      <c r="DIS3"/>
      <c r="DIU3"/>
      <c r="DIW3"/>
      <c r="DIY3"/>
      <c r="DJA3"/>
      <c r="DJC3"/>
      <c r="DJE3"/>
      <c r="DJG3"/>
      <c r="DJI3"/>
      <c r="DJK3"/>
      <c r="DJM3"/>
      <c r="DJO3"/>
      <c r="DJQ3"/>
      <c r="DJS3"/>
      <c r="DJU3"/>
      <c r="DJW3"/>
      <c r="DJY3"/>
      <c r="DKA3"/>
      <c r="DKC3"/>
      <c r="DKE3"/>
      <c r="DKG3"/>
      <c r="DKI3"/>
      <c r="DKK3"/>
      <c r="DKM3"/>
      <c r="DKO3"/>
      <c r="DKQ3"/>
      <c r="DKS3"/>
      <c r="DKU3"/>
      <c r="DKW3"/>
      <c r="DKY3"/>
      <c r="DLA3"/>
      <c r="DLC3"/>
      <c r="DLE3"/>
      <c r="DLG3"/>
      <c r="DLI3"/>
      <c r="DLK3"/>
      <c r="DLM3"/>
      <c r="DLO3"/>
      <c r="DLQ3"/>
      <c r="DLS3"/>
      <c r="DLU3"/>
      <c r="DLW3"/>
      <c r="DLY3"/>
      <c r="DMA3"/>
      <c r="DMC3"/>
      <c r="DME3"/>
      <c r="DMG3"/>
      <c r="DMI3"/>
      <c r="DMK3"/>
      <c r="DMM3"/>
      <c r="DMO3"/>
      <c r="DMQ3"/>
      <c r="DMS3"/>
      <c r="DMU3"/>
      <c r="DMW3"/>
      <c r="DMY3"/>
      <c r="DNA3"/>
      <c r="DNC3"/>
      <c r="DNE3"/>
      <c r="DNG3"/>
      <c r="DNI3"/>
      <c r="DNK3"/>
      <c r="DNM3"/>
      <c r="DNO3"/>
      <c r="DNQ3"/>
      <c r="DNS3"/>
      <c r="DNU3"/>
      <c r="DNW3"/>
      <c r="DNY3"/>
      <c r="DOA3"/>
      <c r="DOC3"/>
      <c r="DOE3"/>
      <c r="DOG3"/>
      <c r="DOI3"/>
      <c r="DOK3"/>
      <c r="DOM3"/>
      <c r="DOO3"/>
      <c r="DOQ3"/>
      <c r="DOS3"/>
      <c r="DOU3"/>
      <c r="DOW3"/>
      <c r="DOY3"/>
      <c r="DPA3"/>
      <c r="DPC3"/>
      <c r="DPE3"/>
      <c r="DPG3"/>
      <c r="DPI3"/>
      <c r="DPK3"/>
      <c r="DPM3"/>
      <c r="DPO3"/>
      <c r="DPQ3"/>
      <c r="DPS3"/>
      <c r="DPU3"/>
      <c r="DPW3"/>
      <c r="DPY3"/>
      <c r="DQA3"/>
      <c r="DQC3"/>
      <c r="DQE3"/>
      <c r="DQG3"/>
      <c r="DQI3"/>
      <c r="DQK3"/>
      <c r="DQM3"/>
      <c r="DQO3"/>
      <c r="DQQ3"/>
      <c r="DQS3"/>
      <c r="DQU3"/>
      <c r="DQW3"/>
      <c r="DQY3"/>
      <c r="DRA3"/>
      <c r="DRC3"/>
      <c r="DRE3"/>
      <c r="DRG3"/>
      <c r="DRI3"/>
      <c r="DRK3"/>
      <c r="DRM3"/>
      <c r="DRO3"/>
      <c r="DRQ3"/>
      <c r="DRS3"/>
      <c r="DRU3"/>
      <c r="DRW3"/>
      <c r="DRY3"/>
      <c r="DSA3"/>
      <c r="DSC3"/>
      <c r="DSE3"/>
      <c r="DSG3"/>
      <c r="DSI3"/>
      <c r="DSK3"/>
      <c r="DSM3"/>
      <c r="DSO3"/>
      <c r="DSQ3"/>
      <c r="DSS3"/>
      <c r="DSU3"/>
      <c r="DSW3"/>
      <c r="DSY3"/>
      <c r="DTA3"/>
      <c r="DTC3"/>
      <c r="DTE3"/>
      <c r="DTG3"/>
      <c r="DTI3"/>
      <c r="DTK3"/>
      <c r="DTM3"/>
      <c r="DTO3"/>
      <c r="DTQ3"/>
      <c r="DTS3"/>
      <c r="DTU3"/>
      <c r="DTW3"/>
      <c r="DTY3"/>
      <c r="DUA3"/>
      <c r="DUC3"/>
      <c r="DUE3"/>
      <c r="DUG3"/>
      <c r="DUI3"/>
      <c r="DUK3"/>
      <c r="DUM3"/>
      <c r="DUO3"/>
      <c r="DUQ3"/>
      <c r="DUS3"/>
      <c r="DUU3"/>
      <c r="DUW3"/>
      <c r="DUY3"/>
      <c r="DVA3"/>
      <c r="DVC3"/>
      <c r="DVE3"/>
      <c r="DVG3"/>
      <c r="DVI3"/>
      <c r="DVK3"/>
      <c r="DVM3"/>
      <c r="DVO3"/>
      <c r="DVQ3"/>
      <c r="DVS3"/>
      <c r="DVU3"/>
      <c r="DVW3"/>
      <c r="DVY3"/>
      <c r="DWA3"/>
      <c r="DWC3"/>
      <c r="DWE3"/>
      <c r="DWG3"/>
      <c r="DWI3"/>
      <c r="DWK3"/>
      <c r="DWM3"/>
      <c r="DWO3"/>
      <c r="DWQ3"/>
      <c r="DWS3"/>
      <c r="DWU3"/>
      <c r="DWW3"/>
      <c r="DWY3"/>
      <c r="DXA3"/>
      <c r="DXC3"/>
      <c r="DXE3"/>
      <c r="DXG3"/>
      <c r="DXI3"/>
      <c r="DXK3"/>
      <c r="DXM3"/>
      <c r="DXO3"/>
      <c r="DXQ3"/>
      <c r="DXS3"/>
      <c r="DXU3"/>
      <c r="DXW3"/>
      <c r="DXY3"/>
      <c r="DYA3"/>
      <c r="DYC3"/>
      <c r="DYE3"/>
      <c r="DYG3"/>
      <c r="DYI3"/>
      <c r="DYK3"/>
      <c r="DYM3"/>
      <c r="DYO3"/>
      <c r="DYQ3"/>
      <c r="DYS3"/>
      <c r="DYU3"/>
      <c r="DYW3"/>
      <c r="DYY3"/>
      <c r="DZA3"/>
      <c r="DZC3"/>
      <c r="DZE3"/>
      <c r="DZG3"/>
      <c r="DZI3"/>
      <c r="DZK3"/>
      <c r="DZM3"/>
      <c r="DZO3"/>
      <c r="DZQ3"/>
      <c r="DZS3"/>
      <c r="DZU3"/>
      <c r="DZW3"/>
      <c r="DZY3"/>
      <c r="EAA3"/>
      <c r="EAC3"/>
      <c r="EAE3"/>
      <c r="EAG3"/>
      <c r="EAI3"/>
      <c r="EAK3"/>
      <c r="EAM3"/>
      <c r="EAO3"/>
      <c r="EAQ3"/>
      <c r="EAS3"/>
      <c r="EAU3"/>
      <c r="EAW3"/>
      <c r="EAY3"/>
      <c r="EBA3"/>
      <c r="EBC3"/>
      <c r="EBE3"/>
      <c r="EBG3"/>
      <c r="EBI3"/>
      <c r="EBK3"/>
      <c r="EBM3"/>
      <c r="EBO3"/>
      <c r="EBQ3"/>
      <c r="EBS3"/>
      <c r="EBU3"/>
      <c r="EBW3"/>
      <c r="EBY3"/>
      <c r="ECA3"/>
      <c r="ECC3"/>
      <c r="ECE3"/>
      <c r="ECG3"/>
      <c r="ECI3"/>
      <c r="ECK3"/>
      <c r="ECM3"/>
      <c r="ECO3"/>
      <c r="ECQ3"/>
      <c r="ECS3"/>
      <c r="ECU3"/>
      <c r="ECW3"/>
      <c r="ECY3"/>
      <c r="EDA3"/>
      <c r="EDC3"/>
      <c r="EDE3"/>
      <c r="EDG3"/>
      <c r="EDI3"/>
      <c r="EDK3"/>
      <c r="EDM3"/>
      <c r="EDO3"/>
      <c r="EDQ3"/>
      <c r="EDS3"/>
      <c r="EDU3"/>
      <c r="EDW3"/>
      <c r="EDY3"/>
      <c r="EEA3"/>
      <c r="EEC3"/>
      <c r="EEE3"/>
      <c r="EEG3"/>
      <c r="EEI3"/>
      <c r="EEK3"/>
      <c r="EEM3"/>
      <c r="EEO3"/>
      <c r="EEQ3"/>
      <c r="EES3"/>
      <c r="EEU3"/>
      <c r="EEW3"/>
      <c r="EEY3"/>
      <c r="EFA3"/>
      <c r="EFC3"/>
      <c r="EFE3"/>
      <c r="EFG3"/>
      <c r="EFI3"/>
      <c r="EFK3"/>
      <c r="EFM3"/>
      <c r="EFO3"/>
      <c r="EFQ3"/>
      <c r="EFS3"/>
      <c r="EFU3"/>
      <c r="EFW3"/>
      <c r="EFY3"/>
      <c r="EGA3"/>
      <c r="EGC3"/>
      <c r="EGE3"/>
      <c r="EGG3"/>
      <c r="EGI3"/>
      <c r="EGK3"/>
      <c r="EGM3"/>
      <c r="EGO3"/>
      <c r="EGQ3"/>
      <c r="EGS3"/>
      <c r="EGU3"/>
      <c r="EGW3"/>
      <c r="EGY3"/>
      <c r="EHA3"/>
      <c r="EHC3"/>
      <c r="EHE3"/>
      <c r="EHG3"/>
      <c r="EHI3"/>
      <c r="EHK3"/>
      <c r="EHM3"/>
      <c r="EHO3"/>
      <c r="EHQ3"/>
      <c r="EHS3"/>
      <c r="EHU3"/>
      <c r="EHW3"/>
      <c r="EHY3"/>
      <c r="EIA3"/>
      <c r="EIC3"/>
      <c r="EIE3"/>
      <c r="EIG3"/>
      <c r="EII3"/>
      <c r="EIK3"/>
      <c r="EIM3"/>
      <c r="EIO3"/>
      <c r="EIQ3"/>
      <c r="EIS3"/>
      <c r="EIU3"/>
      <c r="EIW3"/>
      <c r="EIY3"/>
      <c r="EJA3"/>
      <c r="EJC3"/>
      <c r="EJE3"/>
      <c r="EJG3"/>
      <c r="EJI3"/>
      <c r="EJK3"/>
      <c r="EJM3"/>
      <c r="EJO3"/>
      <c r="EJQ3"/>
      <c r="EJS3"/>
      <c r="EJU3"/>
      <c r="EJW3"/>
      <c r="EJY3"/>
      <c r="EKA3"/>
      <c r="EKC3"/>
      <c r="EKE3"/>
      <c r="EKG3"/>
      <c r="EKI3"/>
      <c r="EKK3"/>
      <c r="EKM3"/>
      <c r="EKO3"/>
      <c r="EKQ3"/>
      <c r="EKS3"/>
      <c r="EKU3"/>
      <c r="EKW3"/>
      <c r="EKY3"/>
      <c r="ELA3"/>
      <c r="ELC3"/>
      <c r="ELE3"/>
      <c r="ELG3"/>
      <c r="ELI3"/>
      <c r="ELK3"/>
      <c r="ELM3"/>
      <c r="ELO3"/>
      <c r="ELQ3"/>
      <c r="ELS3"/>
      <c r="ELU3"/>
      <c r="ELW3"/>
      <c r="ELY3"/>
      <c r="EMA3"/>
      <c r="EMC3"/>
      <c r="EME3"/>
      <c r="EMG3"/>
      <c r="EMI3"/>
      <c r="EMK3"/>
      <c r="EMM3"/>
      <c r="EMO3"/>
      <c r="EMQ3"/>
      <c r="EMS3"/>
      <c r="EMU3"/>
      <c r="EMW3"/>
      <c r="EMY3"/>
      <c r="ENA3"/>
      <c r="ENC3"/>
      <c r="ENE3"/>
      <c r="ENG3"/>
      <c r="ENI3"/>
      <c r="ENK3"/>
      <c r="ENM3"/>
      <c r="ENO3"/>
      <c r="ENQ3"/>
      <c r="ENS3"/>
      <c r="ENU3"/>
      <c r="ENW3"/>
      <c r="ENY3"/>
      <c r="EOA3"/>
      <c r="EOC3"/>
      <c r="EOE3"/>
      <c r="EOG3"/>
      <c r="EOI3"/>
      <c r="EOK3"/>
      <c r="EOM3"/>
      <c r="EOO3"/>
      <c r="EOQ3"/>
      <c r="EOS3"/>
      <c r="EOU3"/>
      <c r="EOW3"/>
      <c r="EOY3"/>
      <c r="EPA3"/>
      <c r="EPC3"/>
      <c r="EPE3"/>
      <c r="EPG3"/>
      <c r="EPI3"/>
      <c r="EPK3"/>
      <c r="EPM3"/>
      <c r="EPO3"/>
      <c r="EPQ3"/>
      <c r="EPS3"/>
      <c r="EPU3"/>
      <c r="EPW3"/>
      <c r="EPY3"/>
      <c r="EQA3"/>
      <c r="EQC3"/>
      <c r="EQE3"/>
      <c r="EQG3"/>
      <c r="EQI3"/>
      <c r="EQK3"/>
      <c r="EQM3"/>
      <c r="EQO3"/>
      <c r="EQQ3"/>
      <c r="EQS3"/>
      <c r="EQU3"/>
      <c r="EQW3"/>
      <c r="EQY3"/>
      <c r="ERA3"/>
      <c r="ERC3"/>
      <c r="ERE3"/>
      <c r="ERG3"/>
      <c r="ERI3"/>
      <c r="ERK3"/>
      <c r="ERM3"/>
      <c r="ERO3"/>
      <c r="ERQ3"/>
      <c r="ERS3"/>
      <c r="ERU3"/>
      <c r="ERW3"/>
      <c r="ERY3"/>
      <c r="ESA3"/>
      <c r="ESC3"/>
      <c r="ESE3"/>
      <c r="ESG3"/>
      <c r="ESI3"/>
      <c r="ESK3"/>
      <c r="ESM3"/>
      <c r="ESO3"/>
      <c r="ESQ3"/>
      <c r="ESS3"/>
      <c r="ESU3"/>
      <c r="ESW3"/>
      <c r="ESY3"/>
      <c r="ETA3"/>
      <c r="ETC3"/>
      <c r="ETE3"/>
      <c r="ETG3"/>
      <c r="ETI3"/>
      <c r="ETK3"/>
      <c r="ETM3"/>
      <c r="ETO3"/>
      <c r="ETQ3"/>
      <c r="ETS3"/>
      <c r="ETU3"/>
      <c r="ETW3"/>
      <c r="ETY3"/>
      <c r="EUA3"/>
      <c r="EUC3"/>
      <c r="EUE3"/>
      <c r="EUG3"/>
      <c r="EUI3"/>
      <c r="EUK3"/>
      <c r="EUM3"/>
      <c r="EUO3"/>
      <c r="EUQ3"/>
      <c r="EUS3"/>
      <c r="EUU3"/>
      <c r="EUW3"/>
      <c r="EUY3"/>
      <c r="EVA3"/>
      <c r="EVC3"/>
      <c r="EVE3"/>
      <c r="EVG3"/>
      <c r="EVI3"/>
      <c r="EVK3"/>
      <c r="EVM3"/>
      <c r="EVO3"/>
      <c r="EVQ3"/>
      <c r="EVS3"/>
      <c r="EVU3"/>
      <c r="EVW3"/>
      <c r="EVY3"/>
      <c r="EWA3"/>
      <c r="EWC3"/>
      <c r="EWE3"/>
      <c r="EWG3"/>
      <c r="EWI3"/>
      <c r="EWK3"/>
      <c r="EWM3"/>
      <c r="EWO3"/>
      <c r="EWQ3"/>
      <c r="EWS3"/>
      <c r="EWU3"/>
      <c r="EWW3"/>
      <c r="EWY3"/>
      <c r="EXA3"/>
      <c r="EXC3"/>
      <c r="EXE3"/>
      <c r="EXG3"/>
      <c r="EXI3"/>
      <c r="EXK3"/>
      <c r="EXM3"/>
      <c r="EXO3"/>
      <c r="EXQ3"/>
      <c r="EXS3"/>
      <c r="EXU3"/>
      <c r="EXW3"/>
      <c r="EXY3"/>
      <c r="EYA3"/>
      <c r="EYC3"/>
      <c r="EYE3"/>
      <c r="EYG3"/>
      <c r="EYI3"/>
      <c r="EYK3"/>
      <c r="EYM3"/>
      <c r="EYO3"/>
      <c r="EYQ3"/>
      <c r="EYS3"/>
      <c r="EYU3"/>
      <c r="EYW3"/>
      <c r="EYY3"/>
      <c r="EZA3"/>
      <c r="EZC3"/>
      <c r="EZE3"/>
      <c r="EZG3"/>
      <c r="EZI3"/>
      <c r="EZK3"/>
      <c r="EZM3"/>
      <c r="EZO3"/>
      <c r="EZQ3"/>
      <c r="EZS3"/>
      <c r="EZU3"/>
      <c r="EZW3"/>
      <c r="EZY3"/>
      <c r="FAA3"/>
      <c r="FAC3"/>
      <c r="FAE3"/>
      <c r="FAG3"/>
      <c r="FAI3"/>
      <c r="FAK3"/>
      <c r="FAM3"/>
      <c r="FAO3"/>
      <c r="FAQ3"/>
      <c r="FAS3"/>
      <c r="FAU3"/>
      <c r="FAW3"/>
      <c r="FAY3"/>
      <c r="FBA3"/>
      <c r="FBC3"/>
      <c r="FBE3"/>
      <c r="FBG3"/>
      <c r="FBI3"/>
      <c r="FBK3"/>
      <c r="FBM3"/>
      <c r="FBO3"/>
      <c r="FBQ3"/>
      <c r="FBS3"/>
      <c r="FBU3"/>
      <c r="FBW3"/>
      <c r="FBY3"/>
      <c r="FCA3"/>
      <c r="FCC3"/>
      <c r="FCE3"/>
      <c r="FCG3"/>
      <c r="FCI3"/>
      <c r="FCK3"/>
      <c r="FCM3"/>
      <c r="FCO3"/>
      <c r="FCQ3"/>
      <c r="FCS3"/>
      <c r="FCU3"/>
      <c r="FCW3"/>
      <c r="FCY3"/>
      <c r="FDA3"/>
      <c r="FDC3"/>
      <c r="FDE3"/>
      <c r="FDG3"/>
      <c r="FDI3"/>
      <c r="FDK3"/>
      <c r="FDM3"/>
      <c r="FDO3"/>
      <c r="FDQ3"/>
      <c r="FDS3"/>
      <c r="FDU3"/>
      <c r="FDW3"/>
      <c r="FDY3"/>
      <c r="FEA3"/>
      <c r="FEC3"/>
      <c r="FEE3"/>
      <c r="FEG3"/>
      <c r="FEI3"/>
      <c r="FEK3"/>
      <c r="FEM3"/>
      <c r="FEO3"/>
      <c r="FEQ3"/>
      <c r="FES3"/>
      <c r="FEU3"/>
      <c r="FEW3"/>
      <c r="FEY3"/>
      <c r="FFA3"/>
      <c r="FFC3"/>
      <c r="FFE3"/>
      <c r="FFG3"/>
      <c r="FFI3"/>
      <c r="FFK3"/>
      <c r="FFM3"/>
      <c r="FFO3"/>
      <c r="FFQ3"/>
      <c r="FFS3"/>
      <c r="FFU3"/>
      <c r="FFW3"/>
      <c r="FFY3"/>
      <c r="FGA3"/>
      <c r="FGC3"/>
      <c r="FGE3"/>
      <c r="FGG3"/>
      <c r="FGI3"/>
      <c r="FGK3"/>
      <c r="FGM3"/>
      <c r="FGO3"/>
      <c r="FGQ3"/>
      <c r="FGS3"/>
      <c r="FGU3"/>
      <c r="FGW3"/>
      <c r="FGY3"/>
      <c r="FHA3"/>
      <c r="FHC3"/>
      <c r="FHE3"/>
      <c r="FHG3"/>
      <c r="FHI3"/>
      <c r="FHK3"/>
      <c r="FHM3"/>
      <c r="FHO3"/>
      <c r="FHQ3"/>
      <c r="FHS3"/>
      <c r="FHU3"/>
      <c r="FHW3"/>
      <c r="FHY3"/>
      <c r="FIA3"/>
      <c r="FIC3"/>
      <c r="FIE3"/>
      <c r="FIG3"/>
      <c r="FII3"/>
      <c r="FIK3"/>
      <c r="FIM3"/>
      <c r="FIO3"/>
      <c r="FIQ3"/>
      <c r="FIS3"/>
      <c r="FIU3"/>
      <c r="FIW3"/>
      <c r="FIY3"/>
      <c r="FJA3"/>
      <c r="FJC3"/>
      <c r="FJE3"/>
      <c r="FJG3"/>
      <c r="FJI3"/>
      <c r="FJK3"/>
      <c r="FJM3"/>
      <c r="FJO3"/>
      <c r="FJQ3"/>
      <c r="FJS3"/>
      <c r="FJU3"/>
      <c r="FJW3"/>
      <c r="FJY3"/>
      <c r="FKA3"/>
      <c r="FKC3"/>
      <c r="FKE3"/>
      <c r="FKG3"/>
      <c r="FKI3"/>
      <c r="FKK3"/>
      <c r="FKM3"/>
      <c r="FKO3"/>
      <c r="FKQ3"/>
      <c r="FKS3"/>
      <c r="FKU3"/>
      <c r="FKW3"/>
      <c r="FKY3"/>
      <c r="FLA3"/>
      <c r="FLC3"/>
      <c r="FLE3"/>
      <c r="FLG3"/>
      <c r="FLI3"/>
      <c r="FLK3"/>
      <c r="FLM3"/>
      <c r="FLO3"/>
      <c r="FLQ3"/>
      <c r="FLS3"/>
      <c r="FLU3"/>
      <c r="FLW3"/>
      <c r="FLY3"/>
      <c r="FMA3"/>
      <c r="FMC3"/>
      <c r="FME3"/>
      <c r="FMG3"/>
      <c r="FMI3"/>
      <c r="FMK3"/>
      <c r="FMM3"/>
      <c r="FMO3"/>
      <c r="FMQ3"/>
      <c r="FMS3"/>
      <c r="FMU3"/>
      <c r="FMW3"/>
      <c r="FMY3"/>
      <c r="FNA3"/>
      <c r="FNC3"/>
      <c r="FNE3"/>
      <c r="FNG3"/>
      <c r="FNI3"/>
      <c r="FNK3"/>
      <c r="FNM3"/>
      <c r="FNO3"/>
      <c r="FNQ3"/>
      <c r="FNS3"/>
      <c r="FNU3"/>
      <c r="FNW3"/>
      <c r="FNY3"/>
      <c r="FOA3"/>
      <c r="FOC3"/>
      <c r="FOE3"/>
      <c r="FOG3"/>
      <c r="FOI3"/>
      <c r="FOK3"/>
      <c r="FOM3"/>
      <c r="FOO3"/>
      <c r="FOQ3"/>
      <c r="FOS3"/>
      <c r="FOU3"/>
      <c r="FOW3"/>
      <c r="FOY3"/>
      <c r="FPA3"/>
      <c r="FPC3"/>
      <c r="FPE3"/>
      <c r="FPG3"/>
      <c r="FPI3"/>
      <c r="FPK3"/>
      <c r="FPM3"/>
      <c r="FPO3"/>
      <c r="FPQ3"/>
      <c r="FPS3"/>
      <c r="FPU3"/>
      <c r="FPW3"/>
      <c r="FPY3"/>
      <c r="FQA3"/>
      <c r="FQC3"/>
      <c r="FQE3"/>
      <c r="FQG3"/>
      <c r="FQI3"/>
      <c r="FQK3"/>
      <c r="FQM3"/>
      <c r="FQO3"/>
      <c r="FQQ3"/>
      <c r="FQS3"/>
      <c r="FQU3"/>
      <c r="FQW3"/>
      <c r="FQY3"/>
      <c r="FRA3"/>
      <c r="FRC3"/>
      <c r="FRE3"/>
      <c r="FRG3"/>
      <c r="FRI3"/>
      <c r="FRK3"/>
      <c r="FRM3"/>
      <c r="FRO3"/>
      <c r="FRQ3"/>
      <c r="FRS3"/>
      <c r="FRU3"/>
      <c r="FRW3"/>
      <c r="FRY3"/>
      <c r="FSA3"/>
      <c r="FSC3"/>
      <c r="FSE3"/>
      <c r="FSG3"/>
      <c r="FSI3"/>
      <c r="FSK3"/>
      <c r="FSM3"/>
      <c r="FSO3"/>
      <c r="FSQ3"/>
      <c r="FSS3"/>
      <c r="FSU3"/>
      <c r="FSW3"/>
      <c r="FSY3"/>
      <c r="FTA3"/>
      <c r="FTC3"/>
      <c r="FTE3"/>
      <c r="FTG3"/>
      <c r="FTI3"/>
      <c r="FTK3"/>
      <c r="FTM3"/>
      <c r="FTO3"/>
      <c r="FTQ3"/>
      <c r="FTS3"/>
      <c r="FTU3"/>
      <c r="FTW3"/>
      <c r="FTY3"/>
      <c r="FUA3"/>
      <c r="FUC3"/>
      <c r="FUE3"/>
      <c r="FUG3"/>
      <c r="FUI3"/>
      <c r="FUK3"/>
      <c r="FUM3"/>
      <c r="FUO3"/>
      <c r="FUQ3"/>
      <c r="FUS3"/>
      <c r="FUU3"/>
      <c r="FUW3"/>
      <c r="FUY3"/>
      <c r="FVA3"/>
      <c r="FVC3"/>
      <c r="FVE3"/>
      <c r="FVG3"/>
      <c r="FVI3"/>
      <c r="FVK3"/>
      <c r="FVM3"/>
      <c r="FVO3"/>
      <c r="FVQ3"/>
      <c r="FVS3"/>
      <c r="FVU3"/>
      <c r="FVW3"/>
      <c r="FVY3"/>
      <c r="FWA3"/>
      <c r="FWC3"/>
      <c r="FWE3"/>
      <c r="FWG3"/>
      <c r="FWI3"/>
      <c r="FWK3"/>
      <c r="FWM3"/>
      <c r="FWO3"/>
      <c r="FWQ3"/>
      <c r="FWS3"/>
      <c r="FWU3"/>
      <c r="FWW3"/>
      <c r="FWY3"/>
      <c r="FXA3"/>
      <c r="FXC3"/>
      <c r="FXE3"/>
      <c r="FXG3"/>
      <c r="FXI3"/>
      <c r="FXK3"/>
      <c r="FXM3"/>
      <c r="FXO3"/>
      <c r="FXQ3"/>
      <c r="FXS3"/>
      <c r="FXU3"/>
      <c r="FXW3"/>
      <c r="FXY3"/>
      <c r="FYA3"/>
      <c r="FYC3"/>
      <c r="FYE3"/>
      <c r="FYG3"/>
      <c r="FYI3"/>
      <c r="FYK3"/>
      <c r="FYM3"/>
      <c r="FYO3"/>
      <c r="FYQ3"/>
      <c r="FYS3"/>
      <c r="FYU3"/>
      <c r="FYW3"/>
      <c r="FYY3"/>
      <c r="FZA3"/>
      <c r="FZC3"/>
      <c r="FZE3"/>
      <c r="FZG3"/>
      <c r="FZI3"/>
      <c r="FZK3"/>
      <c r="FZM3"/>
      <c r="FZO3"/>
      <c r="FZQ3"/>
      <c r="FZS3"/>
      <c r="FZU3"/>
      <c r="FZW3"/>
      <c r="FZY3"/>
      <c r="GAA3"/>
      <c r="GAC3"/>
      <c r="GAE3"/>
      <c r="GAG3"/>
      <c r="GAI3"/>
      <c r="GAK3"/>
      <c r="GAM3"/>
      <c r="GAO3"/>
      <c r="GAQ3"/>
      <c r="GAS3"/>
      <c r="GAU3"/>
      <c r="GAW3"/>
      <c r="GAY3"/>
      <c r="GBA3"/>
      <c r="GBC3"/>
      <c r="GBE3"/>
      <c r="GBG3"/>
      <c r="GBI3"/>
      <c r="GBK3"/>
      <c r="GBM3"/>
      <c r="GBO3"/>
      <c r="GBQ3"/>
      <c r="GBS3"/>
      <c r="GBU3"/>
      <c r="GBW3"/>
      <c r="GBY3"/>
      <c r="GCA3"/>
      <c r="GCC3"/>
      <c r="GCE3"/>
      <c r="GCG3"/>
      <c r="GCI3"/>
      <c r="GCK3"/>
      <c r="GCM3"/>
      <c r="GCO3"/>
      <c r="GCQ3"/>
      <c r="GCS3"/>
      <c r="GCU3"/>
      <c r="GCW3"/>
      <c r="GCY3"/>
      <c r="GDA3"/>
      <c r="GDC3"/>
      <c r="GDE3"/>
      <c r="GDG3"/>
      <c r="GDI3"/>
      <c r="GDK3"/>
      <c r="GDM3"/>
      <c r="GDO3"/>
      <c r="GDQ3"/>
      <c r="GDS3"/>
      <c r="GDU3"/>
      <c r="GDW3"/>
      <c r="GDY3"/>
      <c r="GEA3"/>
      <c r="GEC3"/>
      <c r="GEE3"/>
      <c r="GEG3"/>
      <c r="GEI3"/>
      <c r="GEK3"/>
      <c r="GEM3"/>
      <c r="GEO3"/>
      <c r="GEQ3"/>
      <c r="GES3"/>
      <c r="GEU3"/>
      <c r="GEW3"/>
      <c r="GEY3"/>
      <c r="GFA3"/>
      <c r="GFC3"/>
      <c r="GFE3"/>
      <c r="GFG3"/>
      <c r="GFI3"/>
      <c r="GFK3"/>
      <c r="GFM3"/>
      <c r="GFO3"/>
      <c r="GFQ3"/>
      <c r="GFS3"/>
      <c r="GFU3"/>
      <c r="GFW3"/>
      <c r="GFY3"/>
      <c r="GGA3"/>
      <c r="GGC3"/>
      <c r="GGE3"/>
      <c r="GGG3"/>
      <c r="GGI3"/>
      <c r="GGK3"/>
      <c r="GGM3"/>
      <c r="GGO3"/>
      <c r="GGQ3"/>
      <c r="GGS3"/>
      <c r="GGU3"/>
      <c r="GGW3"/>
      <c r="GGY3"/>
      <c r="GHA3"/>
      <c r="GHC3"/>
      <c r="GHE3"/>
      <c r="GHG3"/>
      <c r="GHI3"/>
      <c r="GHK3"/>
      <c r="GHM3"/>
      <c r="GHO3"/>
      <c r="GHQ3"/>
      <c r="GHS3"/>
      <c r="GHU3"/>
      <c r="GHW3"/>
      <c r="GHY3"/>
      <c r="GIA3"/>
      <c r="GIC3"/>
      <c r="GIE3"/>
      <c r="GIG3"/>
      <c r="GII3"/>
      <c r="GIK3"/>
      <c r="GIM3"/>
      <c r="GIO3"/>
      <c r="GIQ3"/>
      <c r="GIS3"/>
      <c r="GIU3"/>
      <c r="GIW3"/>
      <c r="GIY3"/>
      <c r="GJA3"/>
      <c r="GJC3"/>
      <c r="GJE3"/>
      <c r="GJG3"/>
      <c r="GJI3"/>
      <c r="GJK3"/>
      <c r="GJM3"/>
      <c r="GJO3"/>
      <c r="GJQ3"/>
      <c r="GJS3"/>
      <c r="GJU3"/>
      <c r="GJW3"/>
      <c r="GJY3"/>
      <c r="GKA3"/>
      <c r="GKC3"/>
      <c r="GKE3"/>
      <c r="GKG3"/>
      <c r="GKI3"/>
      <c r="GKK3"/>
      <c r="GKM3"/>
      <c r="GKO3"/>
      <c r="GKQ3"/>
      <c r="GKS3"/>
      <c r="GKU3"/>
      <c r="GKW3"/>
      <c r="GKY3"/>
      <c r="GLA3"/>
      <c r="GLC3"/>
      <c r="GLE3"/>
      <c r="GLG3"/>
      <c r="GLI3"/>
      <c r="GLK3"/>
      <c r="GLM3"/>
      <c r="GLO3"/>
      <c r="GLQ3"/>
      <c r="GLS3"/>
      <c r="GLU3"/>
      <c r="GLW3"/>
      <c r="GLY3"/>
      <c r="GMA3"/>
      <c r="GMC3"/>
      <c r="GME3"/>
      <c r="GMG3"/>
      <c r="GMI3"/>
      <c r="GMK3"/>
      <c r="GMM3"/>
      <c r="GMO3"/>
      <c r="GMQ3"/>
      <c r="GMS3"/>
      <c r="GMU3"/>
      <c r="GMW3"/>
      <c r="GMY3"/>
      <c r="GNA3"/>
      <c r="GNC3"/>
      <c r="GNE3"/>
      <c r="GNG3"/>
      <c r="GNI3"/>
      <c r="GNK3"/>
      <c r="GNM3"/>
      <c r="GNO3"/>
      <c r="GNQ3"/>
      <c r="GNS3"/>
      <c r="GNU3"/>
      <c r="GNW3"/>
      <c r="GNY3"/>
      <c r="GOA3"/>
      <c r="GOC3"/>
      <c r="GOE3"/>
      <c r="GOG3"/>
      <c r="GOI3"/>
      <c r="GOK3"/>
      <c r="GOM3"/>
      <c r="GOO3"/>
      <c r="GOQ3"/>
      <c r="GOS3"/>
      <c r="GOU3"/>
      <c r="GOW3"/>
      <c r="GOY3"/>
      <c r="GPA3"/>
      <c r="GPC3"/>
      <c r="GPE3"/>
      <c r="GPG3"/>
      <c r="GPI3"/>
      <c r="GPK3"/>
      <c r="GPM3"/>
      <c r="GPO3"/>
      <c r="GPQ3"/>
      <c r="GPS3"/>
      <c r="GPU3"/>
      <c r="GPW3"/>
      <c r="GPY3"/>
      <c r="GQA3"/>
      <c r="GQC3"/>
      <c r="GQE3"/>
      <c r="GQG3"/>
      <c r="GQI3"/>
      <c r="GQK3"/>
      <c r="GQM3"/>
      <c r="GQO3"/>
      <c r="GQQ3"/>
      <c r="GQS3"/>
      <c r="GQU3"/>
      <c r="GQW3"/>
      <c r="GQY3"/>
      <c r="GRA3"/>
      <c r="GRC3"/>
      <c r="GRE3"/>
      <c r="GRG3"/>
      <c r="GRI3"/>
      <c r="GRK3"/>
      <c r="GRM3"/>
      <c r="GRO3"/>
      <c r="GRQ3"/>
      <c r="GRS3"/>
      <c r="GRU3"/>
      <c r="GRW3"/>
      <c r="GRY3"/>
      <c r="GSA3"/>
      <c r="GSC3"/>
      <c r="GSE3"/>
      <c r="GSG3"/>
      <c r="GSI3"/>
      <c r="GSK3"/>
      <c r="GSM3"/>
      <c r="GSO3"/>
      <c r="GSQ3"/>
      <c r="GSS3"/>
      <c r="GSU3"/>
      <c r="GSW3"/>
      <c r="GSY3"/>
      <c r="GTA3"/>
      <c r="GTC3"/>
      <c r="GTE3"/>
      <c r="GTG3"/>
      <c r="GTI3"/>
      <c r="GTK3"/>
      <c r="GTM3"/>
      <c r="GTO3"/>
      <c r="GTQ3"/>
      <c r="GTS3"/>
      <c r="GTU3"/>
      <c r="GTW3"/>
      <c r="GTY3"/>
      <c r="GUA3"/>
      <c r="GUC3"/>
      <c r="GUE3"/>
      <c r="GUG3"/>
      <c r="GUI3"/>
      <c r="GUK3"/>
      <c r="GUM3"/>
      <c r="GUO3"/>
      <c r="GUQ3"/>
      <c r="GUS3"/>
      <c r="GUU3"/>
      <c r="GUW3"/>
      <c r="GUY3"/>
      <c r="GVA3"/>
      <c r="GVC3"/>
      <c r="GVE3"/>
      <c r="GVG3"/>
      <c r="GVI3"/>
      <c r="GVK3"/>
      <c r="GVM3"/>
      <c r="GVO3"/>
      <c r="GVQ3"/>
      <c r="GVS3"/>
      <c r="GVU3"/>
      <c r="GVW3"/>
      <c r="GVY3"/>
      <c r="GWA3"/>
      <c r="GWC3"/>
      <c r="GWE3"/>
      <c r="GWG3"/>
      <c r="GWI3"/>
      <c r="GWK3"/>
      <c r="GWM3"/>
      <c r="GWO3"/>
      <c r="GWQ3"/>
      <c r="GWS3"/>
      <c r="GWU3"/>
      <c r="GWW3"/>
      <c r="GWY3"/>
      <c r="GXA3"/>
      <c r="GXC3"/>
      <c r="GXE3"/>
      <c r="GXG3"/>
      <c r="GXI3"/>
      <c r="GXK3"/>
      <c r="GXM3"/>
      <c r="GXO3"/>
      <c r="GXQ3"/>
      <c r="GXS3"/>
      <c r="GXU3"/>
      <c r="GXW3"/>
      <c r="GXY3"/>
      <c r="GYA3"/>
      <c r="GYC3"/>
      <c r="GYE3"/>
      <c r="GYG3"/>
      <c r="GYI3"/>
      <c r="GYK3"/>
      <c r="GYM3"/>
      <c r="GYO3"/>
      <c r="GYQ3"/>
      <c r="GYS3"/>
      <c r="GYU3"/>
      <c r="GYW3"/>
      <c r="GYY3"/>
      <c r="GZA3"/>
      <c r="GZC3"/>
      <c r="GZE3"/>
      <c r="GZG3"/>
      <c r="GZI3"/>
      <c r="GZK3"/>
      <c r="GZM3"/>
      <c r="GZO3"/>
      <c r="GZQ3"/>
      <c r="GZS3"/>
      <c r="GZU3"/>
      <c r="GZW3"/>
      <c r="GZY3"/>
      <c r="HAA3"/>
      <c r="HAC3"/>
      <c r="HAE3"/>
      <c r="HAG3"/>
      <c r="HAI3"/>
      <c r="HAK3"/>
      <c r="HAM3"/>
      <c r="HAO3"/>
      <c r="HAQ3"/>
      <c r="HAS3"/>
      <c r="HAU3"/>
      <c r="HAW3"/>
      <c r="HAY3"/>
      <c r="HBA3"/>
      <c r="HBC3"/>
      <c r="HBE3"/>
      <c r="HBG3"/>
      <c r="HBI3"/>
      <c r="HBK3"/>
      <c r="HBM3"/>
      <c r="HBO3"/>
      <c r="HBQ3"/>
      <c r="HBS3"/>
      <c r="HBU3"/>
      <c r="HBW3"/>
      <c r="HBY3"/>
      <c r="HCA3"/>
      <c r="HCC3"/>
      <c r="HCE3"/>
      <c r="HCG3"/>
      <c r="HCI3"/>
      <c r="HCK3"/>
      <c r="HCM3"/>
      <c r="HCO3"/>
      <c r="HCQ3"/>
      <c r="HCS3"/>
      <c r="HCU3"/>
      <c r="HCW3"/>
      <c r="HCY3"/>
      <c r="HDA3"/>
      <c r="HDC3"/>
      <c r="HDE3"/>
      <c r="HDG3"/>
      <c r="HDI3"/>
      <c r="HDK3"/>
      <c r="HDM3"/>
      <c r="HDO3"/>
      <c r="HDQ3"/>
      <c r="HDS3"/>
      <c r="HDU3"/>
      <c r="HDW3"/>
      <c r="HDY3"/>
      <c r="HEA3"/>
      <c r="HEC3"/>
      <c r="HEE3"/>
      <c r="HEG3"/>
      <c r="HEI3"/>
      <c r="HEK3"/>
      <c r="HEM3"/>
      <c r="HEO3"/>
      <c r="HEQ3"/>
      <c r="HES3"/>
      <c r="HEU3"/>
      <c r="HEW3"/>
      <c r="HEY3"/>
      <c r="HFA3"/>
      <c r="HFC3"/>
      <c r="HFE3"/>
      <c r="HFG3"/>
      <c r="HFI3"/>
      <c r="HFK3"/>
      <c r="HFM3"/>
      <c r="HFO3"/>
      <c r="HFQ3"/>
      <c r="HFS3"/>
      <c r="HFU3"/>
      <c r="HFW3"/>
      <c r="HFY3"/>
      <c r="HGA3"/>
      <c r="HGC3"/>
      <c r="HGE3"/>
      <c r="HGG3"/>
      <c r="HGI3"/>
      <c r="HGK3"/>
      <c r="HGM3"/>
      <c r="HGO3"/>
      <c r="HGQ3"/>
      <c r="HGS3"/>
      <c r="HGU3"/>
      <c r="HGW3"/>
      <c r="HGY3"/>
      <c r="HHA3"/>
      <c r="HHC3"/>
      <c r="HHE3"/>
      <c r="HHG3"/>
      <c r="HHI3"/>
      <c r="HHK3"/>
      <c r="HHM3"/>
      <c r="HHO3"/>
      <c r="HHQ3"/>
      <c r="HHS3"/>
      <c r="HHU3"/>
      <c r="HHW3"/>
      <c r="HHY3"/>
      <c r="HIA3"/>
      <c r="HIC3"/>
      <c r="HIE3"/>
      <c r="HIG3"/>
      <c r="HII3"/>
      <c r="HIK3"/>
      <c r="HIM3"/>
      <c r="HIO3"/>
      <c r="HIQ3"/>
      <c r="HIS3"/>
      <c r="HIU3"/>
      <c r="HIW3"/>
      <c r="HIY3"/>
      <c r="HJA3"/>
      <c r="HJC3"/>
      <c r="HJE3"/>
      <c r="HJG3"/>
      <c r="HJI3"/>
      <c r="HJK3"/>
      <c r="HJM3"/>
      <c r="HJO3"/>
      <c r="HJQ3"/>
      <c r="HJS3"/>
      <c r="HJU3"/>
      <c r="HJW3"/>
      <c r="HJY3"/>
      <c r="HKA3"/>
      <c r="HKC3"/>
      <c r="HKE3"/>
      <c r="HKG3"/>
      <c r="HKI3"/>
      <c r="HKK3"/>
      <c r="HKM3"/>
      <c r="HKO3"/>
      <c r="HKQ3"/>
      <c r="HKS3"/>
      <c r="HKU3"/>
      <c r="HKW3"/>
      <c r="HKY3"/>
      <c r="HLA3"/>
      <c r="HLC3"/>
      <c r="HLE3"/>
      <c r="HLG3"/>
      <c r="HLI3"/>
      <c r="HLK3"/>
      <c r="HLM3"/>
      <c r="HLO3"/>
      <c r="HLQ3"/>
      <c r="HLS3"/>
      <c r="HLU3"/>
      <c r="HLW3"/>
      <c r="HLY3"/>
      <c r="HMA3"/>
      <c r="HMC3"/>
      <c r="HME3"/>
      <c r="HMG3"/>
      <c r="HMI3"/>
      <c r="HMK3"/>
      <c r="HMM3"/>
      <c r="HMO3"/>
      <c r="HMQ3"/>
      <c r="HMS3"/>
      <c r="HMU3"/>
      <c r="HMW3"/>
      <c r="HMY3"/>
      <c r="HNA3"/>
      <c r="HNC3"/>
      <c r="HNE3"/>
      <c r="HNG3"/>
      <c r="HNI3"/>
      <c r="HNK3"/>
      <c r="HNM3"/>
      <c r="HNO3"/>
      <c r="HNQ3"/>
      <c r="HNS3"/>
      <c r="HNU3"/>
      <c r="HNW3"/>
      <c r="HNY3"/>
      <c r="HOA3"/>
      <c r="HOC3"/>
      <c r="HOE3"/>
      <c r="HOG3"/>
      <c r="HOI3"/>
      <c r="HOK3"/>
      <c r="HOM3"/>
      <c r="HOO3"/>
      <c r="HOQ3"/>
      <c r="HOS3"/>
      <c r="HOU3"/>
      <c r="HOW3"/>
      <c r="HOY3"/>
      <c r="HPA3"/>
      <c r="HPC3"/>
      <c r="HPE3"/>
      <c r="HPG3"/>
      <c r="HPI3"/>
      <c r="HPK3"/>
      <c r="HPM3"/>
      <c r="HPO3"/>
      <c r="HPQ3"/>
      <c r="HPS3"/>
      <c r="HPU3"/>
      <c r="HPW3"/>
      <c r="HPY3"/>
      <c r="HQA3"/>
      <c r="HQC3"/>
      <c r="HQE3"/>
      <c r="HQG3"/>
      <c r="HQI3"/>
      <c r="HQK3"/>
      <c r="HQM3"/>
      <c r="HQO3"/>
      <c r="HQQ3"/>
      <c r="HQS3"/>
      <c r="HQU3"/>
      <c r="HQW3"/>
      <c r="HQY3"/>
      <c r="HRA3"/>
      <c r="HRC3"/>
      <c r="HRE3"/>
      <c r="HRG3"/>
      <c r="HRI3"/>
      <c r="HRK3"/>
      <c r="HRM3"/>
      <c r="HRO3"/>
      <c r="HRQ3"/>
      <c r="HRS3"/>
      <c r="HRU3"/>
      <c r="HRW3"/>
      <c r="HRY3"/>
      <c r="HSA3"/>
      <c r="HSC3"/>
      <c r="HSE3"/>
      <c r="HSG3"/>
      <c r="HSI3"/>
      <c r="HSK3"/>
      <c r="HSM3"/>
      <c r="HSO3"/>
      <c r="HSQ3"/>
      <c r="HSS3"/>
      <c r="HSU3"/>
      <c r="HSW3"/>
      <c r="HSY3"/>
      <c r="HTA3"/>
      <c r="HTC3"/>
      <c r="HTE3"/>
      <c r="HTG3"/>
      <c r="HTI3"/>
      <c r="HTK3"/>
      <c r="HTM3"/>
      <c r="HTO3"/>
      <c r="HTQ3"/>
      <c r="HTS3"/>
      <c r="HTU3"/>
      <c r="HTW3"/>
      <c r="HTY3"/>
      <c r="HUA3"/>
      <c r="HUC3"/>
      <c r="HUE3"/>
      <c r="HUG3"/>
      <c r="HUI3"/>
      <c r="HUK3"/>
      <c r="HUM3"/>
      <c r="HUO3"/>
      <c r="HUQ3"/>
      <c r="HUS3"/>
      <c r="HUU3"/>
      <c r="HUW3"/>
      <c r="HUY3"/>
      <c r="HVA3"/>
      <c r="HVC3"/>
      <c r="HVE3"/>
      <c r="HVG3"/>
      <c r="HVI3"/>
      <c r="HVK3"/>
      <c r="HVM3"/>
      <c r="HVO3"/>
      <c r="HVQ3"/>
      <c r="HVS3"/>
      <c r="HVU3"/>
      <c r="HVW3"/>
      <c r="HVY3"/>
      <c r="HWA3"/>
      <c r="HWC3"/>
      <c r="HWE3"/>
      <c r="HWG3"/>
      <c r="HWI3"/>
      <c r="HWK3"/>
      <c r="HWM3"/>
      <c r="HWO3"/>
      <c r="HWQ3"/>
      <c r="HWS3"/>
      <c r="HWU3"/>
      <c r="HWW3"/>
      <c r="HWY3"/>
      <c r="HXA3"/>
      <c r="HXC3"/>
      <c r="HXE3"/>
      <c r="HXG3"/>
      <c r="HXI3"/>
      <c r="HXK3"/>
      <c r="HXM3"/>
      <c r="HXO3"/>
      <c r="HXQ3"/>
      <c r="HXS3"/>
      <c r="HXU3"/>
      <c r="HXW3"/>
      <c r="HXY3"/>
      <c r="HYA3"/>
      <c r="HYC3"/>
      <c r="HYE3"/>
      <c r="HYG3"/>
      <c r="HYI3"/>
      <c r="HYK3"/>
      <c r="HYM3"/>
      <c r="HYO3"/>
      <c r="HYQ3"/>
      <c r="HYS3"/>
      <c r="HYU3"/>
      <c r="HYW3"/>
      <c r="HYY3"/>
      <c r="HZA3"/>
      <c r="HZC3"/>
      <c r="HZE3"/>
      <c r="HZG3"/>
      <c r="HZI3"/>
      <c r="HZK3"/>
      <c r="HZM3"/>
      <c r="HZO3"/>
      <c r="HZQ3"/>
      <c r="HZS3"/>
      <c r="HZU3"/>
      <c r="HZW3"/>
      <c r="HZY3"/>
      <c r="IAA3"/>
      <c r="IAC3"/>
      <c r="IAE3"/>
      <c r="IAG3"/>
      <c r="IAI3"/>
      <c r="IAK3"/>
      <c r="IAM3"/>
      <c r="IAO3"/>
      <c r="IAQ3"/>
      <c r="IAS3"/>
      <c r="IAU3"/>
      <c r="IAW3"/>
      <c r="IAY3"/>
      <c r="IBA3"/>
      <c r="IBC3"/>
      <c r="IBE3"/>
      <c r="IBG3"/>
      <c r="IBI3"/>
      <c r="IBK3"/>
      <c r="IBM3"/>
      <c r="IBO3"/>
      <c r="IBQ3"/>
      <c r="IBS3"/>
      <c r="IBU3"/>
      <c r="IBW3"/>
      <c r="IBY3"/>
      <c r="ICA3"/>
      <c r="ICC3"/>
      <c r="ICE3"/>
      <c r="ICG3"/>
      <c r="ICI3"/>
      <c r="ICK3"/>
      <c r="ICM3"/>
      <c r="ICO3"/>
      <c r="ICQ3"/>
      <c r="ICS3"/>
      <c r="ICU3"/>
      <c r="ICW3"/>
      <c r="ICY3"/>
      <c r="IDA3"/>
      <c r="IDC3"/>
      <c r="IDE3"/>
      <c r="IDG3"/>
      <c r="IDI3"/>
      <c r="IDK3"/>
      <c r="IDM3"/>
      <c r="IDO3"/>
      <c r="IDQ3"/>
      <c r="IDS3"/>
      <c r="IDU3"/>
      <c r="IDW3"/>
      <c r="IDY3"/>
      <c r="IEA3"/>
      <c r="IEC3"/>
      <c r="IEE3"/>
      <c r="IEG3"/>
      <c r="IEI3"/>
      <c r="IEK3"/>
      <c r="IEM3"/>
      <c r="IEO3"/>
      <c r="IEQ3"/>
      <c r="IES3"/>
      <c r="IEU3"/>
      <c r="IEW3"/>
      <c r="IEY3"/>
      <c r="IFA3"/>
      <c r="IFC3"/>
      <c r="IFE3"/>
      <c r="IFG3"/>
      <c r="IFI3"/>
      <c r="IFK3"/>
      <c r="IFM3"/>
      <c r="IFO3"/>
      <c r="IFQ3"/>
      <c r="IFS3"/>
      <c r="IFU3"/>
      <c r="IFW3"/>
      <c r="IFY3"/>
      <c r="IGA3"/>
      <c r="IGC3"/>
      <c r="IGE3"/>
      <c r="IGG3"/>
      <c r="IGI3"/>
      <c r="IGK3"/>
      <c r="IGM3"/>
      <c r="IGO3"/>
      <c r="IGQ3"/>
      <c r="IGS3"/>
      <c r="IGU3"/>
      <c r="IGW3"/>
      <c r="IGY3"/>
      <c r="IHA3"/>
      <c r="IHC3"/>
      <c r="IHE3"/>
      <c r="IHG3"/>
      <c r="IHI3"/>
      <c r="IHK3"/>
      <c r="IHM3"/>
      <c r="IHO3"/>
      <c r="IHQ3"/>
      <c r="IHS3"/>
      <c r="IHU3"/>
      <c r="IHW3"/>
      <c r="IHY3"/>
      <c r="IIA3"/>
      <c r="IIC3"/>
      <c r="IIE3"/>
      <c r="IIG3"/>
      <c r="III3"/>
      <c r="IIK3"/>
      <c r="IIM3"/>
      <c r="IIO3"/>
      <c r="IIQ3"/>
      <c r="IIS3"/>
      <c r="IIU3"/>
      <c r="IIW3"/>
      <c r="IIY3"/>
      <c r="IJA3"/>
      <c r="IJC3"/>
      <c r="IJE3"/>
      <c r="IJG3"/>
      <c r="IJI3"/>
      <c r="IJK3"/>
      <c r="IJM3"/>
      <c r="IJO3"/>
      <c r="IJQ3"/>
      <c r="IJS3"/>
      <c r="IJU3"/>
      <c r="IJW3"/>
      <c r="IJY3"/>
      <c r="IKA3"/>
      <c r="IKC3"/>
      <c r="IKE3"/>
      <c r="IKG3"/>
      <c r="IKI3"/>
      <c r="IKK3"/>
      <c r="IKM3"/>
      <c r="IKO3"/>
      <c r="IKQ3"/>
      <c r="IKS3"/>
      <c r="IKU3"/>
      <c r="IKW3"/>
      <c r="IKY3"/>
      <c r="ILA3"/>
      <c r="ILC3"/>
      <c r="ILE3"/>
      <c r="ILG3"/>
      <c r="ILI3"/>
      <c r="ILK3"/>
      <c r="ILM3"/>
      <c r="ILO3"/>
      <c r="ILQ3"/>
      <c r="ILS3"/>
      <c r="ILU3"/>
      <c r="ILW3"/>
      <c r="ILY3"/>
      <c r="IMA3"/>
      <c r="IMC3"/>
      <c r="IME3"/>
      <c r="IMG3"/>
      <c r="IMI3"/>
      <c r="IMK3"/>
      <c r="IMM3"/>
      <c r="IMO3"/>
      <c r="IMQ3"/>
      <c r="IMS3"/>
      <c r="IMU3"/>
      <c r="IMW3"/>
      <c r="IMY3"/>
      <c r="INA3"/>
      <c r="INC3"/>
      <c r="INE3"/>
      <c r="ING3"/>
      <c r="INI3"/>
      <c r="INK3"/>
      <c r="INM3"/>
      <c r="INO3"/>
      <c r="INQ3"/>
      <c r="INS3"/>
      <c r="INU3"/>
      <c r="INW3"/>
      <c r="INY3"/>
      <c r="IOA3"/>
      <c r="IOC3"/>
      <c r="IOE3"/>
      <c r="IOG3"/>
      <c r="IOI3"/>
      <c r="IOK3"/>
      <c r="IOM3"/>
      <c r="IOO3"/>
      <c r="IOQ3"/>
      <c r="IOS3"/>
      <c r="IOU3"/>
      <c r="IOW3"/>
      <c r="IOY3"/>
      <c r="IPA3"/>
      <c r="IPC3"/>
      <c r="IPE3"/>
      <c r="IPG3"/>
      <c r="IPI3"/>
      <c r="IPK3"/>
      <c r="IPM3"/>
      <c r="IPO3"/>
      <c r="IPQ3"/>
      <c r="IPS3"/>
      <c r="IPU3"/>
      <c r="IPW3"/>
      <c r="IPY3"/>
      <c r="IQA3"/>
      <c r="IQC3"/>
      <c r="IQE3"/>
      <c r="IQG3"/>
      <c r="IQI3"/>
      <c r="IQK3"/>
      <c r="IQM3"/>
      <c r="IQO3"/>
      <c r="IQQ3"/>
      <c r="IQS3"/>
      <c r="IQU3"/>
      <c r="IQW3"/>
      <c r="IQY3"/>
      <c r="IRA3"/>
      <c r="IRC3"/>
      <c r="IRE3"/>
      <c r="IRG3"/>
      <c r="IRI3"/>
      <c r="IRK3"/>
      <c r="IRM3"/>
      <c r="IRO3"/>
      <c r="IRQ3"/>
      <c r="IRS3"/>
      <c r="IRU3"/>
      <c r="IRW3"/>
      <c r="IRY3"/>
      <c r="ISA3"/>
      <c r="ISC3"/>
      <c r="ISE3"/>
      <c r="ISG3"/>
      <c r="ISI3"/>
      <c r="ISK3"/>
      <c r="ISM3"/>
      <c r="ISO3"/>
      <c r="ISQ3"/>
      <c r="ISS3"/>
      <c r="ISU3"/>
      <c r="ISW3"/>
      <c r="ISY3"/>
      <c r="ITA3"/>
      <c r="ITC3"/>
      <c r="ITE3"/>
      <c r="ITG3"/>
      <c r="ITI3"/>
      <c r="ITK3"/>
      <c r="ITM3"/>
      <c r="ITO3"/>
      <c r="ITQ3"/>
      <c r="ITS3"/>
      <c r="ITU3"/>
      <c r="ITW3"/>
      <c r="ITY3"/>
      <c r="IUA3"/>
      <c r="IUC3"/>
      <c r="IUE3"/>
      <c r="IUG3"/>
      <c r="IUI3"/>
      <c r="IUK3"/>
      <c r="IUM3"/>
      <c r="IUO3"/>
      <c r="IUQ3"/>
      <c r="IUS3"/>
      <c r="IUU3"/>
      <c r="IUW3"/>
      <c r="IUY3"/>
      <c r="IVA3"/>
      <c r="IVC3"/>
      <c r="IVE3"/>
      <c r="IVG3"/>
      <c r="IVI3"/>
      <c r="IVK3"/>
      <c r="IVM3"/>
      <c r="IVO3"/>
      <c r="IVQ3"/>
      <c r="IVS3"/>
      <c r="IVU3"/>
      <c r="IVW3"/>
      <c r="IVY3"/>
      <c r="IWA3"/>
      <c r="IWC3"/>
      <c r="IWE3"/>
      <c r="IWG3"/>
      <c r="IWI3"/>
      <c r="IWK3"/>
      <c r="IWM3"/>
      <c r="IWO3"/>
      <c r="IWQ3"/>
      <c r="IWS3"/>
      <c r="IWU3"/>
      <c r="IWW3"/>
      <c r="IWY3"/>
      <c r="IXA3"/>
      <c r="IXC3"/>
      <c r="IXE3"/>
      <c r="IXG3"/>
      <c r="IXI3"/>
      <c r="IXK3"/>
      <c r="IXM3"/>
      <c r="IXO3"/>
      <c r="IXQ3"/>
      <c r="IXS3"/>
      <c r="IXU3"/>
      <c r="IXW3"/>
      <c r="IXY3"/>
      <c r="IYA3"/>
      <c r="IYC3"/>
      <c r="IYE3"/>
      <c r="IYG3"/>
      <c r="IYI3"/>
      <c r="IYK3"/>
      <c r="IYM3"/>
      <c r="IYO3"/>
      <c r="IYQ3"/>
      <c r="IYS3"/>
      <c r="IYU3"/>
      <c r="IYW3"/>
      <c r="IYY3"/>
      <c r="IZA3"/>
      <c r="IZC3"/>
      <c r="IZE3"/>
      <c r="IZG3"/>
      <c r="IZI3"/>
      <c r="IZK3"/>
      <c r="IZM3"/>
      <c r="IZO3"/>
      <c r="IZQ3"/>
      <c r="IZS3"/>
      <c r="IZU3"/>
      <c r="IZW3"/>
      <c r="IZY3"/>
      <c r="JAA3"/>
      <c r="JAC3"/>
      <c r="JAE3"/>
      <c r="JAG3"/>
      <c r="JAI3"/>
      <c r="JAK3"/>
      <c r="JAM3"/>
      <c r="JAO3"/>
      <c r="JAQ3"/>
      <c r="JAS3"/>
      <c r="JAU3"/>
      <c r="JAW3"/>
      <c r="JAY3"/>
      <c r="JBA3"/>
      <c r="JBC3"/>
      <c r="JBE3"/>
      <c r="JBG3"/>
      <c r="JBI3"/>
      <c r="JBK3"/>
      <c r="JBM3"/>
      <c r="JBO3"/>
      <c r="JBQ3"/>
      <c r="JBS3"/>
      <c r="JBU3"/>
      <c r="JBW3"/>
      <c r="JBY3"/>
      <c r="JCA3"/>
      <c r="JCC3"/>
      <c r="JCE3"/>
      <c r="JCG3"/>
      <c r="JCI3"/>
      <c r="JCK3"/>
      <c r="JCM3"/>
      <c r="JCO3"/>
      <c r="JCQ3"/>
      <c r="JCS3"/>
      <c r="JCU3"/>
      <c r="JCW3"/>
      <c r="JCY3"/>
      <c r="JDA3"/>
      <c r="JDC3"/>
      <c r="JDE3"/>
      <c r="JDG3"/>
      <c r="JDI3"/>
      <c r="JDK3"/>
      <c r="JDM3"/>
      <c r="JDO3"/>
      <c r="JDQ3"/>
      <c r="JDS3"/>
      <c r="JDU3"/>
      <c r="JDW3"/>
      <c r="JDY3"/>
      <c r="JEA3"/>
      <c r="JEC3"/>
      <c r="JEE3"/>
      <c r="JEG3"/>
      <c r="JEI3"/>
      <c r="JEK3"/>
      <c r="JEM3"/>
      <c r="JEO3"/>
      <c r="JEQ3"/>
      <c r="JES3"/>
      <c r="JEU3"/>
      <c r="JEW3"/>
      <c r="JEY3"/>
      <c r="JFA3"/>
      <c r="JFC3"/>
      <c r="JFE3"/>
      <c r="JFG3"/>
      <c r="JFI3"/>
      <c r="JFK3"/>
      <c r="JFM3"/>
      <c r="JFO3"/>
      <c r="JFQ3"/>
      <c r="JFS3"/>
      <c r="JFU3"/>
      <c r="JFW3"/>
      <c r="JFY3"/>
      <c r="JGA3"/>
      <c r="JGC3"/>
      <c r="JGE3"/>
      <c r="JGG3"/>
      <c r="JGI3"/>
      <c r="JGK3"/>
      <c r="JGM3"/>
      <c r="JGO3"/>
      <c r="JGQ3"/>
      <c r="JGS3"/>
      <c r="JGU3"/>
      <c r="JGW3"/>
      <c r="JGY3"/>
      <c r="JHA3"/>
      <c r="JHC3"/>
      <c r="JHE3"/>
      <c r="JHG3"/>
      <c r="JHI3"/>
      <c r="JHK3"/>
      <c r="JHM3"/>
      <c r="JHO3"/>
      <c r="JHQ3"/>
      <c r="JHS3"/>
      <c r="JHU3"/>
      <c r="JHW3"/>
      <c r="JHY3"/>
      <c r="JIA3"/>
      <c r="JIC3"/>
      <c r="JIE3"/>
      <c r="JIG3"/>
      <c r="JII3"/>
      <c r="JIK3"/>
      <c r="JIM3"/>
      <c r="JIO3"/>
      <c r="JIQ3"/>
      <c r="JIS3"/>
      <c r="JIU3"/>
      <c r="JIW3"/>
      <c r="JIY3"/>
      <c r="JJA3"/>
      <c r="JJC3"/>
      <c r="JJE3"/>
      <c r="JJG3"/>
      <c r="JJI3"/>
      <c r="JJK3"/>
      <c r="JJM3"/>
      <c r="JJO3"/>
      <c r="JJQ3"/>
      <c r="JJS3"/>
      <c r="JJU3"/>
      <c r="JJW3"/>
      <c r="JJY3"/>
      <c r="JKA3"/>
      <c r="JKC3"/>
      <c r="JKE3"/>
      <c r="JKG3"/>
      <c r="JKI3"/>
      <c r="JKK3"/>
      <c r="JKM3"/>
      <c r="JKO3"/>
      <c r="JKQ3"/>
      <c r="JKS3"/>
      <c r="JKU3"/>
      <c r="JKW3"/>
      <c r="JKY3"/>
      <c r="JLA3"/>
      <c r="JLC3"/>
      <c r="JLE3"/>
      <c r="JLG3"/>
      <c r="JLI3"/>
      <c r="JLK3"/>
      <c r="JLM3"/>
      <c r="JLO3"/>
      <c r="JLQ3"/>
      <c r="JLS3"/>
      <c r="JLU3"/>
      <c r="JLW3"/>
      <c r="JLY3"/>
      <c r="JMA3"/>
      <c r="JMC3"/>
      <c r="JME3"/>
      <c r="JMG3"/>
      <c r="JMI3"/>
      <c r="JMK3"/>
      <c r="JMM3"/>
      <c r="JMO3"/>
      <c r="JMQ3"/>
      <c r="JMS3"/>
      <c r="JMU3"/>
      <c r="JMW3"/>
      <c r="JMY3"/>
      <c r="JNA3"/>
      <c r="JNC3"/>
      <c r="JNE3"/>
      <c r="JNG3"/>
      <c r="JNI3"/>
      <c r="JNK3"/>
      <c r="JNM3"/>
      <c r="JNO3"/>
      <c r="JNQ3"/>
      <c r="JNS3"/>
      <c r="JNU3"/>
      <c r="JNW3"/>
      <c r="JNY3"/>
      <c r="JOA3"/>
      <c r="JOC3"/>
      <c r="JOE3"/>
      <c r="JOG3"/>
      <c r="JOI3"/>
      <c r="JOK3"/>
      <c r="JOM3"/>
      <c r="JOO3"/>
      <c r="JOQ3"/>
      <c r="JOS3"/>
      <c r="JOU3"/>
      <c r="JOW3"/>
      <c r="JOY3"/>
      <c r="JPA3"/>
      <c r="JPC3"/>
      <c r="JPE3"/>
      <c r="JPG3"/>
      <c r="JPI3"/>
      <c r="JPK3"/>
      <c r="JPM3"/>
      <c r="JPO3"/>
      <c r="JPQ3"/>
      <c r="JPS3"/>
      <c r="JPU3"/>
      <c r="JPW3"/>
      <c r="JPY3"/>
      <c r="JQA3"/>
      <c r="JQC3"/>
      <c r="JQE3"/>
      <c r="JQG3"/>
      <c r="JQI3"/>
      <c r="JQK3"/>
      <c r="JQM3"/>
      <c r="JQO3"/>
      <c r="JQQ3"/>
      <c r="JQS3"/>
      <c r="JQU3"/>
      <c r="JQW3"/>
      <c r="JQY3"/>
      <c r="JRA3"/>
      <c r="JRC3"/>
      <c r="JRE3"/>
      <c r="JRG3"/>
      <c r="JRI3"/>
      <c r="JRK3"/>
      <c r="JRM3"/>
      <c r="JRO3"/>
      <c r="JRQ3"/>
      <c r="JRS3"/>
      <c r="JRU3"/>
      <c r="JRW3"/>
      <c r="JRY3"/>
      <c r="JSA3"/>
      <c r="JSC3"/>
      <c r="JSE3"/>
      <c r="JSG3"/>
      <c r="JSI3"/>
      <c r="JSK3"/>
      <c r="JSM3"/>
      <c r="JSO3"/>
      <c r="JSQ3"/>
      <c r="JSS3"/>
      <c r="JSU3"/>
      <c r="JSW3"/>
      <c r="JSY3"/>
      <c r="JTA3"/>
      <c r="JTC3"/>
      <c r="JTE3"/>
      <c r="JTG3"/>
      <c r="JTI3"/>
      <c r="JTK3"/>
      <c r="JTM3"/>
      <c r="JTO3"/>
      <c r="JTQ3"/>
      <c r="JTS3"/>
      <c r="JTU3"/>
      <c r="JTW3"/>
      <c r="JTY3"/>
      <c r="JUA3"/>
      <c r="JUC3"/>
      <c r="JUE3"/>
      <c r="JUG3"/>
      <c r="JUI3"/>
      <c r="JUK3"/>
      <c r="JUM3"/>
      <c r="JUO3"/>
      <c r="JUQ3"/>
      <c r="JUS3"/>
      <c r="JUU3"/>
      <c r="JUW3"/>
      <c r="JUY3"/>
      <c r="JVA3"/>
      <c r="JVC3"/>
      <c r="JVE3"/>
      <c r="JVG3"/>
      <c r="JVI3"/>
      <c r="JVK3"/>
      <c r="JVM3"/>
      <c r="JVO3"/>
      <c r="JVQ3"/>
      <c r="JVS3"/>
      <c r="JVU3"/>
      <c r="JVW3"/>
      <c r="JVY3"/>
      <c r="JWA3"/>
      <c r="JWC3"/>
      <c r="JWE3"/>
      <c r="JWG3"/>
      <c r="JWI3"/>
      <c r="JWK3"/>
      <c r="JWM3"/>
      <c r="JWO3"/>
      <c r="JWQ3"/>
      <c r="JWS3"/>
      <c r="JWU3"/>
      <c r="JWW3"/>
      <c r="JWY3"/>
      <c r="JXA3"/>
      <c r="JXC3"/>
      <c r="JXE3"/>
      <c r="JXG3"/>
      <c r="JXI3"/>
      <c r="JXK3"/>
      <c r="JXM3"/>
      <c r="JXO3"/>
      <c r="JXQ3"/>
      <c r="JXS3"/>
      <c r="JXU3"/>
      <c r="JXW3"/>
      <c r="JXY3"/>
      <c r="JYA3"/>
      <c r="JYC3"/>
      <c r="JYE3"/>
      <c r="JYG3"/>
      <c r="JYI3"/>
      <c r="JYK3"/>
      <c r="JYM3"/>
      <c r="JYO3"/>
      <c r="JYQ3"/>
      <c r="JYS3"/>
      <c r="JYU3"/>
      <c r="JYW3"/>
      <c r="JYY3"/>
      <c r="JZA3"/>
      <c r="JZC3"/>
      <c r="JZE3"/>
      <c r="JZG3"/>
      <c r="JZI3"/>
      <c r="JZK3"/>
      <c r="JZM3"/>
      <c r="JZO3"/>
      <c r="JZQ3"/>
      <c r="JZS3"/>
      <c r="JZU3"/>
      <c r="JZW3"/>
      <c r="JZY3"/>
      <c r="KAA3"/>
      <c r="KAC3"/>
      <c r="KAE3"/>
      <c r="KAG3"/>
      <c r="KAI3"/>
      <c r="KAK3"/>
      <c r="KAM3"/>
      <c r="KAO3"/>
      <c r="KAQ3"/>
      <c r="KAS3"/>
      <c r="KAU3"/>
      <c r="KAW3"/>
      <c r="KAY3"/>
      <c r="KBA3"/>
      <c r="KBC3"/>
      <c r="KBE3"/>
      <c r="KBG3"/>
      <c r="KBI3"/>
      <c r="KBK3"/>
      <c r="KBM3"/>
      <c r="KBO3"/>
      <c r="KBQ3"/>
      <c r="KBS3"/>
      <c r="KBU3"/>
      <c r="KBW3"/>
      <c r="KBY3"/>
      <c r="KCA3"/>
      <c r="KCC3"/>
      <c r="KCE3"/>
      <c r="KCG3"/>
      <c r="KCI3"/>
      <c r="KCK3"/>
      <c r="KCM3"/>
      <c r="KCO3"/>
      <c r="KCQ3"/>
      <c r="KCS3"/>
      <c r="KCU3"/>
      <c r="KCW3"/>
      <c r="KCY3"/>
      <c r="KDA3"/>
      <c r="KDC3"/>
      <c r="KDE3"/>
      <c r="KDG3"/>
      <c r="KDI3"/>
      <c r="KDK3"/>
      <c r="KDM3"/>
      <c r="KDO3"/>
      <c r="KDQ3"/>
      <c r="KDS3"/>
      <c r="KDU3"/>
      <c r="KDW3"/>
      <c r="KDY3"/>
      <c r="KEA3"/>
      <c r="KEC3"/>
      <c r="KEE3"/>
      <c r="KEG3"/>
      <c r="KEI3"/>
      <c r="KEK3"/>
      <c r="KEM3"/>
      <c r="KEO3"/>
      <c r="KEQ3"/>
      <c r="KES3"/>
      <c r="KEU3"/>
      <c r="KEW3"/>
      <c r="KEY3"/>
      <c r="KFA3"/>
      <c r="KFC3"/>
      <c r="KFE3"/>
      <c r="KFG3"/>
      <c r="KFI3"/>
      <c r="KFK3"/>
      <c r="KFM3"/>
      <c r="KFO3"/>
      <c r="KFQ3"/>
      <c r="KFS3"/>
      <c r="KFU3"/>
      <c r="KFW3"/>
      <c r="KFY3"/>
      <c r="KGA3"/>
      <c r="KGC3"/>
      <c r="KGE3"/>
      <c r="KGG3"/>
      <c r="KGI3"/>
      <c r="KGK3"/>
      <c r="KGM3"/>
      <c r="KGO3"/>
      <c r="KGQ3"/>
      <c r="KGS3"/>
      <c r="KGU3"/>
      <c r="KGW3"/>
      <c r="KGY3"/>
      <c r="KHA3"/>
      <c r="KHC3"/>
      <c r="KHE3"/>
      <c r="KHG3"/>
      <c r="KHI3"/>
      <c r="KHK3"/>
      <c r="KHM3"/>
      <c r="KHO3"/>
      <c r="KHQ3"/>
      <c r="KHS3"/>
      <c r="KHU3"/>
      <c r="KHW3"/>
      <c r="KHY3"/>
      <c r="KIA3"/>
      <c r="KIC3"/>
      <c r="KIE3"/>
      <c r="KIG3"/>
      <c r="KII3"/>
      <c r="KIK3"/>
      <c r="KIM3"/>
      <c r="KIO3"/>
      <c r="KIQ3"/>
      <c r="KIS3"/>
      <c r="KIU3"/>
      <c r="KIW3"/>
      <c r="KIY3"/>
      <c r="KJA3"/>
      <c r="KJC3"/>
      <c r="KJE3"/>
      <c r="KJG3"/>
      <c r="KJI3"/>
      <c r="KJK3"/>
      <c r="KJM3"/>
      <c r="KJO3"/>
      <c r="KJQ3"/>
      <c r="KJS3"/>
      <c r="KJU3"/>
      <c r="KJW3"/>
      <c r="KJY3"/>
      <c r="KKA3"/>
      <c r="KKC3"/>
      <c r="KKE3"/>
      <c r="KKG3"/>
      <c r="KKI3"/>
      <c r="KKK3"/>
      <c r="KKM3"/>
      <c r="KKO3"/>
      <c r="KKQ3"/>
      <c r="KKS3"/>
      <c r="KKU3"/>
      <c r="KKW3"/>
      <c r="KKY3"/>
      <c r="KLA3"/>
      <c r="KLC3"/>
      <c r="KLE3"/>
      <c r="KLG3"/>
      <c r="KLI3"/>
      <c r="KLK3"/>
      <c r="KLM3"/>
      <c r="KLO3"/>
      <c r="KLQ3"/>
      <c r="KLS3"/>
      <c r="KLU3"/>
      <c r="KLW3"/>
      <c r="KLY3"/>
      <c r="KMA3"/>
      <c r="KMC3"/>
      <c r="KME3"/>
      <c r="KMG3"/>
      <c r="KMI3"/>
      <c r="KMK3"/>
      <c r="KMM3"/>
      <c r="KMO3"/>
      <c r="KMQ3"/>
      <c r="KMS3"/>
      <c r="KMU3"/>
      <c r="KMW3"/>
      <c r="KMY3"/>
      <c r="KNA3"/>
      <c r="KNC3"/>
      <c r="KNE3"/>
      <c r="KNG3"/>
      <c r="KNI3"/>
      <c r="KNK3"/>
      <c r="KNM3"/>
      <c r="KNO3"/>
      <c r="KNQ3"/>
      <c r="KNS3"/>
      <c r="KNU3"/>
      <c r="KNW3"/>
      <c r="KNY3"/>
      <c r="KOA3"/>
      <c r="KOC3"/>
      <c r="KOE3"/>
      <c r="KOG3"/>
      <c r="KOI3"/>
      <c r="KOK3"/>
      <c r="KOM3"/>
      <c r="KOO3"/>
      <c r="KOQ3"/>
      <c r="KOS3"/>
      <c r="KOU3"/>
      <c r="KOW3"/>
      <c r="KOY3"/>
      <c r="KPA3"/>
      <c r="KPC3"/>
      <c r="KPE3"/>
      <c r="KPG3"/>
      <c r="KPI3"/>
      <c r="KPK3"/>
      <c r="KPM3"/>
      <c r="KPO3"/>
      <c r="KPQ3"/>
      <c r="KPS3"/>
      <c r="KPU3"/>
      <c r="KPW3"/>
      <c r="KPY3"/>
      <c r="KQA3"/>
      <c r="KQC3"/>
      <c r="KQE3"/>
      <c r="KQG3"/>
      <c r="KQI3"/>
      <c r="KQK3"/>
      <c r="KQM3"/>
      <c r="KQO3"/>
      <c r="KQQ3"/>
      <c r="KQS3"/>
      <c r="KQU3"/>
      <c r="KQW3"/>
      <c r="KQY3"/>
      <c r="KRA3"/>
      <c r="KRC3"/>
      <c r="KRE3"/>
      <c r="KRG3"/>
      <c r="KRI3"/>
      <c r="KRK3"/>
      <c r="KRM3"/>
      <c r="KRO3"/>
      <c r="KRQ3"/>
      <c r="KRS3"/>
      <c r="KRU3"/>
      <c r="KRW3"/>
      <c r="KRY3"/>
      <c r="KSA3"/>
      <c r="KSC3"/>
      <c r="KSE3"/>
      <c r="KSG3"/>
      <c r="KSI3"/>
      <c r="KSK3"/>
      <c r="KSM3"/>
      <c r="KSO3"/>
      <c r="KSQ3"/>
      <c r="KSS3"/>
      <c r="KSU3"/>
      <c r="KSW3"/>
      <c r="KSY3"/>
      <c r="KTA3"/>
      <c r="KTC3"/>
      <c r="KTE3"/>
      <c r="KTG3"/>
      <c r="KTI3"/>
      <c r="KTK3"/>
      <c r="KTM3"/>
      <c r="KTO3"/>
      <c r="KTQ3"/>
      <c r="KTS3"/>
      <c r="KTU3"/>
      <c r="KTW3"/>
      <c r="KTY3"/>
      <c r="KUA3"/>
      <c r="KUC3"/>
      <c r="KUE3"/>
      <c r="KUG3"/>
      <c r="KUI3"/>
      <c r="KUK3"/>
      <c r="KUM3"/>
      <c r="KUO3"/>
      <c r="KUQ3"/>
      <c r="KUS3"/>
      <c r="KUU3"/>
      <c r="KUW3"/>
      <c r="KUY3"/>
      <c r="KVA3"/>
      <c r="KVC3"/>
      <c r="KVE3"/>
      <c r="KVG3"/>
      <c r="KVI3"/>
      <c r="KVK3"/>
      <c r="KVM3"/>
      <c r="KVO3"/>
      <c r="KVQ3"/>
      <c r="KVS3"/>
      <c r="KVU3"/>
      <c r="KVW3"/>
      <c r="KVY3"/>
      <c r="KWA3"/>
      <c r="KWC3"/>
      <c r="KWE3"/>
      <c r="KWG3"/>
      <c r="KWI3"/>
      <c r="KWK3"/>
      <c r="KWM3"/>
      <c r="KWO3"/>
      <c r="KWQ3"/>
      <c r="KWS3"/>
      <c r="KWU3"/>
      <c r="KWW3"/>
      <c r="KWY3"/>
      <c r="KXA3"/>
      <c r="KXC3"/>
      <c r="KXE3"/>
      <c r="KXG3"/>
      <c r="KXI3"/>
      <c r="KXK3"/>
      <c r="KXM3"/>
      <c r="KXO3"/>
      <c r="KXQ3"/>
      <c r="KXS3"/>
      <c r="KXU3"/>
      <c r="KXW3"/>
      <c r="KXY3"/>
      <c r="KYA3"/>
      <c r="KYC3"/>
      <c r="KYE3"/>
      <c r="KYG3"/>
      <c r="KYI3"/>
      <c r="KYK3"/>
      <c r="KYM3"/>
      <c r="KYO3"/>
      <c r="KYQ3"/>
      <c r="KYS3"/>
      <c r="KYU3"/>
      <c r="KYW3"/>
      <c r="KYY3"/>
      <c r="KZA3"/>
      <c r="KZC3"/>
      <c r="KZE3"/>
      <c r="KZG3"/>
      <c r="KZI3"/>
      <c r="KZK3"/>
      <c r="KZM3"/>
      <c r="KZO3"/>
      <c r="KZQ3"/>
      <c r="KZS3"/>
      <c r="KZU3"/>
      <c r="KZW3"/>
      <c r="KZY3"/>
      <c r="LAA3"/>
      <c r="LAC3"/>
      <c r="LAE3"/>
      <c r="LAG3"/>
      <c r="LAI3"/>
      <c r="LAK3"/>
      <c r="LAM3"/>
      <c r="LAO3"/>
      <c r="LAQ3"/>
      <c r="LAS3"/>
      <c r="LAU3"/>
      <c r="LAW3"/>
      <c r="LAY3"/>
      <c r="LBA3"/>
      <c r="LBC3"/>
      <c r="LBE3"/>
      <c r="LBG3"/>
      <c r="LBI3"/>
      <c r="LBK3"/>
      <c r="LBM3"/>
      <c r="LBO3"/>
      <c r="LBQ3"/>
      <c r="LBS3"/>
      <c r="LBU3"/>
      <c r="LBW3"/>
      <c r="LBY3"/>
      <c r="LCA3"/>
      <c r="LCC3"/>
      <c r="LCE3"/>
      <c r="LCG3"/>
      <c r="LCI3"/>
      <c r="LCK3"/>
      <c r="LCM3"/>
      <c r="LCO3"/>
      <c r="LCQ3"/>
      <c r="LCS3"/>
      <c r="LCU3"/>
      <c r="LCW3"/>
      <c r="LCY3"/>
      <c r="LDA3"/>
      <c r="LDC3"/>
      <c r="LDE3"/>
      <c r="LDG3"/>
      <c r="LDI3"/>
      <c r="LDK3"/>
      <c r="LDM3"/>
      <c r="LDO3"/>
      <c r="LDQ3"/>
      <c r="LDS3"/>
      <c r="LDU3"/>
      <c r="LDW3"/>
      <c r="LDY3"/>
      <c r="LEA3"/>
      <c r="LEC3"/>
      <c r="LEE3"/>
      <c r="LEG3"/>
      <c r="LEI3"/>
      <c r="LEK3"/>
      <c r="LEM3"/>
      <c r="LEO3"/>
      <c r="LEQ3"/>
      <c r="LES3"/>
      <c r="LEU3"/>
      <c r="LEW3"/>
      <c r="LEY3"/>
      <c r="LFA3"/>
      <c r="LFC3"/>
      <c r="LFE3"/>
      <c r="LFG3"/>
      <c r="LFI3"/>
      <c r="LFK3"/>
      <c r="LFM3"/>
      <c r="LFO3"/>
      <c r="LFQ3"/>
      <c r="LFS3"/>
      <c r="LFU3"/>
      <c r="LFW3"/>
      <c r="LFY3"/>
      <c r="LGA3"/>
      <c r="LGC3"/>
      <c r="LGE3"/>
      <c r="LGG3"/>
      <c r="LGI3"/>
      <c r="LGK3"/>
      <c r="LGM3"/>
      <c r="LGO3"/>
      <c r="LGQ3"/>
      <c r="LGS3"/>
      <c r="LGU3"/>
      <c r="LGW3"/>
      <c r="LGY3"/>
      <c r="LHA3"/>
      <c r="LHC3"/>
      <c r="LHE3"/>
      <c r="LHG3"/>
      <c r="LHI3"/>
      <c r="LHK3"/>
      <c r="LHM3"/>
      <c r="LHO3"/>
      <c r="LHQ3"/>
      <c r="LHS3"/>
      <c r="LHU3"/>
      <c r="LHW3"/>
      <c r="LHY3"/>
      <c r="LIA3"/>
      <c r="LIC3"/>
      <c r="LIE3"/>
      <c r="LIG3"/>
      <c r="LII3"/>
      <c r="LIK3"/>
      <c r="LIM3"/>
      <c r="LIO3"/>
      <c r="LIQ3"/>
      <c r="LIS3"/>
      <c r="LIU3"/>
      <c r="LIW3"/>
      <c r="LIY3"/>
      <c r="LJA3"/>
      <c r="LJC3"/>
      <c r="LJE3"/>
      <c r="LJG3"/>
      <c r="LJI3"/>
      <c r="LJK3"/>
      <c r="LJM3"/>
      <c r="LJO3"/>
      <c r="LJQ3"/>
      <c r="LJS3"/>
      <c r="LJU3"/>
      <c r="LJW3"/>
      <c r="LJY3"/>
      <c r="LKA3"/>
      <c r="LKC3"/>
      <c r="LKE3"/>
      <c r="LKG3"/>
      <c r="LKI3"/>
      <c r="LKK3"/>
      <c r="LKM3"/>
      <c r="LKO3"/>
      <c r="LKQ3"/>
      <c r="LKS3"/>
      <c r="LKU3"/>
      <c r="LKW3"/>
      <c r="LKY3"/>
      <c r="LLA3"/>
      <c r="LLC3"/>
      <c r="LLE3"/>
      <c r="LLG3"/>
      <c r="LLI3"/>
      <c r="LLK3"/>
      <c r="LLM3"/>
      <c r="LLO3"/>
      <c r="LLQ3"/>
      <c r="LLS3"/>
      <c r="LLU3"/>
      <c r="LLW3"/>
      <c r="LLY3"/>
      <c r="LMA3"/>
      <c r="LMC3"/>
      <c r="LME3"/>
      <c r="LMG3"/>
      <c r="LMI3"/>
      <c r="LMK3"/>
      <c r="LMM3"/>
      <c r="LMO3"/>
      <c r="LMQ3"/>
      <c r="LMS3"/>
      <c r="LMU3"/>
      <c r="LMW3"/>
      <c r="LMY3"/>
      <c r="LNA3"/>
      <c r="LNC3"/>
      <c r="LNE3"/>
      <c r="LNG3"/>
      <c r="LNI3"/>
      <c r="LNK3"/>
      <c r="LNM3"/>
      <c r="LNO3"/>
      <c r="LNQ3"/>
      <c r="LNS3"/>
      <c r="LNU3"/>
      <c r="LNW3"/>
      <c r="LNY3"/>
      <c r="LOA3"/>
      <c r="LOC3"/>
      <c r="LOE3"/>
      <c r="LOG3"/>
      <c r="LOI3"/>
      <c r="LOK3"/>
      <c r="LOM3"/>
      <c r="LOO3"/>
      <c r="LOQ3"/>
      <c r="LOS3"/>
      <c r="LOU3"/>
      <c r="LOW3"/>
      <c r="LOY3"/>
      <c r="LPA3"/>
      <c r="LPC3"/>
      <c r="LPE3"/>
      <c r="LPG3"/>
      <c r="LPI3"/>
      <c r="LPK3"/>
      <c r="LPM3"/>
      <c r="LPO3"/>
      <c r="LPQ3"/>
      <c r="LPS3"/>
      <c r="LPU3"/>
      <c r="LPW3"/>
      <c r="LPY3"/>
      <c r="LQA3"/>
      <c r="LQC3"/>
      <c r="LQE3"/>
      <c r="LQG3"/>
      <c r="LQI3"/>
      <c r="LQK3"/>
      <c r="LQM3"/>
      <c r="LQO3"/>
      <c r="LQQ3"/>
      <c r="LQS3"/>
      <c r="LQU3"/>
      <c r="LQW3"/>
      <c r="LQY3"/>
      <c r="LRA3"/>
      <c r="LRC3"/>
      <c r="LRE3"/>
      <c r="LRG3"/>
      <c r="LRI3"/>
      <c r="LRK3"/>
      <c r="LRM3"/>
      <c r="LRO3"/>
      <c r="LRQ3"/>
      <c r="LRS3"/>
      <c r="LRU3"/>
      <c r="LRW3"/>
      <c r="LRY3"/>
      <c r="LSA3"/>
      <c r="LSC3"/>
      <c r="LSE3"/>
      <c r="LSG3"/>
      <c r="LSI3"/>
      <c r="LSK3"/>
      <c r="LSM3"/>
      <c r="LSO3"/>
      <c r="LSQ3"/>
      <c r="LSS3"/>
      <c r="LSU3"/>
      <c r="LSW3"/>
      <c r="LSY3"/>
      <c r="LTA3"/>
      <c r="LTC3"/>
      <c r="LTE3"/>
      <c r="LTG3"/>
      <c r="LTI3"/>
      <c r="LTK3"/>
      <c r="LTM3"/>
      <c r="LTO3"/>
      <c r="LTQ3"/>
      <c r="LTS3"/>
      <c r="LTU3"/>
      <c r="LTW3"/>
      <c r="LTY3"/>
      <c r="LUA3"/>
      <c r="LUC3"/>
      <c r="LUE3"/>
      <c r="LUG3"/>
      <c r="LUI3"/>
      <c r="LUK3"/>
      <c r="LUM3"/>
      <c r="LUO3"/>
      <c r="LUQ3"/>
      <c r="LUS3"/>
      <c r="LUU3"/>
      <c r="LUW3"/>
      <c r="LUY3"/>
      <c r="LVA3"/>
      <c r="LVC3"/>
      <c r="LVE3"/>
      <c r="LVG3"/>
      <c r="LVI3"/>
      <c r="LVK3"/>
      <c r="LVM3"/>
      <c r="LVO3"/>
      <c r="LVQ3"/>
      <c r="LVS3"/>
      <c r="LVU3"/>
      <c r="LVW3"/>
      <c r="LVY3"/>
      <c r="LWA3"/>
      <c r="LWC3"/>
      <c r="LWE3"/>
      <c r="LWG3"/>
      <c r="LWI3"/>
      <c r="LWK3"/>
      <c r="LWM3"/>
      <c r="LWO3"/>
      <c r="LWQ3"/>
      <c r="LWS3"/>
      <c r="LWU3"/>
      <c r="LWW3"/>
      <c r="LWY3"/>
      <c r="LXA3"/>
      <c r="LXC3"/>
      <c r="LXE3"/>
      <c r="LXG3"/>
      <c r="LXI3"/>
      <c r="LXK3"/>
      <c r="LXM3"/>
      <c r="LXO3"/>
      <c r="LXQ3"/>
      <c r="LXS3"/>
      <c r="LXU3"/>
      <c r="LXW3"/>
      <c r="LXY3"/>
      <c r="LYA3"/>
      <c r="LYC3"/>
      <c r="LYE3"/>
      <c r="LYG3"/>
      <c r="LYI3"/>
      <c r="LYK3"/>
      <c r="LYM3"/>
      <c r="LYO3"/>
      <c r="LYQ3"/>
      <c r="LYS3"/>
      <c r="LYU3"/>
      <c r="LYW3"/>
      <c r="LYY3"/>
      <c r="LZA3"/>
      <c r="LZC3"/>
      <c r="LZE3"/>
      <c r="LZG3"/>
      <c r="LZI3"/>
      <c r="LZK3"/>
      <c r="LZM3"/>
      <c r="LZO3"/>
      <c r="LZQ3"/>
      <c r="LZS3"/>
      <c r="LZU3"/>
      <c r="LZW3"/>
      <c r="LZY3"/>
      <c r="MAA3"/>
      <c r="MAC3"/>
      <c r="MAE3"/>
      <c r="MAG3"/>
      <c r="MAI3"/>
      <c r="MAK3"/>
      <c r="MAM3"/>
      <c r="MAO3"/>
      <c r="MAQ3"/>
      <c r="MAS3"/>
      <c r="MAU3"/>
      <c r="MAW3"/>
      <c r="MAY3"/>
      <c r="MBA3"/>
      <c r="MBC3"/>
      <c r="MBE3"/>
      <c r="MBG3"/>
      <c r="MBI3"/>
      <c r="MBK3"/>
      <c r="MBM3"/>
      <c r="MBO3"/>
      <c r="MBQ3"/>
      <c r="MBS3"/>
      <c r="MBU3"/>
      <c r="MBW3"/>
      <c r="MBY3"/>
      <c r="MCA3"/>
      <c r="MCC3"/>
      <c r="MCE3"/>
      <c r="MCG3"/>
      <c r="MCI3"/>
      <c r="MCK3"/>
      <c r="MCM3"/>
      <c r="MCO3"/>
      <c r="MCQ3"/>
      <c r="MCS3"/>
      <c r="MCU3"/>
      <c r="MCW3"/>
      <c r="MCY3"/>
      <c r="MDA3"/>
      <c r="MDC3"/>
      <c r="MDE3"/>
      <c r="MDG3"/>
      <c r="MDI3"/>
      <c r="MDK3"/>
      <c r="MDM3"/>
      <c r="MDO3"/>
      <c r="MDQ3"/>
      <c r="MDS3"/>
      <c r="MDU3"/>
      <c r="MDW3"/>
      <c r="MDY3"/>
      <c r="MEA3"/>
      <c r="MEC3"/>
      <c r="MEE3"/>
      <c r="MEG3"/>
      <c r="MEI3"/>
      <c r="MEK3"/>
      <c r="MEM3"/>
      <c r="MEO3"/>
      <c r="MEQ3"/>
      <c r="MES3"/>
      <c r="MEU3"/>
      <c r="MEW3"/>
      <c r="MEY3"/>
      <c r="MFA3"/>
      <c r="MFC3"/>
      <c r="MFE3"/>
      <c r="MFG3"/>
      <c r="MFI3"/>
      <c r="MFK3"/>
      <c r="MFM3"/>
      <c r="MFO3"/>
      <c r="MFQ3"/>
      <c r="MFS3"/>
      <c r="MFU3"/>
      <c r="MFW3"/>
      <c r="MFY3"/>
      <c r="MGA3"/>
      <c r="MGC3"/>
      <c r="MGE3"/>
      <c r="MGG3"/>
      <c r="MGI3"/>
      <c r="MGK3"/>
      <c r="MGM3"/>
      <c r="MGO3"/>
      <c r="MGQ3"/>
      <c r="MGS3"/>
      <c r="MGU3"/>
      <c r="MGW3"/>
      <c r="MGY3"/>
      <c r="MHA3"/>
      <c r="MHC3"/>
      <c r="MHE3"/>
      <c r="MHG3"/>
      <c r="MHI3"/>
      <c r="MHK3"/>
      <c r="MHM3"/>
      <c r="MHO3"/>
      <c r="MHQ3"/>
      <c r="MHS3"/>
      <c r="MHU3"/>
      <c r="MHW3"/>
      <c r="MHY3"/>
      <c r="MIA3"/>
      <c r="MIC3"/>
      <c r="MIE3"/>
      <c r="MIG3"/>
      <c r="MII3"/>
      <c r="MIK3"/>
      <c r="MIM3"/>
      <c r="MIO3"/>
      <c r="MIQ3"/>
      <c r="MIS3"/>
      <c r="MIU3"/>
      <c r="MIW3"/>
      <c r="MIY3"/>
      <c r="MJA3"/>
      <c r="MJC3"/>
      <c r="MJE3"/>
      <c r="MJG3"/>
      <c r="MJI3"/>
      <c r="MJK3"/>
      <c r="MJM3"/>
      <c r="MJO3"/>
      <c r="MJQ3"/>
      <c r="MJS3"/>
      <c r="MJU3"/>
      <c r="MJW3"/>
      <c r="MJY3"/>
      <c r="MKA3"/>
      <c r="MKC3"/>
      <c r="MKE3"/>
      <c r="MKG3"/>
      <c r="MKI3"/>
      <c r="MKK3"/>
      <c r="MKM3"/>
      <c r="MKO3"/>
      <c r="MKQ3"/>
      <c r="MKS3"/>
      <c r="MKU3"/>
      <c r="MKW3"/>
      <c r="MKY3"/>
      <c r="MLA3"/>
      <c r="MLC3"/>
      <c r="MLE3"/>
      <c r="MLG3"/>
      <c r="MLI3"/>
      <c r="MLK3"/>
      <c r="MLM3"/>
      <c r="MLO3"/>
      <c r="MLQ3"/>
      <c r="MLS3"/>
      <c r="MLU3"/>
      <c r="MLW3"/>
      <c r="MLY3"/>
      <c r="MMA3"/>
      <c r="MMC3"/>
      <c r="MME3"/>
      <c r="MMG3"/>
      <c r="MMI3"/>
      <c r="MMK3"/>
      <c r="MMM3"/>
      <c r="MMO3"/>
      <c r="MMQ3"/>
      <c r="MMS3"/>
      <c r="MMU3"/>
      <c r="MMW3"/>
      <c r="MMY3"/>
      <c r="MNA3"/>
      <c r="MNC3"/>
      <c r="MNE3"/>
      <c r="MNG3"/>
      <c r="MNI3"/>
      <c r="MNK3"/>
      <c r="MNM3"/>
      <c r="MNO3"/>
      <c r="MNQ3"/>
      <c r="MNS3"/>
      <c r="MNU3"/>
      <c r="MNW3"/>
      <c r="MNY3"/>
      <c r="MOA3"/>
      <c r="MOC3"/>
      <c r="MOE3"/>
      <c r="MOG3"/>
      <c r="MOI3"/>
      <c r="MOK3"/>
      <c r="MOM3"/>
      <c r="MOO3"/>
      <c r="MOQ3"/>
      <c r="MOS3"/>
      <c r="MOU3"/>
      <c r="MOW3"/>
      <c r="MOY3"/>
      <c r="MPA3"/>
      <c r="MPC3"/>
      <c r="MPE3"/>
      <c r="MPG3"/>
      <c r="MPI3"/>
      <c r="MPK3"/>
      <c r="MPM3"/>
      <c r="MPO3"/>
      <c r="MPQ3"/>
      <c r="MPS3"/>
      <c r="MPU3"/>
      <c r="MPW3"/>
      <c r="MPY3"/>
      <c r="MQA3"/>
      <c r="MQC3"/>
      <c r="MQE3"/>
      <c r="MQG3"/>
      <c r="MQI3"/>
      <c r="MQK3"/>
      <c r="MQM3"/>
      <c r="MQO3"/>
      <c r="MQQ3"/>
      <c r="MQS3"/>
      <c r="MQU3"/>
      <c r="MQW3"/>
      <c r="MQY3"/>
      <c r="MRA3"/>
      <c r="MRC3"/>
      <c r="MRE3"/>
      <c r="MRG3"/>
      <c r="MRI3"/>
      <c r="MRK3"/>
      <c r="MRM3"/>
      <c r="MRO3"/>
      <c r="MRQ3"/>
      <c r="MRS3"/>
      <c r="MRU3"/>
      <c r="MRW3"/>
      <c r="MRY3"/>
      <c r="MSA3"/>
      <c r="MSC3"/>
      <c r="MSE3"/>
      <c r="MSG3"/>
      <c r="MSI3"/>
      <c r="MSK3"/>
      <c r="MSM3"/>
      <c r="MSO3"/>
      <c r="MSQ3"/>
      <c r="MSS3"/>
      <c r="MSU3"/>
      <c r="MSW3"/>
      <c r="MSY3"/>
      <c r="MTA3"/>
      <c r="MTC3"/>
      <c r="MTE3"/>
      <c r="MTG3"/>
      <c r="MTI3"/>
      <c r="MTK3"/>
      <c r="MTM3"/>
      <c r="MTO3"/>
      <c r="MTQ3"/>
      <c r="MTS3"/>
      <c r="MTU3"/>
      <c r="MTW3"/>
      <c r="MTY3"/>
      <c r="MUA3"/>
      <c r="MUC3"/>
      <c r="MUE3"/>
      <c r="MUG3"/>
      <c r="MUI3"/>
      <c r="MUK3"/>
      <c r="MUM3"/>
      <c r="MUO3"/>
      <c r="MUQ3"/>
      <c r="MUS3"/>
      <c r="MUU3"/>
      <c r="MUW3"/>
      <c r="MUY3"/>
      <c r="MVA3"/>
      <c r="MVC3"/>
      <c r="MVE3"/>
      <c r="MVG3"/>
      <c r="MVI3"/>
      <c r="MVK3"/>
      <c r="MVM3"/>
      <c r="MVO3"/>
      <c r="MVQ3"/>
      <c r="MVS3"/>
      <c r="MVU3"/>
      <c r="MVW3"/>
      <c r="MVY3"/>
      <c r="MWA3"/>
      <c r="MWC3"/>
      <c r="MWE3"/>
      <c r="MWG3"/>
      <c r="MWI3"/>
      <c r="MWK3"/>
      <c r="MWM3"/>
      <c r="MWO3"/>
      <c r="MWQ3"/>
      <c r="MWS3"/>
      <c r="MWU3"/>
      <c r="MWW3"/>
      <c r="MWY3"/>
      <c r="MXA3"/>
      <c r="MXC3"/>
      <c r="MXE3"/>
      <c r="MXG3"/>
      <c r="MXI3"/>
      <c r="MXK3"/>
      <c r="MXM3"/>
      <c r="MXO3"/>
      <c r="MXQ3"/>
      <c r="MXS3"/>
      <c r="MXU3"/>
      <c r="MXW3"/>
      <c r="MXY3"/>
      <c r="MYA3"/>
      <c r="MYC3"/>
      <c r="MYE3"/>
      <c r="MYG3"/>
      <c r="MYI3"/>
      <c r="MYK3"/>
      <c r="MYM3"/>
      <c r="MYO3"/>
      <c r="MYQ3"/>
      <c r="MYS3"/>
      <c r="MYU3"/>
      <c r="MYW3"/>
      <c r="MYY3"/>
      <c r="MZA3"/>
      <c r="MZC3"/>
      <c r="MZE3"/>
      <c r="MZG3"/>
      <c r="MZI3"/>
      <c r="MZK3"/>
      <c r="MZM3"/>
      <c r="MZO3"/>
      <c r="MZQ3"/>
      <c r="MZS3"/>
      <c r="MZU3"/>
      <c r="MZW3"/>
      <c r="MZY3"/>
      <c r="NAA3"/>
      <c r="NAC3"/>
      <c r="NAE3"/>
      <c r="NAG3"/>
      <c r="NAI3"/>
      <c r="NAK3"/>
      <c r="NAM3"/>
      <c r="NAO3"/>
      <c r="NAQ3"/>
      <c r="NAS3"/>
      <c r="NAU3"/>
      <c r="NAW3"/>
      <c r="NAY3"/>
      <c r="NBA3"/>
      <c r="NBC3"/>
      <c r="NBE3"/>
      <c r="NBG3"/>
      <c r="NBI3"/>
      <c r="NBK3"/>
      <c r="NBM3"/>
      <c r="NBO3"/>
      <c r="NBQ3"/>
      <c r="NBS3"/>
      <c r="NBU3"/>
      <c r="NBW3"/>
      <c r="NBY3"/>
      <c r="NCA3"/>
      <c r="NCC3"/>
      <c r="NCE3"/>
      <c r="NCG3"/>
      <c r="NCI3"/>
      <c r="NCK3"/>
      <c r="NCM3"/>
      <c r="NCO3"/>
      <c r="NCQ3"/>
      <c r="NCS3"/>
      <c r="NCU3"/>
      <c r="NCW3"/>
      <c r="NCY3"/>
      <c r="NDA3"/>
      <c r="NDC3"/>
      <c r="NDE3"/>
      <c r="NDG3"/>
      <c r="NDI3"/>
      <c r="NDK3"/>
      <c r="NDM3"/>
      <c r="NDO3"/>
      <c r="NDQ3"/>
      <c r="NDS3"/>
      <c r="NDU3"/>
      <c r="NDW3"/>
      <c r="NDY3"/>
      <c r="NEA3"/>
      <c r="NEC3"/>
      <c r="NEE3"/>
      <c r="NEG3"/>
      <c r="NEI3"/>
      <c r="NEK3"/>
      <c r="NEM3"/>
      <c r="NEO3"/>
      <c r="NEQ3"/>
      <c r="NES3"/>
      <c r="NEU3"/>
      <c r="NEW3"/>
      <c r="NEY3"/>
      <c r="NFA3"/>
      <c r="NFC3"/>
      <c r="NFE3"/>
      <c r="NFG3"/>
      <c r="NFI3"/>
      <c r="NFK3"/>
      <c r="NFM3"/>
      <c r="NFO3"/>
      <c r="NFQ3"/>
      <c r="NFS3"/>
      <c r="NFU3"/>
      <c r="NFW3"/>
      <c r="NFY3"/>
      <c r="NGA3"/>
      <c r="NGC3"/>
      <c r="NGE3"/>
      <c r="NGG3"/>
      <c r="NGI3"/>
      <c r="NGK3"/>
      <c r="NGM3"/>
      <c r="NGO3"/>
      <c r="NGQ3"/>
      <c r="NGS3"/>
      <c r="NGU3"/>
      <c r="NGW3"/>
      <c r="NGY3"/>
      <c r="NHA3"/>
      <c r="NHC3"/>
      <c r="NHE3"/>
      <c r="NHG3"/>
      <c r="NHI3"/>
      <c r="NHK3"/>
      <c r="NHM3"/>
      <c r="NHO3"/>
      <c r="NHQ3"/>
      <c r="NHS3"/>
      <c r="NHU3"/>
      <c r="NHW3"/>
      <c r="NHY3"/>
      <c r="NIA3"/>
      <c r="NIC3"/>
      <c r="NIE3"/>
      <c r="NIG3"/>
      <c r="NII3"/>
      <c r="NIK3"/>
      <c r="NIM3"/>
      <c r="NIO3"/>
      <c r="NIQ3"/>
      <c r="NIS3"/>
      <c r="NIU3"/>
      <c r="NIW3"/>
      <c r="NIY3"/>
      <c r="NJA3"/>
      <c r="NJC3"/>
      <c r="NJE3"/>
      <c r="NJG3"/>
      <c r="NJI3"/>
      <c r="NJK3"/>
      <c r="NJM3"/>
      <c r="NJO3"/>
      <c r="NJQ3"/>
      <c r="NJS3"/>
      <c r="NJU3"/>
      <c r="NJW3"/>
      <c r="NJY3"/>
      <c r="NKA3"/>
      <c r="NKC3"/>
      <c r="NKE3"/>
      <c r="NKG3"/>
      <c r="NKI3"/>
      <c r="NKK3"/>
      <c r="NKM3"/>
      <c r="NKO3"/>
      <c r="NKQ3"/>
      <c r="NKS3"/>
      <c r="NKU3"/>
      <c r="NKW3"/>
      <c r="NKY3"/>
      <c r="NLA3"/>
      <c r="NLC3"/>
      <c r="NLE3"/>
      <c r="NLG3"/>
      <c r="NLI3"/>
      <c r="NLK3"/>
      <c r="NLM3"/>
      <c r="NLO3"/>
      <c r="NLQ3"/>
      <c r="NLS3"/>
      <c r="NLU3"/>
      <c r="NLW3"/>
      <c r="NLY3"/>
      <c r="NMA3"/>
      <c r="NMC3"/>
      <c r="NME3"/>
      <c r="NMG3"/>
      <c r="NMI3"/>
      <c r="NMK3"/>
      <c r="NMM3"/>
      <c r="NMO3"/>
      <c r="NMQ3"/>
      <c r="NMS3"/>
      <c r="NMU3"/>
      <c r="NMW3"/>
      <c r="NMY3"/>
      <c r="NNA3"/>
      <c r="NNC3"/>
      <c r="NNE3"/>
      <c r="NNG3"/>
      <c r="NNI3"/>
      <c r="NNK3"/>
      <c r="NNM3"/>
      <c r="NNO3"/>
      <c r="NNQ3"/>
      <c r="NNS3"/>
      <c r="NNU3"/>
      <c r="NNW3"/>
      <c r="NNY3"/>
      <c r="NOA3"/>
      <c r="NOC3"/>
      <c r="NOE3"/>
      <c r="NOG3"/>
      <c r="NOI3"/>
      <c r="NOK3"/>
      <c r="NOM3"/>
      <c r="NOO3"/>
      <c r="NOQ3"/>
      <c r="NOS3"/>
      <c r="NOU3"/>
      <c r="NOW3"/>
      <c r="NOY3"/>
      <c r="NPA3"/>
      <c r="NPC3"/>
      <c r="NPE3"/>
      <c r="NPG3"/>
      <c r="NPI3"/>
      <c r="NPK3"/>
      <c r="NPM3"/>
      <c r="NPO3"/>
      <c r="NPQ3"/>
      <c r="NPS3"/>
      <c r="NPU3"/>
      <c r="NPW3"/>
      <c r="NPY3"/>
      <c r="NQA3"/>
      <c r="NQC3"/>
      <c r="NQE3"/>
      <c r="NQG3"/>
      <c r="NQI3"/>
      <c r="NQK3"/>
      <c r="NQM3"/>
      <c r="NQO3"/>
      <c r="NQQ3"/>
      <c r="NQS3"/>
      <c r="NQU3"/>
      <c r="NQW3"/>
      <c r="NQY3"/>
      <c r="NRA3"/>
      <c r="NRC3"/>
      <c r="NRE3"/>
      <c r="NRG3"/>
      <c r="NRI3"/>
      <c r="NRK3"/>
      <c r="NRM3"/>
      <c r="NRO3"/>
      <c r="NRQ3"/>
      <c r="NRS3"/>
      <c r="NRU3"/>
      <c r="NRW3"/>
      <c r="NRY3"/>
      <c r="NSA3"/>
      <c r="NSC3"/>
      <c r="NSE3"/>
      <c r="NSG3"/>
      <c r="NSI3"/>
      <c r="NSK3"/>
      <c r="NSM3"/>
      <c r="NSO3"/>
      <c r="NSQ3"/>
      <c r="NSS3"/>
      <c r="NSU3"/>
      <c r="NSW3"/>
      <c r="NSY3"/>
      <c r="NTA3"/>
      <c r="NTC3"/>
      <c r="NTE3"/>
      <c r="NTG3"/>
      <c r="NTI3"/>
      <c r="NTK3"/>
      <c r="NTM3"/>
      <c r="NTO3"/>
      <c r="NTQ3"/>
      <c r="NTS3"/>
      <c r="NTU3"/>
      <c r="NTW3"/>
      <c r="NTY3"/>
      <c r="NUA3"/>
      <c r="NUC3"/>
      <c r="NUE3"/>
      <c r="NUG3"/>
      <c r="NUI3"/>
      <c r="NUK3"/>
      <c r="NUM3"/>
      <c r="NUO3"/>
      <c r="NUQ3"/>
      <c r="NUS3"/>
      <c r="NUU3"/>
      <c r="NUW3"/>
      <c r="NUY3"/>
      <c r="NVA3"/>
      <c r="NVC3"/>
      <c r="NVE3"/>
      <c r="NVG3"/>
      <c r="NVI3"/>
      <c r="NVK3"/>
      <c r="NVM3"/>
      <c r="NVO3"/>
      <c r="NVQ3"/>
      <c r="NVS3"/>
      <c r="NVU3"/>
      <c r="NVW3"/>
      <c r="NVY3"/>
      <c r="NWA3"/>
      <c r="NWC3"/>
      <c r="NWE3"/>
      <c r="NWG3"/>
      <c r="NWI3"/>
      <c r="NWK3"/>
      <c r="NWM3"/>
      <c r="NWO3"/>
      <c r="NWQ3"/>
      <c r="NWS3"/>
      <c r="NWU3"/>
      <c r="NWW3"/>
      <c r="NWY3"/>
      <c r="NXA3"/>
      <c r="NXC3"/>
      <c r="NXE3"/>
      <c r="NXG3"/>
      <c r="NXI3"/>
      <c r="NXK3"/>
      <c r="NXM3"/>
      <c r="NXO3"/>
      <c r="NXQ3"/>
      <c r="NXS3"/>
      <c r="NXU3"/>
      <c r="NXW3"/>
      <c r="NXY3"/>
      <c r="NYA3"/>
      <c r="NYC3"/>
      <c r="NYE3"/>
      <c r="NYG3"/>
      <c r="NYI3"/>
      <c r="NYK3"/>
      <c r="NYM3"/>
      <c r="NYO3"/>
      <c r="NYQ3"/>
      <c r="NYS3"/>
      <c r="NYU3"/>
      <c r="NYW3"/>
      <c r="NYY3"/>
      <c r="NZA3"/>
      <c r="NZC3"/>
      <c r="NZE3"/>
      <c r="NZG3"/>
      <c r="NZI3"/>
      <c r="NZK3"/>
      <c r="NZM3"/>
      <c r="NZO3"/>
      <c r="NZQ3"/>
      <c r="NZS3"/>
      <c r="NZU3"/>
      <c r="NZW3"/>
      <c r="NZY3"/>
      <c r="OAA3"/>
      <c r="OAC3"/>
      <c r="OAE3"/>
      <c r="OAG3"/>
      <c r="OAI3"/>
      <c r="OAK3"/>
      <c r="OAM3"/>
      <c r="OAO3"/>
      <c r="OAQ3"/>
      <c r="OAS3"/>
      <c r="OAU3"/>
      <c r="OAW3"/>
      <c r="OAY3"/>
      <c r="OBA3"/>
      <c r="OBC3"/>
      <c r="OBE3"/>
      <c r="OBG3"/>
      <c r="OBI3"/>
      <c r="OBK3"/>
      <c r="OBM3"/>
      <c r="OBO3"/>
      <c r="OBQ3"/>
      <c r="OBS3"/>
      <c r="OBU3"/>
      <c r="OBW3"/>
      <c r="OBY3"/>
      <c r="OCA3"/>
      <c r="OCC3"/>
      <c r="OCE3"/>
      <c r="OCG3"/>
      <c r="OCI3"/>
      <c r="OCK3"/>
      <c r="OCM3"/>
      <c r="OCO3"/>
      <c r="OCQ3"/>
      <c r="OCS3"/>
      <c r="OCU3"/>
      <c r="OCW3"/>
      <c r="OCY3"/>
      <c r="ODA3"/>
      <c r="ODC3"/>
      <c r="ODE3"/>
      <c r="ODG3"/>
      <c r="ODI3"/>
      <c r="ODK3"/>
      <c r="ODM3"/>
      <c r="ODO3"/>
      <c r="ODQ3"/>
      <c r="ODS3"/>
      <c r="ODU3"/>
      <c r="ODW3"/>
      <c r="ODY3"/>
      <c r="OEA3"/>
      <c r="OEC3"/>
      <c r="OEE3"/>
      <c r="OEG3"/>
      <c r="OEI3"/>
      <c r="OEK3"/>
      <c r="OEM3"/>
      <c r="OEO3"/>
      <c r="OEQ3"/>
      <c r="OES3"/>
      <c r="OEU3"/>
      <c r="OEW3"/>
      <c r="OEY3"/>
      <c r="OFA3"/>
      <c r="OFC3"/>
      <c r="OFE3"/>
      <c r="OFG3"/>
      <c r="OFI3"/>
      <c r="OFK3"/>
      <c r="OFM3"/>
      <c r="OFO3"/>
      <c r="OFQ3"/>
      <c r="OFS3"/>
      <c r="OFU3"/>
      <c r="OFW3"/>
      <c r="OFY3"/>
      <c r="OGA3"/>
      <c r="OGC3"/>
      <c r="OGE3"/>
      <c r="OGG3"/>
      <c r="OGI3"/>
      <c r="OGK3"/>
      <c r="OGM3"/>
      <c r="OGO3"/>
      <c r="OGQ3"/>
      <c r="OGS3"/>
      <c r="OGU3"/>
      <c r="OGW3"/>
      <c r="OGY3"/>
      <c r="OHA3"/>
      <c r="OHC3"/>
      <c r="OHE3"/>
      <c r="OHG3"/>
      <c r="OHI3"/>
      <c r="OHK3"/>
      <c r="OHM3"/>
      <c r="OHO3"/>
      <c r="OHQ3"/>
      <c r="OHS3"/>
      <c r="OHU3"/>
      <c r="OHW3"/>
      <c r="OHY3"/>
      <c r="OIA3"/>
      <c r="OIC3"/>
      <c r="OIE3"/>
      <c r="OIG3"/>
      <c r="OII3"/>
      <c r="OIK3"/>
      <c r="OIM3"/>
      <c r="OIO3"/>
      <c r="OIQ3"/>
      <c r="OIS3"/>
      <c r="OIU3"/>
      <c r="OIW3"/>
      <c r="OIY3"/>
      <c r="OJA3"/>
      <c r="OJC3"/>
      <c r="OJE3"/>
      <c r="OJG3"/>
      <c r="OJI3"/>
      <c r="OJK3"/>
      <c r="OJM3"/>
      <c r="OJO3"/>
      <c r="OJQ3"/>
      <c r="OJS3"/>
      <c r="OJU3"/>
      <c r="OJW3"/>
      <c r="OJY3"/>
      <c r="OKA3"/>
      <c r="OKC3"/>
      <c r="OKE3"/>
      <c r="OKG3"/>
      <c r="OKI3"/>
      <c r="OKK3"/>
      <c r="OKM3"/>
      <c r="OKO3"/>
      <c r="OKQ3"/>
      <c r="OKS3"/>
      <c r="OKU3"/>
      <c r="OKW3"/>
      <c r="OKY3"/>
      <c r="OLA3"/>
      <c r="OLC3"/>
      <c r="OLE3"/>
      <c r="OLG3"/>
      <c r="OLI3"/>
      <c r="OLK3"/>
      <c r="OLM3"/>
      <c r="OLO3"/>
      <c r="OLQ3"/>
      <c r="OLS3"/>
      <c r="OLU3"/>
      <c r="OLW3"/>
      <c r="OLY3"/>
      <c r="OMA3"/>
      <c r="OMC3"/>
      <c r="OME3"/>
      <c r="OMG3"/>
      <c r="OMI3"/>
      <c r="OMK3"/>
      <c r="OMM3"/>
      <c r="OMO3"/>
      <c r="OMQ3"/>
      <c r="OMS3"/>
      <c r="OMU3"/>
      <c r="OMW3"/>
      <c r="OMY3"/>
      <c r="ONA3"/>
      <c r="ONC3"/>
      <c r="ONE3"/>
      <c r="ONG3"/>
      <c r="ONI3"/>
      <c r="ONK3"/>
      <c r="ONM3"/>
      <c r="ONO3"/>
      <c r="ONQ3"/>
      <c r="ONS3"/>
      <c r="ONU3"/>
      <c r="ONW3"/>
      <c r="ONY3"/>
      <c r="OOA3"/>
      <c r="OOC3"/>
      <c r="OOE3"/>
      <c r="OOG3"/>
      <c r="OOI3"/>
      <c r="OOK3"/>
      <c r="OOM3"/>
      <c r="OOO3"/>
      <c r="OOQ3"/>
      <c r="OOS3"/>
      <c r="OOU3"/>
      <c r="OOW3"/>
      <c r="OOY3"/>
      <c r="OPA3"/>
      <c r="OPC3"/>
      <c r="OPE3"/>
      <c r="OPG3"/>
      <c r="OPI3"/>
      <c r="OPK3"/>
      <c r="OPM3"/>
      <c r="OPO3"/>
      <c r="OPQ3"/>
      <c r="OPS3"/>
      <c r="OPU3"/>
      <c r="OPW3"/>
      <c r="OPY3"/>
      <c r="OQA3"/>
      <c r="OQC3"/>
      <c r="OQE3"/>
      <c r="OQG3"/>
      <c r="OQI3"/>
      <c r="OQK3"/>
      <c r="OQM3"/>
      <c r="OQO3"/>
      <c r="OQQ3"/>
      <c r="OQS3"/>
      <c r="OQU3"/>
      <c r="OQW3"/>
      <c r="OQY3"/>
      <c r="ORA3"/>
      <c r="ORC3"/>
      <c r="ORE3"/>
      <c r="ORG3"/>
      <c r="ORI3"/>
      <c r="ORK3"/>
      <c r="ORM3"/>
      <c r="ORO3"/>
      <c r="ORQ3"/>
      <c r="ORS3"/>
      <c r="ORU3"/>
      <c r="ORW3"/>
      <c r="ORY3"/>
      <c r="OSA3"/>
      <c r="OSC3"/>
      <c r="OSE3"/>
      <c r="OSG3"/>
      <c r="OSI3"/>
      <c r="OSK3"/>
      <c r="OSM3"/>
      <c r="OSO3"/>
      <c r="OSQ3"/>
      <c r="OSS3"/>
      <c r="OSU3"/>
      <c r="OSW3"/>
      <c r="OSY3"/>
      <c r="OTA3"/>
      <c r="OTC3"/>
      <c r="OTE3"/>
      <c r="OTG3"/>
      <c r="OTI3"/>
      <c r="OTK3"/>
      <c r="OTM3"/>
      <c r="OTO3"/>
      <c r="OTQ3"/>
      <c r="OTS3"/>
      <c r="OTU3"/>
      <c r="OTW3"/>
      <c r="OTY3"/>
      <c r="OUA3"/>
      <c r="OUC3"/>
      <c r="OUE3"/>
      <c r="OUG3"/>
      <c r="OUI3"/>
      <c r="OUK3"/>
      <c r="OUM3"/>
      <c r="OUO3"/>
      <c r="OUQ3"/>
      <c r="OUS3"/>
      <c r="OUU3"/>
      <c r="OUW3"/>
      <c r="OUY3"/>
      <c r="OVA3"/>
      <c r="OVC3"/>
      <c r="OVE3"/>
      <c r="OVG3"/>
      <c r="OVI3"/>
      <c r="OVK3"/>
      <c r="OVM3"/>
      <c r="OVO3"/>
      <c r="OVQ3"/>
      <c r="OVS3"/>
      <c r="OVU3"/>
      <c r="OVW3"/>
      <c r="OVY3"/>
      <c r="OWA3"/>
      <c r="OWC3"/>
      <c r="OWE3"/>
      <c r="OWG3"/>
      <c r="OWI3"/>
      <c r="OWK3"/>
      <c r="OWM3"/>
      <c r="OWO3"/>
      <c r="OWQ3"/>
      <c r="OWS3"/>
      <c r="OWU3"/>
      <c r="OWW3"/>
      <c r="OWY3"/>
      <c r="OXA3"/>
      <c r="OXC3"/>
      <c r="OXE3"/>
      <c r="OXG3"/>
      <c r="OXI3"/>
      <c r="OXK3"/>
      <c r="OXM3"/>
      <c r="OXO3"/>
      <c r="OXQ3"/>
      <c r="OXS3"/>
      <c r="OXU3"/>
      <c r="OXW3"/>
      <c r="OXY3"/>
      <c r="OYA3"/>
      <c r="OYC3"/>
      <c r="OYE3"/>
      <c r="OYG3"/>
      <c r="OYI3"/>
      <c r="OYK3"/>
      <c r="OYM3"/>
      <c r="OYO3"/>
      <c r="OYQ3"/>
      <c r="OYS3"/>
      <c r="OYU3"/>
      <c r="OYW3"/>
      <c r="OYY3"/>
      <c r="OZA3"/>
      <c r="OZC3"/>
      <c r="OZE3"/>
      <c r="OZG3"/>
      <c r="OZI3"/>
      <c r="OZK3"/>
      <c r="OZM3"/>
      <c r="OZO3"/>
      <c r="OZQ3"/>
      <c r="OZS3"/>
      <c r="OZU3"/>
      <c r="OZW3"/>
      <c r="OZY3"/>
      <c r="PAA3"/>
      <c r="PAC3"/>
      <c r="PAE3"/>
      <c r="PAG3"/>
      <c r="PAI3"/>
      <c r="PAK3"/>
      <c r="PAM3"/>
      <c r="PAO3"/>
      <c r="PAQ3"/>
      <c r="PAS3"/>
      <c r="PAU3"/>
      <c r="PAW3"/>
      <c r="PAY3"/>
      <c r="PBA3"/>
      <c r="PBC3"/>
      <c r="PBE3"/>
      <c r="PBG3"/>
      <c r="PBI3"/>
      <c r="PBK3"/>
      <c r="PBM3"/>
      <c r="PBO3"/>
      <c r="PBQ3"/>
      <c r="PBS3"/>
      <c r="PBU3"/>
      <c r="PBW3"/>
      <c r="PBY3"/>
      <c r="PCA3"/>
      <c r="PCC3"/>
      <c r="PCE3"/>
      <c r="PCG3"/>
      <c r="PCI3"/>
      <c r="PCK3"/>
      <c r="PCM3"/>
      <c r="PCO3"/>
      <c r="PCQ3"/>
      <c r="PCS3"/>
      <c r="PCU3"/>
      <c r="PCW3"/>
      <c r="PCY3"/>
      <c r="PDA3"/>
      <c r="PDC3"/>
      <c r="PDE3"/>
      <c r="PDG3"/>
      <c r="PDI3"/>
      <c r="PDK3"/>
      <c r="PDM3"/>
      <c r="PDO3"/>
      <c r="PDQ3"/>
      <c r="PDS3"/>
      <c r="PDU3"/>
      <c r="PDW3"/>
      <c r="PDY3"/>
      <c r="PEA3"/>
      <c r="PEC3"/>
      <c r="PEE3"/>
      <c r="PEG3"/>
      <c r="PEI3"/>
      <c r="PEK3"/>
      <c r="PEM3"/>
      <c r="PEO3"/>
      <c r="PEQ3"/>
      <c r="PES3"/>
      <c r="PEU3"/>
      <c r="PEW3"/>
      <c r="PEY3"/>
      <c r="PFA3"/>
      <c r="PFC3"/>
      <c r="PFE3"/>
      <c r="PFG3"/>
      <c r="PFI3"/>
      <c r="PFK3"/>
      <c r="PFM3"/>
      <c r="PFO3"/>
      <c r="PFQ3"/>
      <c r="PFS3"/>
      <c r="PFU3"/>
      <c r="PFW3"/>
      <c r="PFY3"/>
      <c r="PGA3"/>
      <c r="PGC3"/>
      <c r="PGE3"/>
      <c r="PGG3"/>
      <c r="PGI3"/>
      <c r="PGK3"/>
      <c r="PGM3"/>
      <c r="PGO3"/>
      <c r="PGQ3"/>
      <c r="PGS3"/>
      <c r="PGU3"/>
      <c r="PGW3"/>
      <c r="PGY3"/>
      <c r="PHA3"/>
      <c r="PHC3"/>
      <c r="PHE3"/>
      <c r="PHG3"/>
      <c r="PHI3"/>
      <c r="PHK3"/>
      <c r="PHM3"/>
      <c r="PHO3"/>
      <c r="PHQ3"/>
      <c r="PHS3"/>
      <c r="PHU3"/>
      <c r="PHW3"/>
      <c r="PHY3"/>
      <c r="PIA3"/>
      <c r="PIC3"/>
      <c r="PIE3"/>
      <c r="PIG3"/>
      <c r="PII3"/>
      <c r="PIK3"/>
      <c r="PIM3"/>
      <c r="PIO3"/>
      <c r="PIQ3"/>
      <c r="PIS3"/>
      <c r="PIU3"/>
      <c r="PIW3"/>
      <c r="PIY3"/>
      <c r="PJA3"/>
      <c r="PJC3"/>
      <c r="PJE3"/>
      <c r="PJG3"/>
      <c r="PJI3"/>
      <c r="PJK3"/>
      <c r="PJM3"/>
      <c r="PJO3"/>
      <c r="PJQ3"/>
      <c r="PJS3"/>
      <c r="PJU3"/>
      <c r="PJW3"/>
      <c r="PJY3"/>
      <c r="PKA3"/>
      <c r="PKC3"/>
      <c r="PKE3"/>
      <c r="PKG3"/>
      <c r="PKI3"/>
      <c r="PKK3"/>
      <c r="PKM3"/>
      <c r="PKO3"/>
      <c r="PKQ3"/>
      <c r="PKS3"/>
      <c r="PKU3"/>
      <c r="PKW3"/>
      <c r="PKY3"/>
      <c r="PLA3"/>
      <c r="PLC3"/>
      <c r="PLE3"/>
      <c r="PLG3"/>
      <c r="PLI3"/>
      <c r="PLK3"/>
      <c r="PLM3"/>
      <c r="PLO3"/>
      <c r="PLQ3"/>
      <c r="PLS3"/>
      <c r="PLU3"/>
      <c r="PLW3"/>
      <c r="PLY3"/>
      <c r="PMA3"/>
      <c r="PMC3"/>
      <c r="PME3"/>
      <c r="PMG3"/>
      <c r="PMI3"/>
      <c r="PMK3"/>
      <c r="PMM3"/>
      <c r="PMO3"/>
      <c r="PMQ3"/>
      <c r="PMS3"/>
      <c r="PMU3"/>
      <c r="PMW3"/>
      <c r="PMY3"/>
      <c r="PNA3"/>
      <c r="PNC3"/>
      <c r="PNE3"/>
      <c r="PNG3"/>
      <c r="PNI3"/>
      <c r="PNK3"/>
      <c r="PNM3"/>
      <c r="PNO3"/>
      <c r="PNQ3"/>
      <c r="PNS3"/>
      <c r="PNU3"/>
      <c r="PNW3"/>
      <c r="PNY3"/>
      <c r="POA3"/>
      <c r="POC3"/>
      <c r="POE3"/>
      <c r="POG3"/>
      <c r="POI3"/>
      <c r="POK3"/>
      <c r="POM3"/>
      <c r="POO3"/>
      <c r="POQ3"/>
      <c r="POS3"/>
      <c r="POU3"/>
      <c r="POW3"/>
      <c r="POY3"/>
      <c r="PPA3"/>
      <c r="PPC3"/>
      <c r="PPE3"/>
      <c r="PPG3"/>
      <c r="PPI3"/>
      <c r="PPK3"/>
      <c r="PPM3"/>
      <c r="PPO3"/>
      <c r="PPQ3"/>
      <c r="PPS3"/>
      <c r="PPU3"/>
      <c r="PPW3"/>
      <c r="PPY3"/>
      <c r="PQA3"/>
      <c r="PQC3"/>
      <c r="PQE3"/>
      <c r="PQG3"/>
      <c r="PQI3"/>
      <c r="PQK3"/>
      <c r="PQM3"/>
      <c r="PQO3"/>
      <c r="PQQ3"/>
      <c r="PQS3"/>
      <c r="PQU3"/>
      <c r="PQW3"/>
      <c r="PQY3"/>
      <c r="PRA3"/>
      <c r="PRC3"/>
      <c r="PRE3"/>
      <c r="PRG3"/>
      <c r="PRI3"/>
      <c r="PRK3"/>
      <c r="PRM3"/>
      <c r="PRO3"/>
      <c r="PRQ3"/>
      <c r="PRS3"/>
      <c r="PRU3"/>
      <c r="PRW3"/>
      <c r="PRY3"/>
      <c r="PSA3"/>
      <c r="PSC3"/>
      <c r="PSE3"/>
      <c r="PSG3"/>
      <c r="PSI3"/>
      <c r="PSK3"/>
      <c r="PSM3"/>
      <c r="PSO3"/>
      <c r="PSQ3"/>
      <c r="PSS3"/>
      <c r="PSU3"/>
      <c r="PSW3"/>
      <c r="PSY3"/>
      <c r="PTA3"/>
      <c r="PTC3"/>
      <c r="PTE3"/>
      <c r="PTG3"/>
      <c r="PTI3"/>
      <c r="PTK3"/>
      <c r="PTM3"/>
      <c r="PTO3"/>
      <c r="PTQ3"/>
      <c r="PTS3"/>
      <c r="PTU3"/>
      <c r="PTW3"/>
      <c r="PTY3"/>
      <c r="PUA3"/>
      <c r="PUC3"/>
      <c r="PUE3"/>
      <c r="PUG3"/>
      <c r="PUI3"/>
      <c r="PUK3"/>
      <c r="PUM3"/>
      <c r="PUO3"/>
      <c r="PUQ3"/>
      <c r="PUS3"/>
      <c r="PUU3"/>
      <c r="PUW3"/>
      <c r="PUY3"/>
      <c r="PVA3"/>
      <c r="PVC3"/>
      <c r="PVE3"/>
      <c r="PVG3"/>
      <c r="PVI3"/>
      <c r="PVK3"/>
      <c r="PVM3"/>
      <c r="PVO3"/>
      <c r="PVQ3"/>
      <c r="PVS3"/>
      <c r="PVU3"/>
      <c r="PVW3"/>
      <c r="PVY3"/>
      <c r="PWA3"/>
      <c r="PWC3"/>
      <c r="PWE3"/>
      <c r="PWG3"/>
      <c r="PWI3"/>
      <c r="PWK3"/>
      <c r="PWM3"/>
      <c r="PWO3"/>
      <c r="PWQ3"/>
      <c r="PWS3"/>
      <c r="PWU3"/>
      <c r="PWW3"/>
      <c r="PWY3"/>
      <c r="PXA3"/>
      <c r="PXC3"/>
      <c r="PXE3"/>
      <c r="PXG3"/>
      <c r="PXI3"/>
      <c r="PXK3"/>
      <c r="PXM3"/>
      <c r="PXO3"/>
      <c r="PXQ3"/>
      <c r="PXS3"/>
      <c r="PXU3"/>
      <c r="PXW3"/>
      <c r="PXY3"/>
      <c r="PYA3"/>
      <c r="PYC3"/>
      <c r="PYE3"/>
      <c r="PYG3"/>
      <c r="PYI3"/>
      <c r="PYK3"/>
      <c r="PYM3"/>
      <c r="PYO3"/>
      <c r="PYQ3"/>
      <c r="PYS3"/>
      <c r="PYU3"/>
      <c r="PYW3"/>
      <c r="PYY3"/>
      <c r="PZA3"/>
      <c r="PZC3"/>
      <c r="PZE3"/>
      <c r="PZG3"/>
      <c r="PZI3"/>
      <c r="PZK3"/>
      <c r="PZM3"/>
      <c r="PZO3"/>
      <c r="PZQ3"/>
      <c r="PZS3"/>
      <c r="PZU3"/>
      <c r="PZW3"/>
      <c r="PZY3"/>
      <c r="QAA3"/>
      <c r="QAC3"/>
      <c r="QAE3"/>
      <c r="QAG3"/>
      <c r="QAI3"/>
      <c r="QAK3"/>
      <c r="QAM3"/>
      <c r="QAO3"/>
      <c r="QAQ3"/>
      <c r="QAS3"/>
      <c r="QAU3"/>
      <c r="QAW3"/>
      <c r="QAY3"/>
      <c r="QBA3"/>
      <c r="QBC3"/>
      <c r="QBE3"/>
      <c r="QBG3"/>
      <c r="QBI3"/>
      <c r="QBK3"/>
      <c r="QBM3"/>
      <c r="QBO3"/>
      <c r="QBQ3"/>
      <c r="QBS3"/>
      <c r="QBU3"/>
      <c r="QBW3"/>
      <c r="QBY3"/>
      <c r="QCA3"/>
      <c r="QCC3"/>
      <c r="QCE3"/>
      <c r="QCG3"/>
      <c r="QCI3"/>
      <c r="QCK3"/>
      <c r="QCM3"/>
      <c r="QCO3"/>
      <c r="QCQ3"/>
      <c r="QCS3"/>
      <c r="QCU3"/>
      <c r="QCW3"/>
      <c r="QCY3"/>
      <c r="QDA3"/>
      <c r="QDC3"/>
      <c r="QDE3"/>
      <c r="QDG3"/>
      <c r="QDI3"/>
      <c r="QDK3"/>
      <c r="QDM3"/>
      <c r="QDO3"/>
      <c r="QDQ3"/>
      <c r="QDS3"/>
      <c r="QDU3"/>
      <c r="QDW3"/>
      <c r="QDY3"/>
      <c r="QEA3"/>
      <c r="QEC3"/>
      <c r="QEE3"/>
      <c r="QEG3"/>
      <c r="QEI3"/>
      <c r="QEK3"/>
      <c r="QEM3"/>
      <c r="QEO3"/>
      <c r="QEQ3"/>
      <c r="QES3"/>
      <c r="QEU3"/>
      <c r="QEW3"/>
      <c r="QEY3"/>
      <c r="QFA3"/>
      <c r="QFC3"/>
      <c r="QFE3"/>
      <c r="QFG3"/>
      <c r="QFI3"/>
      <c r="QFK3"/>
      <c r="QFM3"/>
      <c r="QFO3"/>
      <c r="QFQ3"/>
      <c r="QFS3"/>
      <c r="QFU3"/>
      <c r="QFW3"/>
      <c r="QFY3"/>
      <c r="QGA3"/>
      <c r="QGC3"/>
      <c r="QGE3"/>
      <c r="QGG3"/>
      <c r="QGI3"/>
      <c r="QGK3"/>
      <c r="QGM3"/>
      <c r="QGO3"/>
      <c r="QGQ3"/>
      <c r="QGS3"/>
      <c r="QGU3"/>
      <c r="QGW3"/>
      <c r="QGY3"/>
      <c r="QHA3"/>
      <c r="QHC3"/>
      <c r="QHE3"/>
      <c r="QHG3"/>
      <c r="QHI3"/>
      <c r="QHK3"/>
      <c r="QHM3"/>
      <c r="QHO3"/>
      <c r="QHQ3"/>
      <c r="QHS3"/>
      <c r="QHU3"/>
      <c r="QHW3"/>
      <c r="QHY3"/>
      <c r="QIA3"/>
      <c r="QIC3"/>
      <c r="QIE3"/>
      <c r="QIG3"/>
      <c r="QII3"/>
      <c r="QIK3"/>
      <c r="QIM3"/>
      <c r="QIO3"/>
      <c r="QIQ3"/>
      <c r="QIS3"/>
      <c r="QIU3"/>
      <c r="QIW3"/>
      <c r="QIY3"/>
      <c r="QJA3"/>
      <c r="QJC3"/>
      <c r="QJE3"/>
      <c r="QJG3"/>
      <c r="QJI3"/>
      <c r="QJK3"/>
      <c r="QJM3"/>
      <c r="QJO3"/>
      <c r="QJQ3"/>
      <c r="QJS3"/>
      <c r="QJU3"/>
      <c r="QJW3"/>
      <c r="QJY3"/>
      <c r="QKA3"/>
      <c r="QKC3"/>
      <c r="QKE3"/>
      <c r="QKG3"/>
      <c r="QKI3"/>
      <c r="QKK3"/>
      <c r="QKM3"/>
      <c r="QKO3"/>
      <c r="QKQ3"/>
      <c r="QKS3"/>
      <c r="QKU3"/>
      <c r="QKW3"/>
      <c r="QKY3"/>
      <c r="QLA3"/>
      <c r="QLC3"/>
      <c r="QLE3"/>
      <c r="QLG3"/>
      <c r="QLI3"/>
      <c r="QLK3"/>
      <c r="QLM3"/>
      <c r="QLO3"/>
      <c r="QLQ3"/>
      <c r="QLS3"/>
      <c r="QLU3"/>
      <c r="QLW3"/>
      <c r="QLY3"/>
      <c r="QMA3"/>
      <c r="QMC3"/>
      <c r="QME3"/>
      <c r="QMG3"/>
      <c r="QMI3"/>
      <c r="QMK3"/>
      <c r="QMM3"/>
      <c r="QMO3"/>
      <c r="QMQ3"/>
      <c r="QMS3"/>
      <c r="QMU3"/>
      <c r="QMW3"/>
      <c r="QMY3"/>
      <c r="QNA3"/>
      <c r="QNC3"/>
      <c r="QNE3"/>
      <c r="QNG3"/>
      <c r="QNI3"/>
      <c r="QNK3"/>
      <c r="QNM3"/>
      <c r="QNO3"/>
      <c r="QNQ3"/>
      <c r="QNS3"/>
      <c r="QNU3"/>
      <c r="QNW3"/>
      <c r="QNY3"/>
      <c r="QOA3"/>
      <c r="QOC3"/>
      <c r="QOE3"/>
      <c r="QOG3"/>
      <c r="QOI3"/>
      <c r="QOK3"/>
      <c r="QOM3"/>
      <c r="QOO3"/>
      <c r="QOQ3"/>
      <c r="QOS3"/>
      <c r="QOU3"/>
      <c r="QOW3"/>
      <c r="QOY3"/>
      <c r="QPA3"/>
      <c r="QPC3"/>
      <c r="QPE3"/>
      <c r="QPG3"/>
      <c r="QPI3"/>
      <c r="QPK3"/>
      <c r="QPM3"/>
      <c r="QPO3"/>
      <c r="QPQ3"/>
      <c r="QPS3"/>
      <c r="QPU3"/>
      <c r="QPW3"/>
      <c r="QPY3"/>
      <c r="QQA3"/>
      <c r="QQC3"/>
      <c r="QQE3"/>
      <c r="QQG3"/>
      <c r="QQI3"/>
      <c r="QQK3"/>
      <c r="QQM3"/>
      <c r="QQO3"/>
      <c r="QQQ3"/>
      <c r="QQS3"/>
      <c r="QQU3"/>
      <c r="QQW3"/>
      <c r="QQY3"/>
      <c r="QRA3"/>
      <c r="QRC3"/>
      <c r="QRE3"/>
      <c r="QRG3"/>
      <c r="QRI3"/>
      <c r="QRK3"/>
      <c r="QRM3"/>
      <c r="QRO3"/>
      <c r="QRQ3"/>
      <c r="QRS3"/>
      <c r="QRU3"/>
      <c r="QRW3"/>
      <c r="QRY3"/>
      <c r="QSA3"/>
      <c r="QSC3"/>
      <c r="QSE3"/>
      <c r="QSG3"/>
      <c r="QSI3"/>
      <c r="QSK3"/>
      <c r="QSM3"/>
      <c r="QSO3"/>
      <c r="QSQ3"/>
      <c r="QSS3"/>
      <c r="QSU3"/>
      <c r="QSW3"/>
      <c r="QSY3"/>
      <c r="QTA3"/>
      <c r="QTC3"/>
      <c r="QTE3"/>
      <c r="QTG3"/>
      <c r="QTI3"/>
      <c r="QTK3"/>
      <c r="QTM3"/>
      <c r="QTO3"/>
      <c r="QTQ3"/>
      <c r="QTS3"/>
      <c r="QTU3"/>
      <c r="QTW3"/>
      <c r="QTY3"/>
      <c r="QUA3"/>
      <c r="QUC3"/>
      <c r="QUE3"/>
      <c r="QUG3"/>
      <c r="QUI3"/>
      <c r="QUK3"/>
      <c r="QUM3"/>
      <c r="QUO3"/>
      <c r="QUQ3"/>
      <c r="QUS3"/>
      <c r="QUU3"/>
      <c r="QUW3"/>
      <c r="QUY3"/>
      <c r="QVA3"/>
      <c r="QVC3"/>
      <c r="QVE3"/>
      <c r="QVG3"/>
      <c r="QVI3"/>
      <c r="QVK3"/>
      <c r="QVM3"/>
      <c r="QVO3"/>
      <c r="QVQ3"/>
      <c r="QVS3"/>
      <c r="QVU3"/>
      <c r="QVW3"/>
      <c r="QVY3"/>
      <c r="QWA3"/>
      <c r="QWC3"/>
      <c r="QWE3"/>
      <c r="QWG3"/>
      <c r="QWI3"/>
      <c r="QWK3"/>
      <c r="QWM3"/>
      <c r="QWO3"/>
      <c r="QWQ3"/>
      <c r="QWS3"/>
      <c r="QWU3"/>
      <c r="QWW3"/>
      <c r="QWY3"/>
      <c r="QXA3"/>
      <c r="QXC3"/>
      <c r="QXE3"/>
      <c r="QXG3"/>
      <c r="QXI3"/>
      <c r="QXK3"/>
      <c r="QXM3"/>
      <c r="QXO3"/>
      <c r="QXQ3"/>
      <c r="QXS3"/>
      <c r="QXU3"/>
      <c r="QXW3"/>
      <c r="QXY3"/>
      <c r="QYA3"/>
      <c r="QYC3"/>
      <c r="QYE3"/>
      <c r="QYG3"/>
      <c r="QYI3"/>
      <c r="QYK3"/>
      <c r="QYM3"/>
      <c r="QYO3"/>
      <c r="QYQ3"/>
      <c r="QYS3"/>
      <c r="QYU3"/>
      <c r="QYW3"/>
      <c r="QYY3"/>
      <c r="QZA3"/>
      <c r="QZC3"/>
      <c r="QZE3"/>
      <c r="QZG3"/>
      <c r="QZI3"/>
      <c r="QZK3"/>
      <c r="QZM3"/>
      <c r="QZO3"/>
      <c r="QZQ3"/>
      <c r="QZS3"/>
      <c r="QZU3"/>
      <c r="QZW3"/>
      <c r="QZY3"/>
      <c r="RAA3"/>
      <c r="RAC3"/>
      <c r="RAE3"/>
      <c r="RAG3"/>
      <c r="RAI3"/>
      <c r="RAK3"/>
      <c r="RAM3"/>
      <c r="RAO3"/>
      <c r="RAQ3"/>
      <c r="RAS3"/>
      <c r="RAU3"/>
      <c r="RAW3"/>
      <c r="RAY3"/>
      <c r="RBA3"/>
      <c r="RBC3"/>
      <c r="RBE3"/>
      <c r="RBG3"/>
      <c r="RBI3"/>
      <c r="RBK3"/>
      <c r="RBM3"/>
      <c r="RBO3"/>
      <c r="RBQ3"/>
      <c r="RBS3"/>
      <c r="RBU3"/>
      <c r="RBW3"/>
      <c r="RBY3"/>
      <c r="RCA3"/>
      <c r="RCC3"/>
      <c r="RCE3"/>
      <c r="RCG3"/>
      <c r="RCI3"/>
      <c r="RCK3"/>
      <c r="RCM3"/>
      <c r="RCO3"/>
      <c r="RCQ3"/>
      <c r="RCS3"/>
      <c r="RCU3"/>
      <c r="RCW3"/>
      <c r="RCY3"/>
      <c r="RDA3"/>
      <c r="RDC3"/>
      <c r="RDE3"/>
      <c r="RDG3"/>
      <c r="RDI3"/>
      <c r="RDK3"/>
      <c r="RDM3"/>
      <c r="RDO3"/>
      <c r="RDQ3"/>
      <c r="RDS3"/>
      <c r="RDU3"/>
      <c r="RDW3"/>
      <c r="RDY3"/>
      <c r="REA3"/>
      <c r="REC3"/>
      <c r="REE3"/>
      <c r="REG3"/>
      <c r="REI3"/>
      <c r="REK3"/>
      <c r="REM3"/>
      <c r="REO3"/>
      <c r="REQ3"/>
      <c r="RES3"/>
      <c r="REU3"/>
      <c r="REW3"/>
      <c r="REY3"/>
      <c r="RFA3"/>
      <c r="RFC3"/>
      <c r="RFE3"/>
      <c r="RFG3"/>
      <c r="RFI3"/>
      <c r="RFK3"/>
      <c r="RFM3"/>
      <c r="RFO3"/>
      <c r="RFQ3"/>
      <c r="RFS3"/>
      <c r="RFU3"/>
      <c r="RFW3"/>
      <c r="RFY3"/>
      <c r="RGA3"/>
      <c r="RGC3"/>
      <c r="RGE3"/>
      <c r="RGG3"/>
      <c r="RGI3"/>
      <c r="RGK3"/>
      <c r="RGM3"/>
      <c r="RGO3"/>
      <c r="RGQ3"/>
      <c r="RGS3"/>
      <c r="RGU3"/>
      <c r="RGW3"/>
      <c r="RGY3"/>
      <c r="RHA3"/>
      <c r="RHC3"/>
      <c r="RHE3"/>
      <c r="RHG3"/>
      <c r="RHI3"/>
      <c r="RHK3"/>
      <c r="RHM3"/>
      <c r="RHO3"/>
      <c r="RHQ3"/>
      <c r="RHS3"/>
      <c r="RHU3"/>
      <c r="RHW3"/>
      <c r="RHY3"/>
      <c r="RIA3"/>
      <c r="RIC3"/>
      <c r="RIE3"/>
      <c r="RIG3"/>
      <c r="RII3"/>
      <c r="RIK3"/>
      <c r="RIM3"/>
      <c r="RIO3"/>
      <c r="RIQ3"/>
      <c r="RIS3"/>
      <c r="RIU3"/>
      <c r="RIW3"/>
      <c r="RIY3"/>
      <c r="RJA3"/>
      <c r="RJC3"/>
      <c r="RJE3"/>
      <c r="RJG3"/>
      <c r="RJI3"/>
      <c r="RJK3"/>
      <c r="RJM3"/>
      <c r="RJO3"/>
      <c r="RJQ3"/>
      <c r="RJS3"/>
      <c r="RJU3"/>
      <c r="RJW3"/>
      <c r="RJY3"/>
      <c r="RKA3"/>
      <c r="RKC3"/>
      <c r="RKE3"/>
      <c r="RKG3"/>
      <c r="RKI3"/>
      <c r="RKK3"/>
      <c r="RKM3"/>
      <c r="RKO3"/>
      <c r="RKQ3"/>
      <c r="RKS3"/>
      <c r="RKU3"/>
      <c r="RKW3"/>
      <c r="RKY3"/>
      <c r="RLA3"/>
      <c r="RLC3"/>
      <c r="RLE3"/>
      <c r="RLG3"/>
      <c r="RLI3"/>
      <c r="RLK3"/>
      <c r="RLM3"/>
      <c r="RLO3"/>
      <c r="RLQ3"/>
      <c r="RLS3"/>
      <c r="RLU3"/>
      <c r="RLW3"/>
      <c r="RLY3"/>
      <c r="RMA3"/>
      <c r="RMC3"/>
      <c r="RME3"/>
      <c r="RMG3"/>
      <c r="RMI3"/>
      <c r="RMK3"/>
      <c r="RMM3"/>
      <c r="RMO3"/>
      <c r="RMQ3"/>
      <c r="RMS3"/>
      <c r="RMU3"/>
      <c r="RMW3"/>
      <c r="RMY3"/>
      <c r="RNA3"/>
      <c r="RNC3"/>
      <c r="RNE3"/>
      <c r="RNG3"/>
      <c r="RNI3"/>
      <c r="RNK3"/>
      <c r="RNM3"/>
      <c r="RNO3"/>
      <c r="RNQ3"/>
      <c r="RNS3"/>
      <c r="RNU3"/>
      <c r="RNW3"/>
      <c r="RNY3"/>
      <c r="ROA3"/>
      <c r="ROC3"/>
      <c r="ROE3"/>
      <c r="ROG3"/>
      <c r="ROI3"/>
      <c r="ROK3"/>
      <c r="ROM3"/>
      <c r="ROO3"/>
      <c r="ROQ3"/>
      <c r="ROS3"/>
      <c r="ROU3"/>
      <c r="ROW3"/>
      <c r="ROY3"/>
      <c r="RPA3"/>
      <c r="RPC3"/>
      <c r="RPE3"/>
      <c r="RPG3"/>
      <c r="RPI3"/>
      <c r="RPK3"/>
      <c r="RPM3"/>
      <c r="RPO3"/>
      <c r="RPQ3"/>
      <c r="RPS3"/>
      <c r="RPU3"/>
      <c r="RPW3"/>
      <c r="RPY3"/>
      <c r="RQA3"/>
      <c r="RQC3"/>
      <c r="RQE3"/>
      <c r="RQG3"/>
      <c r="RQI3"/>
      <c r="RQK3"/>
      <c r="RQM3"/>
      <c r="RQO3"/>
      <c r="RQQ3"/>
      <c r="RQS3"/>
      <c r="RQU3"/>
      <c r="RQW3"/>
      <c r="RQY3"/>
      <c r="RRA3"/>
      <c r="RRC3"/>
      <c r="RRE3"/>
      <c r="RRG3"/>
      <c r="RRI3"/>
      <c r="RRK3"/>
      <c r="RRM3"/>
      <c r="RRO3"/>
      <c r="RRQ3"/>
      <c r="RRS3"/>
      <c r="RRU3"/>
      <c r="RRW3"/>
      <c r="RRY3"/>
      <c r="RSA3"/>
      <c r="RSC3"/>
      <c r="RSE3"/>
      <c r="RSG3"/>
      <c r="RSI3"/>
      <c r="RSK3"/>
      <c r="RSM3"/>
      <c r="RSO3"/>
      <c r="RSQ3"/>
      <c r="RSS3"/>
      <c r="RSU3"/>
      <c r="RSW3"/>
      <c r="RSY3"/>
      <c r="RTA3"/>
      <c r="RTC3"/>
      <c r="RTE3"/>
      <c r="RTG3"/>
      <c r="RTI3"/>
      <c r="RTK3"/>
      <c r="RTM3"/>
      <c r="RTO3"/>
      <c r="RTQ3"/>
      <c r="RTS3"/>
      <c r="RTU3"/>
      <c r="RTW3"/>
      <c r="RTY3"/>
      <c r="RUA3"/>
      <c r="RUC3"/>
      <c r="RUE3"/>
      <c r="RUG3"/>
      <c r="RUI3"/>
      <c r="RUK3"/>
      <c r="RUM3"/>
      <c r="RUO3"/>
      <c r="RUQ3"/>
      <c r="RUS3"/>
      <c r="RUU3"/>
      <c r="RUW3"/>
      <c r="RUY3"/>
      <c r="RVA3"/>
      <c r="RVC3"/>
      <c r="RVE3"/>
      <c r="RVG3"/>
      <c r="RVI3"/>
      <c r="RVK3"/>
      <c r="RVM3"/>
      <c r="RVO3"/>
      <c r="RVQ3"/>
      <c r="RVS3"/>
      <c r="RVU3"/>
      <c r="RVW3"/>
      <c r="RVY3"/>
      <c r="RWA3"/>
      <c r="RWC3"/>
      <c r="RWE3"/>
      <c r="RWG3"/>
      <c r="RWI3"/>
      <c r="RWK3"/>
      <c r="RWM3"/>
      <c r="RWO3"/>
      <c r="RWQ3"/>
      <c r="RWS3"/>
      <c r="RWU3"/>
      <c r="RWW3"/>
      <c r="RWY3"/>
      <c r="RXA3"/>
      <c r="RXC3"/>
      <c r="RXE3"/>
      <c r="RXG3"/>
      <c r="RXI3"/>
      <c r="RXK3"/>
      <c r="RXM3"/>
      <c r="RXO3"/>
      <c r="RXQ3"/>
      <c r="RXS3"/>
      <c r="RXU3"/>
      <c r="RXW3"/>
      <c r="RXY3"/>
      <c r="RYA3"/>
      <c r="RYC3"/>
      <c r="RYE3"/>
      <c r="RYG3"/>
      <c r="RYI3"/>
      <c r="RYK3"/>
      <c r="RYM3"/>
      <c r="RYO3"/>
      <c r="RYQ3"/>
      <c r="RYS3"/>
      <c r="RYU3"/>
      <c r="RYW3"/>
      <c r="RYY3"/>
      <c r="RZA3"/>
      <c r="RZC3"/>
      <c r="RZE3"/>
      <c r="RZG3"/>
      <c r="RZI3"/>
      <c r="RZK3"/>
      <c r="RZM3"/>
      <c r="RZO3"/>
      <c r="RZQ3"/>
      <c r="RZS3"/>
      <c r="RZU3"/>
      <c r="RZW3"/>
      <c r="RZY3"/>
      <c r="SAA3"/>
      <c r="SAC3"/>
      <c r="SAE3"/>
      <c r="SAG3"/>
      <c r="SAI3"/>
      <c r="SAK3"/>
      <c r="SAM3"/>
      <c r="SAO3"/>
      <c r="SAQ3"/>
      <c r="SAS3"/>
      <c r="SAU3"/>
      <c r="SAW3"/>
      <c r="SAY3"/>
      <c r="SBA3"/>
      <c r="SBC3"/>
      <c r="SBE3"/>
      <c r="SBG3"/>
      <c r="SBI3"/>
      <c r="SBK3"/>
      <c r="SBM3"/>
      <c r="SBO3"/>
      <c r="SBQ3"/>
      <c r="SBS3"/>
      <c r="SBU3"/>
      <c r="SBW3"/>
      <c r="SBY3"/>
      <c r="SCA3"/>
      <c r="SCC3"/>
      <c r="SCE3"/>
      <c r="SCG3"/>
      <c r="SCI3"/>
      <c r="SCK3"/>
      <c r="SCM3"/>
      <c r="SCO3"/>
      <c r="SCQ3"/>
      <c r="SCS3"/>
      <c r="SCU3"/>
      <c r="SCW3"/>
      <c r="SCY3"/>
      <c r="SDA3"/>
      <c r="SDC3"/>
      <c r="SDE3"/>
      <c r="SDG3"/>
      <c r="SDI3"/>
      <c r="SDK3"/>
      <c r="SDM3"/>
      <c r="SDO3"/>
      <c r="SDQ3"/>
      <c r="SDS3"/>
      <c r="SDU3"/>
      <c r="SDW3"/>
      <c r="SDY3"/>
      <c r="SEA3"/>
      <c r="SEC3"/>
      <c r="SEE3"/>
      <c r="SEG3"/>
      <c r="SEI3"/>
      <c r="SEK3"/>
      <c r="SEM3"/>
      <c r="SEO3"/>
      <c r="SEQ3"/>
      <c r="SES3"/>
      <c r="SEU3"/>
      <c r="SEW3"/>
      <c r="SEY3"/>
      <c r="SFA3"/>
      <c r="SFC3"/>
      <c r="SFE3"/>
      <c r="SFG3"/>
      <c r="SFI3"/>
      <c r="SFK3"/>
      <c r="SFM3"/>
      <c r="SFO3"/>
      <c r="SFQ3"/>
      <c r="SFS3"/>
      <c r="SFU3"/>
      <c r="SFW3"/>
      <c r="SFY3"/>
      <c r="SGA3"/>
      <c r="SGC3"/>
      <c r="SGE3"/>
      <c r="SGG3"/>
      <c r="SGI3"/>
      <c r="SGK3"/>
      <c r="SGM3"/>
      <c r="SGO3"/>
      <c r="SGQ3"/>
      <c r="SGS3"/>
      <c r="SGU3"/>
      <c r="SGW3"/>
      <c r="SGY3"/>
      <c r="SHA3"/>
      <c r="SHC3"/>
      <c r="SHE3"/>
      <c r="SHG3"/>
      <c r="SHI3"/>
      <c r="SHK3"/>
      <c r="SHM3"/>
      <c r="SHO3"/>
      <c r="SHQ3"/>
      <c r="SHS3"/>
      <c r="SHU3"/>
      <c r="SHW3"/>
      <c r="SHY3"/>
      <c r="SIA3"/>
      <c r="SIC3"/>
      <c r="SIE3"/>
      <c r="SIG3"/>
      <c r="SII3"/>
      <c r="SIK3"/>
      <c r="SIM3"/>
      <c r="SIO3"/>
      <c r="SIQ3"/>
      <c r="SIS3"/>
      <c r="SIU3"/>
      <c r="SIW3"/>
      <c r="SIY3"/>
      <c r="SJA3"/>
      <c r="SJC3"/>
      <c r="SJE3"/>
      <c r="SJG3"/>
      <c r="SJI3"/>
      <c r="SJK3"/>
      <c r="SJM3"/>
      <c r="SJO3"/>
      <c r="SJQ3"/>
      <c r="SJS3"/>
      <c r="SJU3"/>
      <c r="SJW3"/>
      <c r="SJY3"/>
      <c r="SKA3"/>
      <c r="SKC3"/>
      <c r="SKE3"/>
      <c r="SKG3"/>
      <c r="SKI3"/>
      <c r="SKK3"/>
      <c r="SKM3"/>
      <c r="SKO3"/>
      <c r="SKQ3"/>
      <c r="SKS3"/>
      <c r="SKU3"/>
      <c r="SKW3"/>
      <c r="SKY3"/>
      <c r="SLA3"/>
      <c r="SLC3"/>
      <c r="SLE3"/>
      <c r="SLG3"/>
      <c r="SLI3"/>
      <c r="SLK3"/>
      <c r="SLM3"/>
      <c r="SLO3"/>
      <c r="SLQ3"/>
      <c r="SLS3"/>
      <c r="SLU3"/>
      <c r="SLW3"/>
      <c r="SLY3"/>
      <c r="SMA3"/>
      <c r="SMC3"/>
      <c r="SME3"/>
      <c r="SMG3"/>
      <c r="SMI3"/>
      <c r="SMK3"/>
      <c r="SMM3"/>
      <c r="SMO3"/>
      <c r="SMQ3"/>
      <c r="SMS3"/>
      <c r="SMU3"/>
      <c r="SMW3"/>
      <c r="SMY3"/>
      <c r="SNA3"/>
      <c r="SNC3"/>
      <c r="SNE3"/>
      <c r="SNG3"/>
      <c r="SNI3"/>
      <c r="SNK3"/>
      <c r="SNM3"/>
      <c r="SNO3"/>
      <c r="SNQ3"/>
      <c r="SNS3"/>
      <c r="SNU3"/>
      <c r="SNW3"/>
      <c r="SNY3"/>
      <c r="SOA3"/>
      <c r="SOC3"/>
      <c r="SOE3"/>
      <c r="SOG3"/>
      <c r="SOI3"/>
      <c r="SOK3"/>
      <c r="SOM3"/>
      <c r="SOO3"/>
      <c r="SOQ3"/>
      <c r="SOS3"/>
      <c r="SOU3"/>
      <c r="SOW3"/>
      <c r="SOY3"/>
      <c r="SPA3"/>
      <c r="SPC3"/>
      <c r="SPE3"/>
      <c r="SPG3"/>
      <c r="SPI3"/>
      <c r="SPK3"/>
      <c r="SPM3"/>
      <c r="SPO3"/>
      <c r="SPQ3"/>
      <c r="SPS3"/>
      <c r="SPU3"/>
      <c r="SPW3"/>
      <c r="SPY3"/>
      <c r="SQA3"/>
      <c r="SQC3"/>
      <c r="SQE3"/>
      <c r="SQG3"/>
      <c r="SQI3"/>
      <c r="SQK3"/>
      <c r="SQM3"/>
      <c r="SQO3"/>
      <c r="SQQ3"/>
      <c r="SQS3"/>
      <c r="SQU3"/>
      <c r="SQW3"/>
      <c r="SQY3"/>
      <c r="SRA3"/>
      <c r="SRC3"/>
      <c r="SRE3"/>
      <c r="SRG3"/>
      <c r="SRI3"/>
      <c r="SRK3"/>
      <c r="SRM3"/>
      <c r="SRO3"/>
      <c r="SRQ3"/>
      <c r="SRS3"/>
      <c r="SRU3"/>
      <c r="SRW3"/>
      <c r="SRY3"/>
      <c r="SSA3"/>
      <c r="SSC3"/>
      <c r="SSE3"/>
      <c r="SSG3"/>
      <c r="SSI3"/>
      <c r="SSK3"/>
      <c r="SSM3"/>
      <c r="SSO3"/>
      <c r="SSQ3"/>
      <c r="SSS3"/>
      <c r="SSU3"/>
      <c r="SSW3"/>
      <c r="SSY3"/>
      <c r="STA3"/>
      <c r="STC3"/>
      <c r="STE3"/>
      <c r="STG3"/>
      <c r="STI3"/>
      <c r="STK3"/>
      <c r="STM3"/>
      <c r="STO3"/>
      <c r="STQ3"/>
      <c r="STS3"/>
      <c r="STU3"/>
      <c r="STW3"/>
      <c r="STY3"/>
      <c r="SUA3"/>
      <c r="SUC3"/>
      <c r="SUE3"/>
      <c r="SUG3"/>
      <c r="SUI3"/>
      <c r="SUK3"/>
      <c r="SUM3"/>
      <c r="SUO3"/>
      <c r="SUQ3"/>
      <c r="SUS3"/>
      <c r="SUU3"/>
      <c r="SUW3"/>
      <c r="SUY3"/>
      <c r="SVA3"/>
      <c r="SVC3"/>
      <c r="SVE3"/>
      <c r="SVG3"/>
      <c r="SVI3"/>
      <c r="SVK3"/>
      <c r="SVM3"/>
      <c r="SVO3"/>
      <c r="SVQ3"/>
      <c r="SVS3"/>
      <c r="SVU3"/>
      <c r="SVW3"/>
      <c r="SVY3"/>
      <c r="SWA3"/>
      <c r="SWC3"/>
      <c r="SWE3"/>
      <c r="SWG3"/>
      <c r="SWI3"/>
      <c r="SWK3"/>
      <c r="SWM3"/>
      <c r="SWO3"/>
      <c r="SWQ3"/>
      <c r="SWS3"/>
      <c r="SWU3"/>
      <c r="SWW3"/>
      <c r="SWY3"/>
      <c r="SXA3"/>
      <c r="SXC3"/>
      <c r="SXE3"/>
      <c r="SXG3"/>
      <c r="SXI3"/>
      <c r="SXK3"/>
      <c r="SXM3"/>
      <c r="SXO3"/>
      <c r="SXQ3"/>
      <c r="SXS3"/>
      <c r="SXU3"/>
      <c r="SXW3"/>
      <c r="SXY3"/>
      <c r="SYA3"/>
      <c r="SYC3"/>
      <c r="SYE3"/>
      <c r="SYG3"/>
      <c r="SYI3"/>
      <c r="SYK3"/>
      <c r="SYM3"/>
      <c r="SYO3"/>
      <c r="SYQ3"/>
      <c r="SYS3"/>
      <c r="SYU3"/>
      <c r="SYW3"/>
      <c r="SYY3"/>
      <c r="SZA3"/>
      <c r="SZC3"/>
      <c r="SZE3"/>
      <c r="SZG3"/>
      <c r="SZI3"/>
      <c r="SZK3"/>
      <c r="SZM3"/>
      <c r="SZO3"/>
      <c r="SZQ3"/>
      <c r="SZS3"/>
      <c r="SZU3"/>
      <c r="SZW3"/>
      <c r="SZY3"/>
      <c r="TAA3"/>
      <c r="TAC3"/>
      <c r="TAE3"/>
      <c r="TAG3"/>
      <c r="TAI3"/>
      <c r="TAK3"/>
      <c r="TAM3"/>
      <c r="TAO3"/>
      <c r="TAQ3"/>
      <c r="TAS3"/>
      <c r="TAU3"/>
      <c r="TAW3"/>
      <c r="TAY3"/>
      <c r="TBA3"/>
      <c r="TBC3"/>
      <c r="TBE3"/>
      <c r="TBG3"/>
      <c r="TBI3"/>
      <c r="TBK3"/>
      <c r="TBM3"/>
      <c r="TBO3"/>
      <c r="TBQ3"/>
      <c r="TBS3"/>
      <c r="TBU3"/>
      <c r="TBW3"/>
      <c r="TBY3"/>
      <c r="TCA3"/>
      <c r="TCC3"/>
      <c r="TCE3"/>
      <c r="TCG3"/>
      <c r="TCI3"/>
      <c r="TCK3"/>
      <c r="TCM3"/>
      <c r="TCO3"/>
      <c r="TCQ3"/>
      <c r="TCS3"/>
      <c r="TCU3"/>
      <c r="TCW3"/>
      <c r="TCY3"/>
      <c r="TDA3"/>
      <c r="TDC3"/>
      <c r="TDE3"/>
      <c r="TDG3"/>
      <c r="TDI3"/>
      <c r="TDK3"/>
      <c r="TDM3"/>
      <c r="TDO3"/>
      <c r="TDQ3"/>
      <c r="TDS3"/>
      <c r="TDU3"/>
      <c r="TDW3"/>
      <c r="TDY3"/>
      <c r="TEA3"/>
      <c r="TEC3"/>
      <c r="TEE3"/>
      <c r="TEG3"/>
      <c r="TEI3"/>
      <c r="TEK3"/>
      <c r="TEM3"/>
      <c r="TEO3"/>
      <c r="TEQ3"/>
      <c r="TES3"/>
      <c r="TEU3"/>
      <c r="TEW3"/>
      <c r="TEY3"/>
      <c r="TFA3"/>
      <c r="TFC3"/>
      <c r="TFE3"/>
      <c r="TFG3"/>
      <c r="TFI3"/>
      <c r="TFK3"/>
      <c r="TFM3"/>
      <c r="TFO3"/>
      <c r="TFQ3"/>
      <c r="TFS3"/>
      <c r="TFU3"/>
      <c r="TFW3"/>
      <c r="TFY3"/>
      <c r="TGA3"/>
      <c r="TGC3"/>
      <c r="TGE3"/>
      <c r="TGG3"/>
      <c r="TGI3"/>
      <c r="TGK3"/>
      <c r="TGM3"/>
      <c r="TGO3"/>
      <c r="TGQ3"/>
      <c r="TGS3"/>
      <c r="TGU3"/>
      <c r="TGW3"/>
      <c r="TGY3"/>
      <c r="THA3"/>
      <c r="THC3"/>
      <c r="THE3"/>
      <c r="THG3"/>
      <c r="THI3"/>
      <c r="THK3"/>
      <c r="THM3"/>
      <c r="THO3"/>
      <c r="THQ3"/>
      <c r="THS3"/>
      <c r="THU3"/>
      <c r="THW3"/>
      <c r="THY3"/>
      <c r="TIA3"/>
      <c r="TIC3"/>
      <c r="TIE3"/>
      <c r="TIG3"/>
      <c r="TII3"/>
      <c r="TIK3"/>
      <c r="TIM3"/>
      <c r="TIO3"/>
      <c r="TIQ3"/>
      <c r="TIS3"/>
      <c r="TIU3"/>
      <c r="TIW3"/>
      <c r="TIY3"/>
      <c r="TJA3"/>
      <c r="TJC3"/>
      <c r="TJE3"/>
      <c r="TJG3"/>
      <c r="TJI3"/>
      <c r="TJK3"/>
      <c r="TJM3"/>
      <c r="TJO3"/>
      <c r="TJQ3"/>
      <c r="TJS3"/>
      <c r="TJU3"/>
      <c r="TJW3"/>
      <c r="TJY3"/>
      <c r="TKA3"/>
      <c r="TKC3"/>
      <c r="TKE3"/>
      <c r="TKG3"/>
      <c r="TKI3"/>
      <c r="TKK3"/>
      <c r="TKM3"/>
      <c r="TKO3"/>
      <c r="TKQ3"/>
      <c r="TKS3"/>
      <c r="TKU3"/>
      <c r="TKW3"/>
      <c r="TKY3"/>
      <c r="TLA3"/>
      <c r="TLC3"/>
      <c r="TLE3"/>
      <c r="TLG3"/>
      <c r="TLI3"/>
      <c r="TLK3"/>
      <c r="TLM3"/>
      <c r="TLO3"/>
      <c r="TLQ3"/>
      <c r="TLS3"/>
      <c r="TLU3"/>
      <c r="TLW3"/>
      <c r="TLY3"/>
      <c r="TMA3"/>
      <c r="TMC3"/>
      <c r="TME3"/>
      <c r="TMG3"/>
      <c r="TMI3"/>
      <c r="TMK3"/>
      <c r="TMM3"/>
      <c r="TMO3"/>
      <c r="TMQ3"/>
      <c r="TMS3"/>
      <c r="TMU3"/>
      <c r="TMW3"/>
      <c r="TMY3"/>
      <c r="TNA3"/>
      <c r="TNC3"/>
      <c r="TNE3"/>
      <c r="TNG3"/>
      <c r="TNI3"/>
      <c r="TNK3"/>
      <c r="TNM3"/>
      <c r="TNO3"/>
      <c r="TNQ3"/>
      <c r="TNS3"/>
      <c r="TNU3"/>
      <c r="TNW3"/>
      <c r="TNY3"/>
      <c r="TOA3"/>
      <c r="TOC3"/>
      <c r="TOE3"/>
      <c r="TOG3"/>
      <c r="TOI3"/>
      <c r="TOK3"/>
      <c r="TOM3"/>
      <c r="TOO3"/>
      <c r="TOQ3"/>
      <c r="TOS3"/>
      <c r="TOU3"/>
      <c r="TOW3"/>
      <c r="TOY3"/>
      <c r="TPA3"/>
      <c r="TPC3"/>
      <c r="TPE3"/>
      <c r="TPG3"/>
      <c r="TPI3"/>
      <c r="TPK3"/>
      <c r="TPM3"/>
      <c r="TPO3"/>
      <c r="TPQ3"/>
      <c r="TPS3"/>
      <c r="TPU3"/>
      <c r="TPW3"/>
      <c r="TPY3"/>
      <c r="TQA3"/>
      <c r="TQC3"/>
      <c r="TQE3"/>
      <c r="TQG3"/>
      <c r="TQI3"/>
      <c r="TQK3"/>
      <c r="TQM3"/>
      <c r="TQO3"/>
      <c r="TQQ3"/>
      <c r="TQS3"/>
      <c r="TQU3"/>
      <c r="TQW3"/>
      <c r="TQY3"/>
      <c r="TRA3"/>
      <c r="TRC3"/>
      <c r="TRE3"/>
      <c r="TRG3"/>
      <c r="TRI3"/>
      <c r="TRK3"/>
      <c r="TRM3"/>
      <c r="TRO3"/>
      <c r="TRQ3"/>
      <c r="TRS3"/>
      <c r="TRU3"/>
      <c r="TRW3"/>
      <c r="TRY3"/>
      <c r="TSA3"/>
      <c r="TSC3"/>
      <c r="TSE3"/>
      <c r="TSG3"/>
      <c r="TSI3"/>
      <c r="TSK3"/>
      <c r="TSM3"/>
      <c r="TSO3"/>
      <c r="TSQ3"/>
      <c r="TSS3"/>
      <c r="TSU3"/>
      <c r="TSW3"/>
      <c r="TSY3"/>
      <c r="TTA3"/>
      <c r="TTC3"/>
      <c r="TTE3"/>
      <c r="TTG3"/>
      <c r="TTI3"/>
      <c r="TTK3"/>
      <c r="TTM3"/>
      <c r="TTO3"/>
      <c r="TTQ3"/>
      <c r="TTS3"/>
      <c r="TTU3"/>
      <c r="TTW3"/>
      <c r="TTY3"/>
      <c r="TUA3"/>
      <c r="TUC3"/>
      <c r="TUE3"/>
      <c r="TUG3"/>
      <c r="TUI3"/>
      <c r="TUK3"/>
      <c r="TUM3"/>
      <c r="TUO3"/>
      <c r="TUQ3"/>
      <c r="TUS3"/>
      <c r="TUU3"/>
      <c r="TUW3"/>
      <c r="TUY3"/>
      <c r="TVA3"/>
      <c r="TVC3"/>
      <c r="TVE3"/>
      <c r="TVG3"/>
      <c r="TVI3"/>
      <c r="TVK3"/>
      <c r="TVM3"/>
      <c r="TVO3"/>
      <c r="TVQ3"/>
      <c r="TVS3"/>
      <c r="TVU3"/>
      <c r="TVW3"/>
      <c r="TVY3"/>
      <c r="TWA3"/>
      <c r="TWC3"/>
      <c r="TWE3"/>
      <c r="TWG3"/>
      <c r="TWI3"/>
      <c r="TWK3"/>
      <c r="TWM3"/>
      <c r="TWO3"/>
      <c r="TWQ3"/>
      <c r="TWS3"/>
      <c r="TWU3"/>
      <c r="TWW3"/>
      <c r="TWY3"/>
      <c r="TXA3"/>
      <c r="TXC3"/>
      <c r="TXE3"/>
      <c r="TXG3"/>
      <c r="TXI3"/>
      <c r="TXK3"/>
      <c r="TXM3"/>
      <c r="TXO3"/>
      <c r="TXQ3"/>
      <c r="TXS3"/>
      <c r="TXU3"/>
      <c r="TXW3"/>
      <c r="TXY3"/>
      <c r="TYA3"/>
      <c r="TYC3"/>
      <c r="TYE3"/>
      <c r="TYG3"/>
      <c r="TYI3"/>
      <c r="TYK3"/>
      <c r="TYM3"/>
      <c r="TYO3"/>
      <c r="TYQ3"/>
      <c r="TYS3"/>
      <c r="TYU3"/>
      <c r="TYW3"/>
      <c r="TYY3"/>
      <c r="TZA3"/>
      <c r="TZC3"/>
      <c r="TZE3"/>
      <c r="TZG3"/>
      <c r="TZI3"/>
      <c r="TZK3"/>
      <c r="TZM3"/>
      <c r="TZO3"/>
      <c r="TZQ3"/>
      <c r="TZS3"/>
      <c r="TZU3"/>
      <c r="TZW3"/>
      <c r="TZY3"/>
      <c r="UAA3"/>
      <c r="UAC3"/>
      <c r="UAE3"/>
      <c r="UAG3"/>
      <c r="UAI3"/>
      <c r="UAK3"/>
      <c r="UAM3"/>
      <c r="UAO3"/>
      <c r="UAQ3"/>
      <c r="UAS3"/>
      <c r="UAU3"/>
      <c r="UAW3"/>
      <c r="UAY3"/>
      <c r="UBA3"/>
      <c r="UBC3"/>
      <c r="UBE3"/>
      <c r="UBG3"/>
      <c r="UBI3"/>
      <c r="UBK3"/>
      <c r="UBM3"/>
      <c r="UBO3"/>
      <c r="UBQ3"/>
      <c r="UBS3"/>
      <c r="UBU3"/>
      <c r="UBW3"/>
      <c r="UBY3"/>
      <c r="UCA3"/>
      <c r="UCC3"/>
      <c r="UCE3"/>
      <c r="UCG3"/>
      <c r="UCI3"/>
      <c r="UCK3"/>
      <c r="UCM3"/>
      <c r="UCO3"/>
      <c r="UCQ3"/>
      <c r="UCS3"/>
      <c r="UCU3"/>
      <c r="UCW3"/>
      <c r="UCY3"/>
      <c r="UDA3"/>
      <c r="UDC3"/>
      <c r="UDE3"/>
      <c r="UDG3"/>
      <c r="UDI3"/>
      <c r="UDK3"/>
      <c r="UDM3"/>
      <c r="UDO3"/>
      <c r="UDQ3"/>
      <c r="UDS3"/>
      <c r="UDU3"/>
      <c r="UDW3"/>
      <c r="UDY3"/>
      <c r="UEA3"/>
      <c r="UEC3"/>
      <c r="UEE3"/>
      <c r="UEG3"/>
      <c r="UEI3"/>
      <c r="UEK3"/>
      <c r="UEM3"/>
      <c r="UEO3"/>
      <c r="UEQ3"/>
      <c r="UES3"/>
      <c r="UEU3"/>
      <c r="UEW3"/>
      <c r="UEY3"/>
      <c r="UFA3"/>
      <c r="UFC3"/>
      <c r="UFE3"/>
      <c r="UFG3"/>
      <c r="UFI3"/>
      <c r="UFK3"/>
      <c r="UFM3"/>
      <c r="UFO3"/>
      <c r="UFQ3"/>
      <c r="UFS3"/>
      <c r="UFU3"/>
      <c r="UFW3"/>
      <c r="UFY3"/>
      <c r="UGA3"/>
      <c r="UGC3"/>
      <c r="UGE3"/>
      <c r="UGG3"/>
      <c r="UGI3"/>
      <c r="UGK3"/>
      <c r="UGM3"/>
      <c r="UGO3"/>
      <c r="UGQ3"/>
      <c r="UGS3"/>
      <c r="UGU3"/>
      <c r="UGW3"/>
      <c r="UGY3"/>
      <c r="UHA3"/>
      <c r="UHC3"/>
      <c r="UHE3"/>
      <c r="UHG3"/>
      <c r="UHI3"/>
      <c r="UHK3"/>
      <c r="UHM3"/>
      <c r="UHO3"/>
      <c r="UHQ3"/>
      <c r="UHS3"/>
      <c r="UHU3"/>
      <c r="UHW3"/>
      <c r="UHY3"/>
      <c r="UIA3"/>
      <c r="UIC3"/>
      <c r="UIE3"/>
      <c r="UIG3"/>
      <c r="UII3"/>
      <c r="UIK3"/>
      <c r="UIM3"/>
      <c r="UIO3"/>
      <c r="UIQ3"/>
      <c r="UIS3"/>
      <c r="UIU3"/>
      <c r="UIW3"/>
      <c r="UIY3"/>
      <c r="UJA3"/>
      <c r="UJC3"/>
      <c r="UJE3"/>
      <c r="UJG3"/>
      <c r="UJI3"/>
      <c r="UJK3"/>
      <c r="UJM3"/>
      <c r="UJO3"/>
      <c r="UJQ3"/>
      <c r="UJS3"/>
      <c r="UJU3"/>
      <c r="UJW3"/>
      <c r="UJY3"/>
      <c r="UKA3"/>
      <c r="UKC3"/>
      <c r="UKE3"/>
      <c r="UKG3"/>
      <c r="UKI3"/>
      <c r="UKK3"/>
      <c r="UKM3"/>
      <c r="UKO3"/>
      <c r="UKQ3"/>
      <c r="UKS3"/>
      <c r="UKU3"/>
      <c r="UKW3"/>
      <c r="UKY3"/>
      <c r="ULA3"/>
      <c r="ULC3"/>
      <c r="ULE3"/>
      <c r="ULG3"/>
      <c r="ULI3"/>
      <c r="ULK3"/>
      <c r="ULM3"/>
      <c r="ULO3"/>
      <c r="ULQ3"/>
      <c r="ULS3"/>
      <c r="ULU3"/>
      <c r="ULW3"/>
      <c r="ULY3"/>
      <c r="UMA3"/>
      <c r="UMC3"/>
      <c r="UME3"/>
      <c r="UMG3"/>
      <c r="UMI3"/>
      <c r="UMK3"/>
      <c r="UMM3"/>
      <c r="UMO3"/>
      <c r="UMQ3"/>
      <c r="UMS3"/>
      <c r="UMU3"/>
      <c r="UMW3"/>
      <c r="UMY3"/>
      <c r="UNA3"/>
      <c r="UNC3"/>
      <c r="UNE3"/>
      <c r="UNG3"/>
      <c r="UNI3"/>
      <c r="UNK3"/>
      <c r="UNM3"/>
      <c r="UNO3"/>
      <c r="UNQ3"/>
      <c r="UNS3"/>
      <c r="UNU3"/>
      <c r="UNW3"/>
      <c r="UNY3"/>
      <c r="UOA3"/>
      <c r="UOC3"/>
      <c r="UOE3"/>
      <c r="UOG3"/>
      <c r="UOI3"/>
      <c r="UOK3"/>
      <c r="UOM3"/>
      <c r="UOO3"/>
      <c r="UOQ3"/>
      <c r="UOS3"/>
      <c r="UOU3"/>
      <c r="UOW3"/>
      <c r="UOY3"/>
      <c r="UPA3"/>
      <c r="UPC3"/>
      <c r="UPE3"/>
      <c r="UPG3"/>
      <c r="UPI3"/>
      <c r="UPK3"/>
      <c r="UPM3"/>
      <c r="UPO3"/>
      <c r="UPQ3"/>
      <c r="UPS3"/>
      <c r="UPU3"/>
      <c r="UPW3"/>
      <c r="UPY3"/>
      <c r="UQA3"/>
      <c r="UQC3"/>
      <c r="UQE3"/>
      <c r="UQG3"/>
      <c r="UQI3"/>
      <c r="UQK3"/>
      <c r="UQM3"/>
      <c r="UQO3"/>
      <c r="UQQ3"/>
      <c r="UQS3"/>
      <c r="UQU3"/>
      <c r="UQW3"/>
      <c r="UQY3"/>
      <c r="URA3"/>
      <c r="URC3"/>
      <c r="URE3"/>
      <c r="URG3"/>
      <c r="URI3"/>
      <c r="URK3"/>
      <c r="URM3"/>
      <c r="URO3"/>
      <c r="URQ3"/>
      <c r="URS3"/>
      <c r="URU3"/>
      <c r="URW3"/>
      <c r="URY3"/>
      <c r="USA3"/>
      <c r="USC3"/>
      <c r="USE3"/>
      <c r="USG3"/>
      <c r="USI3"/>
      <c r="USK3"/>
      <c r="USM3"/>
      <c r="USO3"/>
      <c r="USQ3"/>
      <c r="USS3"/>
      <c r="USU3"/>
      <c r="USW3"/>
      <c r="USY3"/>
      <c r="UTA3"/>
      <c r="UTC3"/>
      <c r="UTE3"/>
      <c r="UTG3"/>
      <c r="UTI3"/>
      <c r="UTK3"/>
      <c r="UTM3"/>
      <c r="UTO3"/>
      <c r="UTQ3"/>
      <c r="UTS3"/>
      <c r="UTU3"/>
      <c r="UTW3"/>
      <c r="UTY3"/>
      <c r="UUA3"/>
      <c r="UUC3"/>
      <c r="UUE3"/>
      <c r="UUG3"/>
      <c r="UUI3"/>
      <c r="UUK3"/>
      <c r="UUM3"/>
      <c r="UUO3"/>
      <c r="UUQ3"/>
      <c r="UUS3"/>
      <c r="UUU3"/>
      <c r="UUW3"/>
      <c r="UUY3"/>
      <c r="UVA3"/>
      <c r="UVC3"/>
      <c r="UVE3"/>
      <c r="UVG3"/>
      <c r="UVI3"/>
      <c r="UVK3"/>
      <c r="UVM3"/>
      <c r="UVO3"/>
      <c r="UVQ3"/>
      <c r="UVS3"/>
      <c r="UVU3"/>
      <c r="UVW3"/>
      <c r="UVY3"/>
      <c r="UWA3"/>
      <c r="UWC3"/>
      <c r="UWE3"/>
      <c r="UWG3"/>
      <c r="UWI3"/>
      <c r="UWK3"/>
      <c r="UWM3"/>
      <c r="UWO3"/>
      <c r="UWQ3"/>
      <c r="UWS3"/>
      <c r="UWU3"/>
      <c r="UWW3"/>
      <c r="UWY3"/>
      <c r="UXA3"/>
      <c r="UXC3"/>
      <c r="UXE3"/>
      <c r="UXG3"/>
      <c r="UXI3"/>
      <c r="UXK3"/>
      <c r="UXM3"/>
      <c r="UXO3"/>
      <c r="UXQ3"/>
      <c r="UXS3"/>
      <c r="UXU3"/>
      <c r="UXW3"/>
      <c r="UXY3"/>
      <c r="UYA3"/>
      <c r="UYC3"/>
      <c r="UYE3"/>
      <c r="UYG3"/>
      <c r="UYI3"/>
      <c r="UYK3"/>
      <c r="UYM3"/>
      <c r="UYO3"/>
      <c r="UYQ3"/>
      <c r="UYS3"/>
      <c r="UYU3"/>
      <c r="UYW3"/>
      <c r="UYY3"/>
      <c r="UZA3"/>
      <c r="UZC3"/>
      <c r="UZE3"/>
      <c r="UZG3"/>
      <c r="UZI3"/>
      <c r="UZK3"/>
      <c r="UZM3"/>
      <c r="UZO3"/>
      <c r="UZQ3"/>
      <c r="UZS3"/>
      <c r="UZU3"/>
      <c r="UZW3"/>
      <c r="UZY3"/>
      <c r="VAA3"/>
      <c r="VAC3"/>
      <c r="VAE3"/>
      <c r="VAG3"/>
      <c r="VAI3"/>
      <c r="VAK3"/>
      <c r="VAM3"/>
      <c r="VAO3"/>
      <c r="VAQ3"/>
      <c r="VAS3"/>
      <c r="VAU3"/>
      <c r="VAW3"/>
      <c r="VAY3"/>
      <c r="VBA3"/>
      <c r="VBC3"/>
      <c r="VBE3"/>
      <c r="VBG3"/>
      <c r="VBI3"/>
      <c r="VBK3"/>
      <c r="VBM3"/>
      <c r="VBO3"/>
      <c r="VBQ3"/>
      <c r="VBS3"/>
      <c r="VBU3"/>
      <c r="VBW3"/>
      <c r="VBY3"/>
      <c r="VCA3"/>
      <c r="VCC3"/>
      <c r="VCE3"/>
      <c r="VCG3"/>
      <c r="VCI3"/>
      <c r="VCK3"/>
      <c r="VCM3"/>
      <c r="VCO3"/>
      <c r="VCQ3"/>
      <c r="VCS3"/>
      <c r="VCU3"/>
      <c r="VCW3"/>
      <c r="VCY3"/>
      <c r="VDA3"/>
      <c r="VDC3"/>
      <c r="VDE3"/>
      <c r="VDG3"/>
      <c r="VDI3"/>
      <c r="VDK3"/>
      <c r="VDM3"/>
      <c r="VDO3"/>
      <c r="VDQ3"/>
      <c r="VDS3"/>
      <c r="VDU3"/>
      <c r="VDW3"/>
      <c r="VDY3"/>
      <c r="VEA3"/>
      <c r="VEC3"/>
      <c r="VEE3"/>
      <c r="VEG3"/>
      <c r="VEI3"/>
      <c r="VEK3"/>
      <c r="VEM3"/>
      <c r="VEO3"/>
      <c r="VEQ3"/>
      <c r="VES3"/>
      <c r="VEU3"/>
      <c r="VEW3"/>
      <c r="VEY3"/>
      <c r="VFA3"/>
      <c r="VFC3"/>
      <c r="VFE3"/>
      <c r="VFG3"/>
      <c r="VFI3"/>
      <c r="VFK3"/>
      <c r="VFM3"/>
      <c r="VFO3"/>
      <c r="VFQ3"/>
      <c r="VFS3"/>
      <c r="VFU3"/>
      <c r="VFW3"/>
      <c r="VFY3"/>
      <c r="VGA3"/>
      <c r="VGC3"/>
      <c r="VGE3"/>
      <c r="VGG3"/>
      <c r="VGI3"/>
      <c r="VGK3"/>
      <c r="VGM3"/>
      <c r="VGO3"/>
      <c r="VGQ3"/>
      <c r="VGS3"/>
      <c r="VGU3"/>
      <c r="VGW3"/>
      <c r="VGY3"/>
      <c r="VHA3"/>
      <c r="VHC3"/>
      <c r="VHE3"/>
      <c r="VHG3"/>
      <c r="VHI3"/>
      <c r="VHK3"/>
      <c r="VHM3"/>
      <c r="VHO3"/>
      <c r="VHQ3"/>
      <c r="VHS3"/>
      <c r="VHU3"/>
      <c r="VHW3"/>
      <c r="VHY3"/>
      <c r="VIA3"/>
      <c r="VIC3"/>
      <c r="VIE3"/>
      <c r="VIG3"/>
      <c r="VII3"/>
      <c r="VIK3"/>
      <c r="VIM3"/>
      <c r="VIO3"/>
      <c r="VIQ3"/>
      <c r="VIS3"/>
      <c r="VIU3"/>
      <c r="VIW3"/>
      <c r="VIY3"/>
      <c r="VJA3"/>
      <c r="VJC3"/>
      <c r="VJE3"/>
      <c r="VJG3"/>
      <c r="VJI3"/>
      <c r="VJK3"/>
      <c r="VJM3"/>
      <c r="VJO3"/>
      <c r="VJQ3"/>
      <c r="VJS3"/>
      <c r="VJU3"/>
      <c r="VJW3"/>
      <c r="VJY3"/>
      <c r="VKA3"/>
      <c r="VKC3"/>
      <c r="VKE3"/>
      <c r="VKG3"/>
      <c r="VKI3"/>
      <c r="VKK3"/>
      <c r="VKM3"/>
      <c r="VKO3"/>
      <c r="VKQ3"/>
      <c r="VKS3"/>
      <c r="VKU3"/>
      <c r="VKW3"/>
      <c r="VKY3"/>
      <c r="VLA3"/>
      <c r="VLC3"/>
      <c r="VLE3"/>
      <c r="VLG3"/>
      <c r="VLI3"/>
      <c r="VLK3"/>
      <c r="VLM3"/>
      <c r="VLO3"/>
      <c r="VLQ3"/>
      <c r="VLS3"/>
      <c r="VLU3"/>
      <c r="VLW3"/>
      <c r="VLY3"/>
      <c r="VMA3"/>
      <c r="VMC3"/>
      <c r="VME3"/>
      <c r="VMG3"/>
      <c r="VMI3"/>
      <c r="VMK3"/>
      <c r="VMM3"/>
      <c r="VMO3"/>
      <c r="VMQ3"/>
      <c r="VMS3"/>
      <c r="VMU3"/>
      <c r="VMW3"/>
      <c r="VMY3"/>
      <c r="VNA3"/>
      <c r="VNC3"/>
      <c r="VNE3"/>
      <c r="VNG3"/>
      <c r="VNI3"/>
      <c r="VNK3"/>
      <c r="VNM3"/>
      <c r="VNO3"/>
      <c r="VNQ3"/>
      <c r="VNS3"/>
      <c r="VNU3"/>
      <c r="VNW3"/>
      <c r="VNY3"/>
      <c r="VOA3"/>
      <c r="VOC3"/>
      <c r="VOE3"/>
      <c r="VOG3"/>
      <c r="VOI3"/>
      <c r="VOK3"/>
      <c r="VOM3"/>
      <c r="VOO3"/>
      <c r="VOQ3"/>
      <c r="VOS3"/>
      <c r="VOU3"/>
      <c r="VOW3"/>
      <c r="VOY3"/>
      <c r="VPA3"/>
      <c r="VPC3"/>
      <c r="VPE3"/>
      <c r="VPG3"/>
      <c r="VPI3"/>
      <c r="VPK3"/>
      <c r="VPM3"/>
      <c r="VPO3"/>
      <c r="VPQ3"/>
      <c r="VPS3"/>
      <c r="VPU3"/>
      <c r="VPW3"/>
      <c r="VPY3"/>
      <c r="VQA3"/>
      <c r="VQC3"/>
      <c r="VQE3"/>
      <c r="VQG3"/>
      <c r="VQI3"/>
      <c r="VQK3"/>
      <c r="VQM3"/>
      <c r="VQO3"/>
      <c r="VQQ3"/>
      <c r="VQS3"/>
      <c r="VQU3"/>
      <c r="VQW3"/>
      <c r="VQY3"/>
      <c r="VRA3"/>
      <c r="VRC3"/>
      <c r="VRE3"/>
      <c r="VRG3"/>
      <c r="VRI3"/>
      <c r="VRK3"/>
      <c r="VRM3"/>
      <c r="VRO3"/>
      <c r="VRQ3"/>
      <c r="VRS3"/>
      <c r="VRU3"/>
      <c r="VRW3"/>
      <c r="VRY3"/>
      <c r="VSA3"/>
      <c r="VSC3"/>
      <c r="VSE3"/>
      <c r="VSG3"/>
      <c r="VSI3"/>
      <c r="VSK3"/>
      <c r="VSM3"/>
      <c r="VSO3"/>
      <c r="VSQ3"/>
      <c r="VSS3"/>
      <c r="VSU3"/>
      <c r="VSW3"/>
      <c r="VSY3"/>
      <c r="VTA3"/>
      <c r="VTC3"/>
      <c r="VTE3"/>
      <c r="VTG3"/>
      <c r="VTI3"/>
      <c r="VTK3"/>
      <c r="VTM3"/>
      <c r="VTO3"/>
      <c r="VTQ3"/>
      <c r="VTS3"/>
      <c r="VTU3"/>
      <c r="VTW3"/>
      <c r="VTY3"/>
      <c r="VUA3"/>
      <c r="VUC3"/>
      <c r="VUE3"/>
      <c r="VUG3"/>
      <c r="VUI3"/>
      <c r="VUK3"/>
      <c r="VUM3"/>
      <c r="VUO3"/>
      <c r="VUQ3"/>
      <c r="VUS3"/>
      <c r="VUU3"/>
      <c r="VUW3"/>
      <c r="VUY3"/>
      <c r="VVA3"/>
      <c r="VVC3"/>
      <c r="VVE3"/>
      <c r="VVG3"/>
      <c r="VVI3"/>
      <c r="VVK3"/>
      <c r="VVM3"/>
      <c r="VVO3"/>
      <c r="VVQ3"/>
      <c r="VVS3"/>
      <c r="VVU3"/>
      <c r="VVW3"/>
      <c r="VVY3"/>
      <c r="VWA3"/>
      <c r="VWC3"/>
      <c r="VWE3"/>
      <c r="VWG3"/>
      <c r="VWI3"/>
      <c r="VWK3"/>
      <c r="VWM3"/>
      <c r="VWO3"/>
      <c r="VWQ3"/>
      <c r="VWS3"/>
      <c r="VWU3"/>
      <c r="VWW3"/>
      <c r="VWY3"/>
      <c r="VXA3"/>
      <c r="VXC3"/>
      <c r="VXE3"/>
      <c r="VXG3"/>
      <c r="VXI3"/>
      <c r="VXK3"/>
      <c r="VXM3"/>
      <c r="VXO3"/>
      <c r="VXQ3"/>
      <c r="VXS3"/>
      <c r="VXU3"/>
      <c r="VXW3"/>
      <c r="VXY3"/>
      <c r="VYA3"/>
      <c r="VYC3"/>
      <c r="VYE3"/>
      <c r="VYG3"/>
      <c r="VYI3"/>
      <c r="VYK3"/>
      <c r="VYM3"/>
      <c r="VYO3"/>
      <c r="VYQ3"/>
      <c r="VYS3"/>
      <c r="VYU3"/>
      <c r="VYW3"/>
      <c r="VYY3"/>
      <c r="VZA3"/>
      <c r="VZC3"/>
      <c r="VZE3"/>
      <c r="VZG3"/>
      <c r="VZI3"/>
      <c r="VZK3"/>
      <c r="VZM3"/>
      <c r="VZO3"/>
      <c r="VZQ3"/>
      <c r="VZS3"/>
      <c r="VZU3"/>
      <c r="VZW3"/>
      <c r="VZY3"/>
      <c r="WAA3"/>
      <c r="WAC3"/>
      <c r="WAE3"/>
      <c r="WAG3"/>
      <c r="WAI3"/>
      <c r="WAK3"/>
      <c r="WAM3"/>
      <c r="WAO3"/>
      <c r="WAQ3"/>
      <c r="WAS3"/>
      <c r="WAU3"/>
      <c r="WAW3"/>
      <c r="WAY3"/>
      <c r="WBA3"/>
      <c r="WBC3"/>
      <c r="WBE3"/>
      <c r="WBG3"/>
      <c r="WBI3"/>
      <c r="WBK3"/>
      <c r="WBM3"/>
      <c r="WBO3"/>
      <c r="WBQ3"/>
      <c r="WBS3"/>
      <c r="WBU3"/>
      <c r="WBW3"/>
      <c r="WBY3"/>
      <c r="WCA3"/>
      <c r="WCC3"/>
      <c r="WCE3"/>
      <c r="WCG3"/>
      <c r="WCI3"/>
      <c r="WCK3"/>
      <c r="WCM3"/>
      <c r="WCO3"/>
      <c r="WCQ3"/>
      <c r="WCS3"/>
      <c r="WCU3"/>
      <c r="WCW3"/>
      <c r="WCY3"/>
      <c r="WDA3"/>
      <c r="WDC3"/>
      <c r="WDE3"/>
      <c r="WDG3"/>
      <c r="WDI3"/>
      <c r="WDK3"/>
      <c r="WDM3"/>
      <c r="WDO3"/>
      <c r="WDQ3"/>
      <c r="WDS3"/>
      <c r="WDU3"/>
      <c r="WDW3"/>
      <c r="WDY3"/>
      <c r="WEA3"/>
      <c r="WEC3"/>
      <c r="WEE3"/>
      <c r="WEG3"/>
      <c r="WEI3"/>
      <c r="WEK3"/>
      <c r="WEM3"/>
      <c r="WEO3"/>
      <c r="WEQ3"/>
      <c r="WES3"/>
      <c r="WEU3"/>
      <c r="WEW3"/>
      <c r="WEY3"/>
      <c r="WFA3"/>
      <c r="WFC3"/>
      <c r="WFE3"/>
      <c r="WFG3"/>
      <c r="WFI3"/>
      <c r="WFK3"/>
      <c r="WFM3"/>
      <c r="WFO3"/>
      <c r="WFQ3"/>
      <c r="WFS3"/>
      <c r="WFU3"/>
      <c r="WFW3"/>
      <c r="WFY3"/>
      <c r="WGA3"/>
      <c r="WGC3"/>
      <c r="WGE3"/>
      <c r="WGG3"/>
      <c r="WGI3"/>
      <c r="WGK3"/>
      <c r="WGM3"/>
      <c r="WGO3"/>
      <c r="WGQ3"/>
      <c r="WGS3"/>
      <c r="WGU3"/>
      <c r="WGW3"/>
      <c r="WGY3"/>
      <c r="WHA3"/>
      <c r="WHC3"/>
      <c r="WHE3"/>
      <c r="WHG3"/>
      <c r="WHI3"/>
      <c r="WHK3"/>
      <c r="WHM3"/>
      <c r="WHO3"/>
      <c r="WHQ3"/>
      <c r="WHS3"/>
      <c r="WHU3"/>
      <c r="WHW3"/>
      <c r="WHY3"/>
      <c r="WIA3"/>
      <c r="WIC3"/>
      <c r="WIE3"/>
      <c r="WIG3"/>
      <c r="WII3"/>
      <c r="WIK3"/>
      <c r="WIM3"/>
      <c r="WIO3"/>
      <c r="WIQ3"/>
      <c r="WIS3"/>
      <c r="WIU3"/>
      <c r="WIW3"/>
      <c r="WIY3"/>
      <c r="WJA3"/>
      <c r="WJC3"/>
      <c r="WJE3"/>
      <c r="WJG3"/>
      <c r="WJI3"/>
      <c r="WJK3"/>
      <c r="WJM3"/>
      <c r="WJO3"/>
      <c r="WJQ3"/>
      <c r="WJS3"/>
      <c r="WJU3"/>
      <c r="WJW3"/>
      <c r="WJY3"/>
      <c r="WKA3"/>
      <c r="WKC3"/>
      <c r="WKE3"/>
      <c r="WKG3"/>
      <c r="WKI3"/>
      <c r="WKK3"/>
      <c r="WKM3"/>
      <c r="WKO3"/>
      <c r="WKQ3"/>
      <c r="WKS3"/>
      <c r="WKU3"/>
      <c r="WKW3"/>
      <c r="WKY3"/>
      <c r="WLA3"/>
      <c r="WLC3"/>
      <c r="WLE3"/>
      <c r="WLG3"/>
      <c r="WLI3"/>
      <c r="WLK3"/>
      <c r="WLM3"/>
      <c r="WLO3"/>
      <c r="WLQ3"/>
      <c r="WLS3"/>
      <c r="WLU3"/>
      <c r="WLW3"/>
      <c r="WLY3"/>
      <c r="WMA3"/>
      <c r="WMC3"/>
      <c r="WME3"/>
      <c r="WMG3"/>
      <c r="WMI3"/>
      <c r="WMK3"/>
      <c r="WMM3"/>
      <c r="WMO3"/>
      <c r="WMQ3"/>
      <c r="WMS3"/>
      <c r="WMU3"/>
      <c r="WMW3"/>
      <c r="WMY3"/>
      <c r="WNA3"/>
      <c r="WNC3"/>
      <c r="WNE3"/>
      <c r="WNG3"/>
      <c r="WNI3"/>
      <c r="WNK3"/>
      <c r="WNM3"/>
      <c r="WNO3"/>
      <c r="WNQ3"/>
      <c r="WNS3"/>
      <c r="WNU3"/>
      <c r="WNW3"/>
      <c r="WNY3"/>
      <c r="WOA3"/>
      <c r="WOC3"/>
      <c r="WOE3"/>
      <c r="WOG3"/>
      <c r="WOI3"/>
      <c r="WOK3"/>
      <c r="WOM3"/>
      <c r="WOO3"/>
      <c r="WOQ3"/>
      <c r="WOS3"/>
      <c r="WOU3"/>
      <c r="WOW3"/>
      <c r="WOY3"/>
      <c r="WPA3"/>
      <c r="WPC3"/>
      <c r="WPE3"/>
      <c r="WPG3"/>
      <c r="WPI3"/>
      <c r="WPK3"/>
      <c r="WPM3"/>
      <c r="WPO3"/>
      <c r="WPQ3"/>
      <c r="WPS3"/>
      <c r="WPU3"/>
      <c r="WPW3"/>
      <c r="WPY3"/>
      <c r="WQA3"/>
      <c r="WQC3"/>
      <c r="WQE3"/>
      <c r="WQG3"/>
      <c r="WQI3"/>
      <c r="WQK3"/>
      <c r="WQM3"/>
      <c r="WQO3"/>
      <c r="WQQ3"/>
      <c r="WQS3"/>
      <c r="WQU3"/>
      <c r="WQW3"/>
      <c r="WQY3"/>
      <c r="WRA3"/>
      <c r="WRC3"/>
      <c r="WRE3"/>
      <c r="WRG3"/>
      <c r="WRI3"/>
      <c r="WRK3"/>
      <c r="WRM3"/>
      <c r="WRO3"/>
      <c r="WRQ3"/>
      <c r="WRS3"/>
      <c r="WRU3"/>
      <c r="WRW3"/>
      <c r="WRY3"/>
      <c r="WSA3"/>
      <c r="WSC3"/>
      <c r="WSE3"/>
      <c r="WSG3"/>
      <c r="WSI3"/>
      <c r="WSK3"/>
      <c r="WSM3"/>
      <c r="WSO3"/>
      <c r="WSQ3"/>
      <c r="WSS3"/>
      <c r="WSU3"/>
      <c r="WSW3"/>
      <c r="WSY3"/>
      <c r="WTA3"/>
      <c r="WTC3"/>
      <c r="WTE3"/>
      <c r="WTG3"/>
      <c r="WTI3"/>
      <c r="WTK3"/>
      <c r="WTM3"/>
      <c r="WTO3"/>
      <c r="WTQ3"/>
      <c r="WTS3"/>
      <c r="WTU3"/>
      <c r="WTW3"/>
      <c r="WTY3"/>
      <c r="WUA3"/>
      <c r="WUC3"/>
      <c r="WUE3"/>
      <c r="WUG3"/>
      <c r="WUI3"/>
      <c r="WUK3"/>
      <c r="WUM3"/>
      <c r="WUO3"/>
      <c r="WUQ3"/>
      <c r="WUS3"/>
      <c r="WUU3"/>
      <c r="WUW3"/>
      <c r="WUY3"/>
      <c r="WVA3"/>
      <c r="WVC3"/>
      <c r="WVE3"/>
      <c r="WVG3"/>
      <c r="WVI3"/>
      <c r="WVK3"/>
      <c r="WVM3"/>
      <c r="WVO3"/>
      <c r="WVQ3"/>
      <c r="WVS3"/>
      <c r="WVU3"/>
      <c r="WVW3"/>
      <c r="WVY3"/>
      <c r="WWA3"/>
      <c r="WWC3"/>
      <c r="WWE3"/>
      <c r="WWG3"/>
      <c r="WWI3"/>
      <c r="WWK3"/>
      <c r="WWM3"/>
      <c r="WWO3"/>
      <c r="WWQ3"/>
      <c r="WWS3"/>
      <c r="WWU3"/>
      <c r="WWW3"/>
      <c r="WWY3"/>
      <c r="WXA3"/>
      <c r="WXC3"/>
      <c r="WXE3"/>
      <c r="WXG3"/>
      <c r="WXI3"/>
      <c r="WXK3"/>
      <c r="WXM3"/>
      <c r="WXO3"/>
      <c r="WXQ3"/>
      <c r="WXS3"/>
      <c r="WXU3"/>
      <c r="WXW3"/>
      <c r="WXY3"/>
      <c r="WYA3"/>
      <c r="WYC3"/>
      <c r="WYE3"/>
      <c r="WYG3"/>
      <c r="WYI3"/>
      <c r="WYK3"/>
      <c r="WYM3"/>
      <c r="WYO3"/>
      <c r="WYQ3"/>
      <c r="WYS3"/>
      <c r="WYU3"/>
      <c r="WYW3"/>
      <c r="WYY3"/>
      <c r="WZA3"/>
      <c r="WZC3"/>
      <c r="WZE3"/>
      <c r="WZG3"/>
      <c r="WZI3"/>
      <c r="WZK3"/>
      <c r="WZM3"/>
      <c r="WZO3"/>
      <c r="WZQ3"/>
      <c r="WZS3"/>
      <c r="WZU3"/>
      <c r="WZW3"/>
      <c r="WZY3"/>
      <c r="XAA3"/>
      <c r="XAC3"/>
      <c r="XAE3"/>
      <c r="XAG3"/>
      <c r="XAI3"/>
      <c r="XAK3"/>
      <c r="XAM3"/>
      <c r="XAO3"/>
      <c r="XAQ3"/>
      <c r="XAS3"/>
      <c r="XAU3"/>
      <c r="XAW3"/>
      <c r="XAY3"/>
      <c r="XBA3"/>
      <c r="XBC3"/>
      <c r="XBE3"/>
      <c r="XBG3"/>
      <c r="XBI3"/>
      <c r="XBK3"/>
      <c r="XBM3"/>
      <c r="XBO3"/>
      <c r="XBQ3"/>
      <c r="XBS3"/>
      <c r="XBU3"/>
      <c r="XBW3"/>
      <c r="XBY3"/>
      <c r="XCA3"/>
      <c r="XCC3"/>
      <c r="XCE3"/>
      <c r="XCG3"/>
      <c r="XCI3"/>
      <c r="XCK3"/>
      <c r="XCM3"/>
      <c r="XCO3"/>
      <c r="XCQ3"/>
      <c r="XCS3"/>
      <c r="XCU3"/>
      <c r="XCW3"/>
      <c r="XCY3"/>
      <c r="XDA3"/>
      <c r="XDC3"/>
      <c r="XDE3"/>
      <c r="XDG3"/>
      <c r="XDI3"/>
      <c r="XDK3"/>
      <c r="XDM3"/>
      <c r="XDO3"/>
      <c r="XDQ3"/>
      <c r="XDS3"/>
      <c r="XDU3"/>
      <c r="XDW3"/>
      <c r="XDY3"/>
      <c r="XEA3"/>
      <c r="XEC3"/>
      <c r="XEE3"/>
      <c r="XEG3"/>
      <c r="XEI3"/>
      <c r="XEK3"/>
      <c r="XEM3"/>
      <c r="XEO3"/>
      <c r="XEQ3"/>
      <c r="XES3"/>
      <c r="XEU3"/>
      <c r="XEW3"/>
      <c r="XEY3"/>
      <c r="XFA3"/>
      <c r="XFC3"/>
    </row>
    <row r="4" spans="1:16384" s="474" customFormat="1" x14ac:dyDescent="0.2">
      <c r="A4" s="7"/>
      <c r="B4" s="545" t="s">
        <v>454</v>
      </c>
      <c r="C4" s="534" t="s">
        <v>455</v>
      </c>
      <c r="D4" s="535">
        <v>1.1599999999999999</v>
      </c>
      <c r="E4" s="548">
        <v>0</v>
      </c>
      <c r="F4" s="548">
        <v>2085</v>
      </c>
      <c r="G4" s="536">
        <v>0.23</v>
      </c>
      <c r="H4" s="537">
        <f t="shared" si="0"/>
        <v>1.1599999999999999</v>
      </c>
      <c r="I4" s="641"/>
      <c r="J4" s="645" t="s">
        <v>428</v>
      </c>
      <c r="K4" s="442" t="s">
        <v>230</v>
      </c>
      <c r="L4" s="642"/>
      <c r="M4" s="505" t="s">
        <v>245</v>
      </c>
      <c r="N4" s="507">
        <f>SUMMARY!E3*SUMMARY!E15/(SUMMARY!E15*SUMMARY!E3-SUMMARY!E13)</f>
        <v>0.9289037888366134</v>
      </c>
      <c r="O4"/>
      <c r="Q4"/>
      <c r="S4"/>
      <c r="U4"/>
      <c r="W4"/>
      <c r="Y4"/>
      <c r="AA4"/>
      <c r="AC4"/>
      <c r="AE4"/>
      <c r="AG4"/>
      <c r="AI4"/>
      <c r="AK4"/>
      <c r="AM4"/>
      <c r="AO4"/>
      <c r="AQ4"/>
      <c r="AS4"/>
      <c r="AU4"/>
      <c r="AW4"/>
      <c r="AY4"/>
      <c r="BA4"/>
      <c r="BC4"/>
      <c r="BE4"/>
      <c r="BG4"/>
      <c r="BI4"/>
      <c r="BK4"/>
      <c r="BM4"/>
      <c r="BO4"/>
      <c r="BQ4"/>
      <c r="BS4"/>
      <c r="BU4"/>
      <c r="BW4"/>
      <c r="BY4"/>
      <c r="CA4"/>
      <c r="CC4"/>
      <c r="CE4"/>
      <c r="CG4"/>
      <c r="CI4"/>
      <c r="CK4"/>
      <c r="CM4"/>
      <c r="CO4"/>
      <c r="CQ4"/>
      <c r="CS4"/>
      <c r="CU4"/>
      <c r="CW4"/>
      <c r="CY4"/>
      <c r="DA4"/>
      <c r="DC4"/>
      <c r="DE4"/>
      <c r="DG4"/>
      <c r="DI4"/>
      <c r="DK4"/>
      <c r="DM4"/>
      <c r="DO4"/>
      <c r="DQ4"/>
      <c r="DS4"/>
      <c r="DU4"/>
      <c r="DW4"/>
      <c r="DY4"/>
      <c r="EA4"/>
      <c r="EC4"/>
      <c r="EE4"/>
      <c r="EG4"/>
      <c r="EI4"/>
      <c r="EK4"/>
      <c r="EM4"/>
      <c r="EO4"/>
      <c r="EQ4"/>
      <c r="ES4"/>
      <c r="EU4"/>
      <c r="EW4"/>
      <c r="EY4"/>
      <c r="FA4"/>
      <c r="FC4"/>
      <c r="FE4"/>
      <c r="FG4"/>
      <c r="FI4"/>
      <c r="FK4"/>
      <c r="FM4"/>
      <c r="FO4"/>
      <c r="FQ4"/>
      <c r="FS4"/>
      <c r="FU4"/>
      <c r="FW4"/>
      <c r="FY4"/>
      <c r="GA4"/>
      <c r="GC4"/>
      <c r="GE4"/>
      <c r="GG4"/>
      <c r="GI4"/>
      <c r="GK4"/>
      <c r="GM4"/>
      <c r="GO4"/>
      <c r="GQ4"/>
      <c r="GS4"/>
      <c r="GU4"/>
      <c r="GW4"/>
      <c r="GY4"/>
      <c r="HA4"/>
      <c r="HC4"/>
      <c r="HE4"/>
      <c r="HG4"/>
      <c r="HI4"/>
      <c r="HK4"/>
      <c r="HM4"/>
      <c r="HO4"/>
      <c r="HQ4"/>
      <c r="HS4"/>
      <c r="HU4"/>
      <c r="HW4"/>
      <c r="HY4"/>
      <c r="IA4"/>
      <c r="IC4"/>
      <c r="IE4"/>
      <c r="IG4"/>
      <c r="II4"/>
      <c r="IK4"/>
      <c r="IM4"/>
      <c r="IO4"/>
      <c r="IQ4"/>
      <c r="IS4"/>
      <c r="IU4"/>
      <c r="IW4"/>
      <c r="IY4"/>
      <c r="JA4"/>
      <c r="JC4"/>
      <c r="JE4"/>
      <c r="JG4"/>
      <c r="JI4"/>
      <c r="JK4"/>
      <c r="JM4"/>
      <c r="JO4"/>
      <c r="JQ4"/>
      <c r="JS4"/>
      <c r="JU4"/>
      <c r="JW4"/>
      <c r="JY4"/>
      <c r="KA4"/>
      <c r="KC4"/>
      <c r="KE4"/>
      <c r="KG4"/>
      <c r="KI4"/>
      <c r="KK4"/>
      <c r="KM4"/>
      <c r="KO4"/>
      <c r="KQ4"/>
      <c r="KS4"/>
      <c r="KU4"/>
      <c r="KW4"/>
      <c r="KY4"/>
      <c r="LA4"/>
      <c r="LC4"/>
      <c r="LE4"/>
      <c r="LG4"/>
      <c r="LI4"/>
      <c r="LK4"/>
      <c r="LM4"/>
      <c r="LO4"/>
      <c r="LQ4"/>
      <c r="LS4"/>
      <c r="LU4"/>
      <c r="LW4"/>
      <c r="LY4"/>
      <c r="MA4"/>
      <c r="MC4"/>
      <c r="ME4"/>
      <c r="MG4"/>
      <c r="MI4"/>
      <c r="MK4"/>
      <c r="MM4"/>
      <c r="MO4"/>
      <c r="MQ4"/>
      <c r="MS4"/>
      <c r="MU4"/>
      <c r="MW4"/>
      <c r="MY4"/>
      <c r="NA4"/>
      <c r="NC4"/>
      <c r="NE4"/>
      <c r="NG4"/>
      <c r="NI4"/>
      <c r="NK4"/>
      <c r="NM4"/>
      <c r="NO4"/>
      <c r="NQ4"/>
      <c r="NS4"/>
      <c r="NU4"/>
      <c r="NW4"/>
      <c r="NY4"/>
      <c r="OA4"/>
      <c r="OC4"/>
      <c r="OE4"/>
      <c r="OG4"/>
      <c r="OI4"/>
      <c r="OK4"/>
      <c r="OM4"/>
      <c r="OO4"/>
      <c r="OQ4"/>
      <c r="OS4"/>
      <c r="OU4"/>
      <c r="OW4"/>
      <c r="OY4"/>
      <c r="PA4"/>
      <c r="PC4"/>
      <c r="PE4"/>
      <c r="PG4"/>
      <c r="PI4"/>
      <c r="PK4"/>
      <c r="PM4"/>
      <c r="PO4"/>
      <c r="PQ4"/>
      <c r="PS4"/>
      <c r="PU4"/>
      <c r="PW4"/>
      <c r="PY4"/>
      <c r="QA4"/>
      <c r="QC4"/>
      <c r="QE4"/>
      <c r="QG4"/>
      <c r="QI4"/>
      <c r="QK4"/>
      <c r="QM4"/>
      <c r="QO4"/>
      <c r="QQ4"/>
      <c r="QS4"/>
      <c r="QU4"/>
      <c r="QW4"/>
      <c r="QY4"/>
      <c r="RA4"/>
      <c r="RC4"/>
      <c r="RE4"/>
      <c r="RG4"/>
      <c r="RI4"/>
      <c r="RK4"/>
      <c r="RM4"/>
      <c r="RO4"/>
      <c r="RQ4"/>
      <c r="RS4"/>
      <c r="RU4"/>
      <c r="RW4"/>
      <c r="RY4"/>
      <c r="SA4"/>
      <c r="SC4"/>
      <c r="SE4"/>
      <c r="SG4"/>
      <c r="SI4"/>
      <c r="SK4"/>
      <c r="SM4"/>
      <c r="SO4"/>
      <c r="SQ4"/>
      <c r="SS4"/>
      <c r="SU4"/>
      <c r="SW4"/>
      <c r="SY4"/>
      <c r="TA4"/>
      <c r="TC4"/>
      <c r="TE4"/>
      <c r="TG4"/>
      <c r="TI4"/>
      <c r="TK4"/>
      <c r="TM4"/>
      <c r="TO4"/>
      <c r="TQ4"/>
      <c r="TS4"/>
      <c r="TU4"/>
      <c r="TW4"/>
      <c r="TY4"/>
      <c r="UA4"/>
      <c r="UC4"/>
      <c r="UE4"/>
      <c r="UG4"/>
      <c r="UI4"/>
      <c r="UK4"/>
      <c r="UM4"/>
      <c r="UO4"/>
      <c r="UQ4"/>
      <c r="US4"/>
      <c r="UU4"/>
      <c r="UW4"/>
      <c r="UY4"/>
      <c r="VA4"/>
      <c r="VC4"/>
      <c r="VE4"/>
      <c r="VG4"/>
      <c r="VI4"/>
      <c r="VK4"/>
      <c r="VM4"/>
      <c r="VO4"/>
      <c r="VQ4"/>
      <c r="VS4"/>
      <c r="VU4"/>
      <c r="VW4"/>
      <c r="VY4"/>
      <c r="WA4"/>
      <c r="WC4"/>
      <c r="WE4"/>
      <c r="WG4"/>
      <c r="WI4"/>
      <c r="WK4"/>
      <c r="WM4"/>
      <c r="WO4"/>
      <c r="WQ4"/>
      <c r="WS4"/>
      <c r="WU4"/>
      <c r="WW4"/>
      <c r="WY4"/>
      <c r="XA4"/>
      <c r="XC4"/>
      <c r="XE4"/>
      <c r="XG4"/>
      <c r="XI4"/>
      <c r="XK4"/>
      <c r="XM4"/>
      <c r="XO4"/>
      <c r="XQ4"/>
      <c r="XS4"/>
      <c r="XU4"/>
      <c r="XW4"/>
      <c r="XY4"/>
      <c r="YA4"/>
      <c r="YC4"/>
      <c r="YE4"/>
      <c r="YG4"/>
      <c r="YI4"/>
      <c r="YK4"/>
      <c r="YM4"/>
      <c r="YO4"/>
      <c r="YQ4"/>
      <c r="YS4"/>
      <c r="YU4"/>
      <c r="YW4"/>
      <c r="YY4"/>
      <c r="ZA4"/>
      <c r="ZC4"/>
      <c r="ZE4"/>
      <c r="ZG4"/>
      <c r="ZI4"/>
      <c r="ZK4"/>
      <c r="ZM4"/>
      <c r="ZO4"/>
      <c r="ZQ4"/>
      <c r="ZS4"/>
      <c r="ZU4"/>
      <c r="ZW4"/>
      <c r="ZY4"/>
      <c r="AAA4"/>
      <c r="AAC4"/>
      <c r="AAE4"/>
      <c r="AAG4"/>
      <c r="AAI4"/>
      <c r="AAK4"/>
      <c r="AAM4"/>
      <c r="AAO4"/>
      <c r="AAQ4"/>
      <c r="AAS4"/>
      <c r="AAU4"/>
      <c r="AAW4"/>
      <c r="AAY4"/>
      <c r="ABA4"/>
      <c r="ABC4"/>
      <c r="ABE4"/>
      <c r="ABG4"/>
      <c r="ABI4"/>
      <c r="ABK4"/>
      <c r="ABM4"/>
      <c r="ABO4"/>
      <c r="ABQ4"/>
      <c r="ABS4"/>
      <c r="ABU4"/>
      <c r="ABW4"/>
      <c r="ABY4"/>
      <c r="ACA4"/>
      <c r="ACC4"/>
      <c r="ACE4"/>
      <c r="ACG4"/>
      <c r="ACI4"/>
      <c r="ACK4"/>
      <c r="ACM4"/>
      <c r="ACO4"/>
      <c r="ACQ4"/>
      <c r="ACS4"/>
      <c r="ACU4"/>
      <c r="ACW4"/>
      <c r="ACY4"/>
      <c r="ADA4"/>
      <c r="ADC4"/>
      <c r="ADE4"/>
      <c r="ADG4"/>
      <c r="ADI4"/>
      <c r="ADK4"/>
      <c r="ADM4"/>
      <c r="ADO4"/>
      <c r="ADQ4"/>
      <c r="ADS4"/>
      <c r="ADU4"/>
      <c r="ADW4"/>
      <c r="ADY4"/>
      <c r="AEA4"/>
      <c r="AEC4"/>
      <c r="AEE4"/>
      <c r="AEG4"/>
      <c r="AEI4"/>
      <c r="AEK4"/>
      <c r="AEM4"/>
      <c r="AEO4"/>
      <c r="AEQ4"/>
      <c r="AES4"/>
      <c r="AEU4"/>
      <c r="AEW4"/>
      <c r="AEY4"/>
      <c r="AFA4"/>
      <c r="AFC4"/>
      <c r="AFE4"/>
      <c r="AFG4"/>
      <c r="AFI4"/>
      <c r="AFK4"/>
      <c r="AFM4"/>
      <c r="AFO4"/>
      <c r="AFQ4"/>
      <c r="AFS4"/>
      <c r="AFU4"/>
      <c r="AFW4"/>
      <c r="AFY4"/>
      <c r="AGA4"/>
      <c r="AGC4"/>
      <c r="AGE4"/>
      <c r="AGG4"/>
      <c r="AGI4"/>
      <c r="AGK4"/>
      <c r="AGM4"/>
      <c r="AGO4"/>
      <c r="AGQ4"/>
      <c r="AGS4"/>
      <c r="AGU4"/>
      <c r="AGW4"/>
      <c r="AGY4"/>
      <c r="AHA4"/>
      <c r="AHC4"/>
      <c r="AHE4"/>
      <c r="AHG4"/>
      <c r="AHI4"/>
      <c r="AHK4"/>
      <c r="AHM4"/>
      <c r="AHO4"/>
      <c r="AHQ4"/>
      <c r="AHS4"/>
      <c r="AHU4"/>
      <c r="AHW4"/>
      <c r="AHY4"/>
      <c r="AIA4"/>
      <c r="AIC4"/>
      <c r="AIE4"/>
      <c r="AIG4"/>
      <c r="AII4"/>
      <c r="AIK4"/>
      <c r="AIM4"/>
      <c r="AIO4"/>
      <c r="AIQ4"/>
      <c r="AIS4"/>
      <c r="AIU4"/>
      <c r="AIW4"/>
      <c r="AIY4"/>
      <c r="AJA4"/>
      <c r="AJC4"/>
      <c r="AJE4"/>
      <c r="AJG4"/>
      <c r="AJI4"/>
      <c r="AJK4"/>
      <c r="AJM4"/>
      <c r="AJO4"/>
      <c r="AJQ4"/>
      <c r="AJS4"/>
      <c r="AJU4"/>
      <c r="AJW4"/>
      <c r="AJY4"/>
      <c r="AKA4"/>
      <c r="AKC4"/>
      <c r="AKE4"/>
      <c r="AKG4"/>
      <c r="AKI4"/>
      <c r="AKK4"/>
      <c r="AKM4"/>
      <c r="AKO4"/>
      <c r="AKQ4"/>
      <c r="AKS4"/>
      <c r="AKU4"/>
      <c r="AKW4"/>
      <c r="AKY4"/>
      <c r="ALA4"/>
      <c r="ALC4"/>
      <c r="ALE4"/>
      <c r="ALG4"/>
      <c r="ALI4"/>
      <c r="ALK4"/>
      <c r="ALM4"/>
      <c r="ALO4"/>
      <c r="ALQ4"/>
      <c r="ALS4"/>
      <c r="ALU4"/>
      <c r="ALW4"/>
      <c r="ALY4"/>
      <c r="AMA4"/>
      <c r="AMC4"/>
      <c r="AME4"/>
      <c r="AMG4"/>
      <c r="AMI4"/>
      <c r="AMK4"/>
      <c r="AMM4"/>
      <c r="AMO4"/>
      <c r="AMQ4"/>
      <c r="AMS4"/>
      <c r="AMU4"/>
      <c r="AMW4"/>
      <c r="AMY4"/>
      <c r="ANA4"/>
      <c r="ANC4"/>
      <c r="ANE4"/>
      <c r="ANG4"/>
      <c r="ANI4"/>
      <c r="ANK4"/>
      <c r="ANM4"/>
      <c r="ANO4"/>
      <c r="ANQ4"/>
      <c r="ANS4"/>
      <c r="ANU4"/>
      <c r="ANW4"/>
      <c r="ANY4"/>
      <c r="AOA4"/>
      <c r="AOC4"/>
      <c r="AOE4"/>
      <c r="AOG4"/>
      <c r="AOI4"/>
      <c r="AOK4"/>
      <c r="AOM4"/>
      <c r="AOO4"/>
      <c r="AOQ4"/>
      <c r="AOS4"/>
      <c r="AOU4"/>
      <c r="AOW4"/>
      <c r="AOY4"/>
      <c r="APA4"/>
      <c r="APC4"/>
      <c r="APE4"/>
      <c r="APG4"/>
      <c r="API4"/>
      <c r="APK4"/>
      <c r="APM4"/>
      <c r="APO4"/>
      <c r="APQ4"/>
      <c r="APS4"/>
      <c r="APU4"/>
      <c r="APW4"/>
      <c r="APY4"/>
      <c r="AQA4"/>
      <c r="AQC4"/>
      <c r="AQE4"/>
      <c r="AQG4"/>
      <c r="AQI4"/>
      <c r="AQK4"/>
      <c r="AQM4"/>
      <c r="AQO4"/>
      <c r="AQQ4"/>
      <c r="AQS4"/>
      <c r="AQU4"/>
      <c r="AQW4"/>
      <c r="AQY4"/>
      <c r="ARA4"/>
      <c r="ARC4"/>
      <c r="ARE4"/>
      <c r="ARG4"/>
      <c r="ARI4"/>
      <c r="ARK4"/>
      <c r="ARM4"/>
      <c r="ARO4"/>
      <c r="ARQ4"/>
      <c r="ARS4"/>
      <c r="ARU4"/>
      <c r="ARW4"/>
      <c r="ARY4"/>
      <c r="ASA4"/>
      <c r="ASC4"/>
      <c r="ASE4"/>
      <c r="ASG4"/>
      <c r="ASI4"/>
      <c r="ASK4"/>
      <c r="ASM4"/>
      <c r="ASO4"/>
      <c r="ASQ4"/>
      <c r="ASS4"/>
      <c r="ASU4"/>
      <c r="ASW4"/>
      <c r="ASY4"/>
      <c r="ATA4"/>
      <c r="ATC4"/>
      <c r="ATE4"/>
      <c r="ATG4"/>
      <c r="ATI4"/>
      <c r="ATK4"/>
      <c r="ATM4"/>
      <c r="ATO4"/>
      <c r="ATQ4"/>
      <c r="ATS4"/>
      <c r="ATU4"/>
      <c r="ATW4"/>
      <c r="ATY4"/>
      <c r="AUA4"/>
      <c r="AUC4"/>
      <c r="AUE4"/>
      <c r="AUG4"/>
      <c r="AUI4"/>
      <c r="AUK4"/>
      <c r="AUM4"/>
      <c r="AUO4"/>
      <c r="AUQ4"/>
      <c r="AUS4"/>
      <c r="AUU4"/>
      <c r="AUW4"/>
      <c r="AUY4"/>
      <c r="AVA4"/>
      <c r="AVC4"/>
      <c r="AVE4"/>
      <c r="AVG4"/>
      <c r="AVI4"/>
      <c r="AVK4"/>
      <c r="AVM4"/>
      <c r="AVO4"/>
      <c r="AVQ4"/>
      <c r="AVS4"/>
      <c r="AVU4"/>
      <c r="AVW4"/>
      <c r="AVY4"/>
      <c r="AWA4"/>
      <c r="AWC4"/>
      <c r="AWE4"/>
      <c r="AWG4"/>
      <c r="AWI4"/>
      <c r="AWK4"/>
      <c r="AWM4"/>
      <c r="AWO4"/>
      <c r="AWQ4"/>
      <c r="AWS4"/>
      <c r="AWU4"/>
      <c r="AWW4"/>
      <c r="AWY4"/>
      <c r="AXA4"/>
      <c r="AXC4"/>
      <c r="AXE4"/>
      <c r="AXG4"/>
      <c r="AXI4"/>
      <c r="AXK4"/>
      <c r="AXM4"/>
      <c r="AXO4"/>
      <c r="AXQ4"/>
      <c r="AXS4"/>
      <c r="AXU4"/>
      <c r="AXW4"/>
      <c r="AXY4"/>
      <c r="AYA4"/>
      <c r="AYC4"/>
      <c r="AYE4"/>
      <c r="AYG4"/>
      <c r="AYI4"/>
      <c r="AYK4"/>
      <c r="AYM4"/>
      <c r="AYO4"/>
      <c r="AYQ4"/>
      <c r="AYS4"/>
      <c r="AYU4"/>
      <c r="AYW4"/>
      <c r="AYY4"/>
      <c r="AZA4"/>
      <c r="AZC4"/>
      <c r="AZE4"/>
      <c r="AZG4"/>
      <c r="AZI4"/>
      <c r="AZK4"/>
      <c r="AZM4"/>
      <c r="AZO4"/>
      <c r="AZQ4"/>
      <c r="AZS4"/>
      <c r="AZU4"/>
      <c r="AZW4"/>
      <c r="AZY4"/>
      <c r="BAA4"/>
      <c r="BAC4"/>
      <c r="BAE4"/>
      <c r="BAG4"/>
      <c r="BAI4"/>
      <c r="BAK4"/>
      <c r="BAM4"/>
      <c r="BAO4"/>
      <c r="BAQ4"/>
      <c r="BAS4"/>
      <c r="BAU4"/>
      <c r="BAW4"/>
      <c r="BAY4"/>
      <c r="BBA4"/>
      <c r="BBC4"/>
      <c r="BBE4"/>
      <c r="BBG4"/>
      <c r="BBI4"/>
      <c r="BBK4"/>
      <c r="BBM4"/>
      <c r="BBO4"/>
      <c r="BBQ4"/>
      <c r="BBS4"/>
      <c r="BBU4"/>
      <c r="BBW4"/>
      <c r="BBY4"/>
      <c r="BCA4"/>
      <c r="BCC4"/>
      <c r="BCE4"/>
      <c r="BCG4"/>
      <c r="BCI4"/>
      <c r="BCK4"/>
      <c r="BCM4"/>
      <c r="BCO4"/>
      <c r="BCQ4"/>
      <c r="BCS4"/>
      <c r="BCU4"/>
      <c r="BCW4"/>
      <c r="BCY4"/>
      <c r="BDA4"/>
      <c r="BDC4"/>
      <c r="BDE4"/>
      <c r="BDG4"/>
      <c r="BDI4"/>
      <c r="BDK4"/>
      <c r="BDM4"/>
      <c r="BDO4"/>
      <c r="BDQ4"/>
      <c r="BDS4"/>
      <c r="BDU4"/>
      <c r="BDW4"/>
      <c r="BDY4"/>
      <c r="BEA4"/>
      <c r="BEC4"/>
      <c r="BEE4"/>
      <c r="BEG4"/>
      <c r="BEI4"/>
      <c r="BEK4"/>
      <c r="BEM4"/>
      <c r="BEO4"/>
      <c r="BEQ4"/>
      <c r="BES4"/>
      <c r="BEU4"/>
      <c r="BEW4"/>
      <c r="BEY4"/>
      <c r="BFA4"/>
      <c r="BFC4"/>
      <c r="BFE4"/>
      <c r="BFG4"/>
      <c r="BFI4"/>
      <c r="BFK4"/>
      <c r="BFM4"/>
      <c r="BFO4"/>
      <c r="BFQ4"/>
      <c r="BFS4"/>
      <c r="BFU4"/>
      <c r="BFW4"/>
      <c r="BFY4"/>
      <c r="BGA4"/>
      <c r="BGC4"/>
      <c r="BGE4"/>
      <c r="BGG4"/>
      <c r="BGI4"/>
      <c r="BGK4"/>
      <c r="BGM4"/>
      <c r="BGO4"/>
      <c r="BGQ4"/>
      <c r="BGS4"/>
      <c r="BGU4"/>
      <c r="BGW4"/>
      <c r="BGY4"/>
      <c r="BHA4"/>
      <c r="BHC4"/>
      <c r="BHE4"/>
      <c r="BHG4"/>
      <c r="BHI4"/>
      <c r="BHK4"/>
      <c r="BHM4"/>
      <c r="BHO4"/>
      <c r="BHQ4"/>
      <c r="BHS4"/>
      <c r="BHU4"/>
      <c r="BHW4"/>
      <c r="BHY4"/>
      <c r="BIA4"/>
      <c r="BIC4"/>
      <c r="BIE4"/>
      <c r="BIG4"/>
      <c r="BII4"/>
      <c r="BIK4"/>
      <c r="BIM4"/>
      <c r="BIO4"/>
      <c r="BIQ4"/>
      <c r="BIS4"/>
      <c r="BIU4"/>
      <c r="BIW4"/>
      <c r="BIY4"/>
      <c r="BJA4"/>
      <c r="BJC4"/>
      <c r="BJE4"/>
      <c r="BJG4"/>
      <c r="BJI4"/>
      <c r="BJK4"/>
      <c r="BJM4"/>
      <c r="BJO4"/>
      <c r="BJQ4"/>
      <c r="BJS4"/>
      <c r="BJU4"/>
      <c r="BJW4"/>
      <c r="BJY4"/>
      <c r="BKA4"/>
      <c r="BKC4"/>
      <c r="BKE4"/>
      <c r="BKG4"/>
      <c r="BKI4"/>
      <c r="BKK4"/>
      <c r="BKM4"/>
      <c r="BKO4"/>
      <c r="BKQ4"/>
      <c r="BKS4"/>
      <c r="BKU4"/>
      <c r="BKW4"/>
      <c r="BKY4"/>
      <c r="BLA4"/>
      <c r="BLC4"/>
      <c r="BLE4"/>
      <c r="BLG4"/>
      <c r="BLI4"/>
      <c r="BLK4"/>
      <c r="BLM4"/>
      <c r="BLO4"/>
      <c r="BLQ4"/>
      <c r="BLS4"/>
      <c r="BLU4"/>
      <c r="BLW4"/>
      <c r="BLY4"/>
      <c r="BMA4"/>
      <c r="BMC4"/>
      <c r="BME4"/>
      <c r="BMG4"/>
      <c r="BMI4"/>
      <c r="BMK4"/>
      <c r="BMM4"/>
      <c r="BMO4"/>
      <c r="BMQ4"/>
      <c r="BMS4"/>
      <c r="BMU4"/>
      <c r="BMW4"/>
      <c r="BMY4"/>
      <c r="BNA4"/>
      <c r="BNC4"/>
      <c r="BNE4"/>
      <c r="BNG4"/>
      <c r="BNI4"/>
      <c r="BNK4"/>
      <c r="BNM4"/>
      <c r="BNO4"/>
      <c r="BNQ4"/>
      <c r="BNS4"/>
      <c r="BNU4"/>
      <c r="BNW4"/>
      <c r="BNY4"/>
      <c r="BOA4"/>
      <c r="BOC4"/>
      <c r="BOE4"/>
      <c r="BOG4"/>
      <c r="BOI4"/>
      <c r="BOK4"/>
      <c r="BOM4"/>
      <c r="BOO4"/>
      <c r="BOQ4"/>
      <c r="BOS4"/>
      <c r="BOU4"/>
      <c r="BOW4"/>
      <c r="BOY4"/>
      <c r="BPA4"/>
      <c r="BPC4"/>
      <c r="BPE4"/>
      <c r="BPG4"/>
      <c r="BPI4"/>
      <c r="BPK4"/>
      <c r="BPM4"/>
      <c r="BPO4"/>
      <c r="BPQ4"/>
      <c r="BPS4"/>
      <c r="BPU4"/>
      <c r="BPW4"/>
      <c r="BPY4"/>
      <c r="BQA4"/>
      <c r="BQC4"/>
      <c r="BQE4"/>
      <c r="BQG4"/>
      <c r="BQI4"/>
      <c r="BQK4"/>
      <c r="BQM4"/>
      <c r="BQO4"/>
      <c r="BQQ4"/>
      <c r="BQS4"/>
      <c r="BQU4"/>
      <c r="BQW4"/>
      <c r="BQY4"/>
      <c r="BRA4"/>
      <c r="BRC4"/>
      <c r="BRE4"/>
      <c r="BRG4"/>
      <c r="BRI4"/>
      <c r="BRK4"/>
      <c r="BRM4"/>
      <c r="BRO4"/>
      <c r="BRQ4"/>
      <c r="BRS4"/>
      <c r="BRU4"/>
      <c r="BRW4"/>
      <c r="BRY4"/>
      <c r="BSA4"/>
      <c r="BSC4"/>
      <c r="BSE4"/>
      <c r="BSG4"/>
      <c r="BSI4"/>
      <c r="BSK4"/>
      <c r="BSM4"/>
      <c r="BSO4"/>
      <c r="BSQ4"/>
      <c r="BSS4"/>
      <c r="BSU4"/>
      <c r="BSW4"/>
      <c r="BSY4"/>
      <c r="BTA4"/>
      <c r="BTC4"/>
      <c r="BTE4"/>
      <c r="BTG4"/>
      <c r="BTI4"/>
      <c r="BTK4"/>
      <c r="BTM4"/>
      <c r="BTO4"/>
      <c r="BTQ4"/>
      <c r="BTS4"/>
      <c r="BTU4"/>
      <c r="BTW4"/>
      <c r="BTY4"/>
      <c r="BUA4"/>
      <c r="BUC4"/>
      <c r="BUE4"/>
      <c r="BUG4"/>
      <c r="BUI4"/>
      <c r="BUK4"/>
      <c r="BUM4"/>
      <c r="BUO4"/>
      <c r="BUQ4"/>
      <c r="BUS4"/>
      <c r="BUU4"/>
      <c r="BUW4"/>
      <c r="BUY4"/>
      <c r="BVA4"/>
      <c r="BVC4"/>
      <c r="BVE4"/>
      <c r="BVG4"/>
      <c r="BVI4"/>
      <c r="BVK4"/>
      <c r="BVM4"/>
      <c r="BVO4"/>
      <c r="BVQ4"/>
      <c r="BVS4"/>
      <c r="BVU4"/>
      <c r="BVW4"/>
      <c r="BVY4"/>
      <c r="BWA4"/>
      <c r="BWC4"/>
      <c r="BWE4"/>
      <c r="BWG4"/>
      <c r="BWI4"/>
      <c r="BWK4"/>
      <c r="BWM4"/>
      <c r="BWO4"/>
      <c r="BWQ4"/>
      <c r="BWS4"/>
      <c r="BWU4"/>
      <c r="BWW4"/>
      <c r="BWY4"/>
      <c r="BXA4"/>
      <c r="BXC4"/>
      <c r="BXE4"/>
      <c r="BXG4"/>
      <c r="BXI4"/>
      <c r="BXK4"/>
      <c r="BXM4"/>
      <c r="BXO4"/>
      <c r="BXQ4"/>
      <c r="BXS4"/>
      <c r="BXU4"/>
      <c r="BXW4"/>
      <c r="BXY4"/>
      <c r="BYA4"/>
      <c r="BYC4"/>
      <c r="BYE4"/>
      <c r="BYG4"/>
      <c r="BYI4"/>
      <c r="BYK4"/>
      <c r="BYM4"/>
      <c r="BYO4"/>
      <c r="BYQ4"/>
      <c r="BYS4"/>
      <c r="BYU4"/>
      <c r="BYW4"/>
      <c r="BYY4"/>
      <c r="BZA4"/>
      <c r="BZC4"/>
      <c r="BZE4"/>
      <c r="BZG4"/>
      <c r="BZI4"/>
      <c r="BZK4"/>
      <c r="BZM4"/>
      <c r="BZO4"/>
      <c r="BZQ4"/>
      <c r="BZS4"/>
      <c r="BZU4"/>
      <c r="BZW4"/>
      <c r="BZY4"/>
      <c r="CAA4"/>
      <c r="CAC4"/>
      <c r="CAE4"/>
      <c r="CAG4"/>
      <c r="CAI4"/>
      <c r="CAK4"/>
      <c r="CAM4"/>
      <c r="CAO4"/>
      <c r="CAQ4"/>
      <c r="CAS4"/>
      <c r="CAU4"/>
      <c r="CAW4"/>
      <c r="CAY4"/>
      <c r="CBA4"/>
      <c r="CBC4"/>
      <c r="CBE4"/>
      <c r="CBG4"/>
      <c r="CBI4"/>
      <c r="CBK4"/>
      <c r="CBM4"/>
      <c r="CBO4"/>
      <c r="CBQ4"/>
      <c r="CBS4"/>
      <c r="CBU4"/>
      <c r="CBW4"/>
      <c r="CBY4"/>
      <c r="CCA4"/>
      <c r="CCC4"/>
      <c r="CCE4"/>
      <c r="CCG4"/>
      <c r="CCI4"/>
      <c r="CCK4"/>
      <c r="CCM4"/>
      <c r="CCO4"/>
      <c r="CCQ4"/>
      <c r="CCS4"/>
      <c r="CCU4"/>
      <c r="CCW4"/>
      <c r="CCY4"/>
      <c r="CDA4"/>
      <c r="CDC4"/>
      <c r="CDE4"/>
      <c r="CDG4"/>
      <c r="CDI4"/>
      <c r="CDK4"/>
      <c r="CDM4"/>
      <c r="CDO4"/>
      <c r="CDQ4"/>
      <c r="CDS4"/>
      <c r="CDU4"/>
      <c r="CDW4"/>
      <c r="CDY4"/>
      <c r="CEA4"/>
      <c r="CEC4"/>
      <c r="CEE4"/>
      <c r="CEG4"/>
      <c r="CEI4"/>
      <c r="CEK4"/>
      <c r="CEM4"/>
      <c r="CEO4"/>
      <c r="CEQ4"/>
      <c r="CES4"/>
      <c r="CEU4"/>
      <c r="CEW4"/>
      <c r="CEY4"/>
      <c r="CFA4"/>
      <c r="CFC4"/>
      <c r="CFE4"/>
      <c r="CFG4"/>
      <c r="CFI4"/>
      <c r="CFK4"/>
      <c r="CFM4"/>
      <c r="CFO4"/>
      <c r="CFQ4"/>
      <c r="CFS4"/>
      <c r="CFU4"/>
      <c r="CFW4"/>
      <c r="CFY4"/>
      <c r="CGA4"/>
      <c r="CGC4"/>
      <c r="CGE4"/>
      <c r="CGG4"/>
      <c r="CGI4"/>
      <c r="CGK4"/>
      <c r="CGM4"/>
      <c r="CGO4"/>
      <c r="CGQ4"/>
      <c r="CGS4"/>
      <c r="CGU4"/>
      <c r="CGW4"/>
      <c r="CGY4"/>
      <c r="CHA4"/>
      <c r="CHC4"/>
      <c r="CHE4"/>
      <c r="CHG4"/>
      <c r="CHI4"/>
      <c r="CHK4"/>
      <c r="CHM4"/>
      <c r="CHO4"/>
      <c r="CHQ4"/>
      <c r="CHS4"/>
      <c r="CHU4"/>
      <c r="CHW4"/>
      <c r="CHY4"/>
      <c r="CIA4"/>
      <c r="CIC4"/>
      <c r="CIE4"/>
      <c r="CIG4"/>
      <c r="CII4"/>
      <c r="CIK4"/>
      <c r="CIM4"/>
      <c r="CIO4"/>
      <c r="CIQ4"/>
      <c r="CIS4"/>
      <c r="CIU4"/>
      <c r="CIW4"/>
      <c r="CIY4"/>
      <c r="CJA4"/>
      <c r="CJC4"/>
      <c r="CJE4"/>
      <c r="CJG4"/>
      <c r="CJI4"/>
      <c r="CJK4"/>
      <c r="CJM4"/>
      <c r="CJO4"/>
      <c r="CJQ4"/>
      <c r="CJS4"/>
      <c r="CJU4"/>
      <c r="CJW4"/>
      <c r="CJY4"/>
      <c r="CKA4"/>
      <c r="CKC4"/>
      <c r="CKE4"/>
      <c r="CKG4"/>
      <c r="CKI4"/>
      <c r="CKK4"/>
      <c r="CKM4"/>
      <c r="CKO4"/>
      <c r="CKQ4"/>
      <c r="CKS4"/>
      <c r="CKU4"/>
      <c r="CKW4"/>
      <c r="CKY4"/>
      <c r="CLA4"/>
      <c r="CLC4"/>
      <c r="CLE4"/>
      <c r="CLG4"/>
      <c r="CLI4"/>
      <c r="CLK4"/>
      <c r="CLM4"/>
      <c r="CLO4"/>
      <c r="CLQ4"/>
      <c r="CLS4"/>
      <c r="CLU4"/>
      <c r="CLW4"/>
      <c r="CLY4"/>
      <c r="CMA4"/>
      <c r="CMC4"/>
      <c r="CME4"/>
      <c r="CMG4"/>
      <c r="CMI4"/>
      <c r="CMK4"/>
      <c r="CMM4"/>
      <c r="CMO4"/>
      <c r="CMQ4"/>
      <c r="CMS4"/>
      <c r="CMU4"/>
      <c r="CMW4"/>
      <c r="CMY4"/>
      <c r="CNA4"/>
      <c r="CNC4"/>
      <c r="CNE4"/>
      <c r="CNG4"/>
      <c r="CNI4"/>
      <c r="CNK4"/>
      <c r="CNM4"/>
      <c r="CNO4"/>
      <c r="CNQ4"/>
      <c r="CNS4"/>
      <c r="CNU4"/>
      <c r="CNW4"/>
      <c r="CNY4"/>
      <c r="COA4"/>
      <c r="COC4"/>
      <c r="COE4"/>
      <c r="COG4"/>
      <c r="COI4"/>
      <c r="COK4"/>
      <c r="COM4"/>
      <c r="COO4"/>
      <c r="COQ4"/>
      <c r="COS4"/>
      <c r="COU4"/>
      <c r="COW4"/>
      <c r="COY4"/>
      <c r="CPA4"/>
      <c r="CPC4"/>
      <c r="CPE4"/>
      <c r="CPG4"/>
      <c r="CPI4"/>
      <c r="CPK4"/>
      <c r="CPM4"/>
      <c r="CPO4"/>
      <c r="CPQ4"/>
      <c r="CPS4"/>
      <c r="CPU4"/>
      <c r="CPW4"/>
      <c r="CPY4"/>
      <c r="CQA4"/>
      <c r="CQC4"/>
      <c r="CQE4"/>
      <c r="CQG4"/>
      <c r="CQI4"/>
      <c r="CQK4"/>
      <c r="CQM4"/>
      <c r="CQO4"/>
      <c r="CQQ4"/>
      <c r="CQS4"/>
      <c r="CQU4"/>
      <c r="CQW4"/>
      <c r="CQY4"/>
      <c r="CRA4"/>
      <c r="CRC4"/>
      <c r="CRE4"/>
      <c r="CRG4"/>
      <c r="CRI4"/>
      <c r="CRK4"/>
      <c r="CRM4"/>
      <c r="CRO4"/>
      <c r="CRQ4"/>
      <c r="CRS4"/>
      <c r="CRU4"/>
      <c r="CRW4"/>
      <c r="CRY4"/>
      <c r="CSA4"/>
      <c r="CSC4"/>
      <c r="CSE4"/>
      <c r="CSG4"/>
      <c r="CSI4"/>
      <c r="CSK4"/>
      <c r="CSM4"/>
      <c r="CSO4"/>
      <c r="CSQ4"/>
      <c r="CSS4"/>
      <c r="CSU4"/>
      <c r="CSW4"/>
      <c r="CSY4"/>
      <c r="CTA4"/>
      <c r="CTC4"/>
      <c r="CTE4"/>
      <c r="CTG4"/>
      <c r="CTI4"/>
      <c r="CTK4"/>
      <c r="CTM4"/>
      <c r="CTO4"/>
      <c r="CTQ4"/>
      <c r="CTS4"/>
      <c r="CTU4"/>
      <c r="CTW4"/>
      <c r="CTY4"/>
      <c r="CUA4"/>
      <c r="CUC4"/>
      <c r="CUE4"/>
      <c r="CUG4"/>
      <c r="CUI4"/>
      <c r="CUK4"/>
      <c r="CUM4"/>
      <c r="CUO4"/>
      <c r="CUQ4"/>
      <c r="CUS4"/>
      <c r="CUU4"/>
      <c r="CUW4"/>
      <c r="CUY4"/>
      <c r="CVA4"/>
      <c r="CVC4"/>
      <c r="CVE4"/>
      <c r="CVG4"/>
      <c r="CVI4"/>
      <c r="CVK4"/>
      <c r="CVM4"/>
      <c r="CVO4"/>
      <c r="CVQ4"/>
      <c r="CVS4"/>
      <c r="CVU4"/>
      <c r="CVW4"/>
      <c r="CVY4"/>
      <c r="CWA4"/>
      <c r="CWC4"/>
      <c r="CWE4"/>
      <c r="CWG4"/>
      <c r="CWI4"/>
      <c r="CWK4"/>
      <c r="CWM4"/>
      <c r="CWO4"/>
      <c r="CWQ4"/>
      <c r="CWS4"/>
      <c r="CWU4"/>
      <c r="CWW4"/>
      <c r="CWY4"/>
      <c r="CXA4"/>
      <c r="CXC4"/>
      <c r="CXE4"/>
      <c r="CXG4"/>
      <c r="CXI4"/>
      <c r="CXK4"/>
      <c r="CXM4"/>
      <c r="CXO4"/>
      <c r="CXQ4"/>
      <c r="CXS4"/>
      <c r="CXU4"/>
      <c r="CXW4"/>
      <c r="CXY4"/>
      <c r="CYA4"/>
      <c r="CYC4"/>
      <c r="CYE4"/>
      <c r="CYG4"/>
      <c r="CYI4"/>
      <c r="CYK4"/>
      <c r="CYM4"/>
      <c r="CYO4"/>
      <c r="CYQ4"/>
      <c r="CYS4"/>
      <c r="CYU4"/>
      <c r="CYW4"/>
      <c r="CYY4"/>
      <c r="CZA4"/>
      <c r="CZC4"/>
      <c r="CZE4"/>
      <c r="CZG4"/>
      <c r="CZI4"/>
      <c r="CZK4"/>
      <c r="CZM4"/>
      <c r="CZO4"/>
      <c r="CZQ4"/>
      <c r="CZS4"/>
      <c r="CZU4"/>
      <c r="CZW4"/>
      <c r="CZY4"/>
      <c r="DAA4"/>
      <c r="DAC4"/>
      <c r="DAE4"/>
      <c r="DAG4"/>
      <c r="DAI4"/>
      <c r="DAK4"/>
      <c r="DAM4"/>
      <c r="DAO4"/>
      <c r="DAQ4"/>
      <c r="DAS4"/>
      <c r="DAU4"/>
      <c r="DAW4"/>
      <c r="DAY4"/>
      <c r="DBA4"/>
      <c r="DBC4"/>
      <c r="DBE4"/>
      <c r="DBG4"/>
      <c r="DBI4"/>
      <c r="DBK4"/>
      <c r="DBM4"/>
      <c r="DBO4"/>
      <c r="DBQ4"/>
      <c r="DBS4"/>
      <c r="DBU4"/>
      <c r="DBW4"/>
      <c r="DBY4"/>
      <c r="DCA4"/>
      <c r="DCC4"/>
      <c r="DCE4"/>
      <c r="DCG4"/>
      <c r="DCI4"/>
      <c r="DCK4"/>
      <c r="DCM4"/>
      <c r="DCO4"/>
      <c r="DCQ4"/>
      <c r="DCS4"/>
      <c r="DCU4"/>
      <c r="DCW4"/>
      <c r="DCY4"/>
      <c r="DDA4"/>
      <c r="DDC4"/>
      <c r="DDE4"/>
      <c r="DDG4"/>
      <c r="DDI4"/>
      <c r="DDK4"/>
      <c r="DDM4"/>
      <c r="DDO4"/>
      <c r="DDQ4"/>
      <c r="DDS4"/>
      <c r="DDU4"/>
      <c r="DDW4"/>
      <c r="DDY4"/>
      <c r="DEA4"/>
      <c r="DEC4"/>
      <c r="DEE4"/>
      <c r="DEG4"/>
      <c r="DEI4"/>
      <c r="DEK4"/>
      <c r="DEM4"/>
      <c r="DEO4"/>
      <c r="DEQ4"/>
      <c r="DES4"/>
      <c r="DEU4"/>
      <c r="DEW4"/>
      <c r="DEY4"/>
      <c r="DFA4"/>
      <c r="DFC4"/>
      <c r="DFE4"/>
      <c r="DFG4"/>
      <c r="DFI4"/>
      <c r="DFK4"/>
      <c r="DFM4"/>
      <c r="DFO4"/>
      <c r="DFQ4"/>
      <c r="DFS4"/>
      <c r="DFU4"/>
      <c r="DFW4"/>
      <c r="DFY4"/>
      <c r="DGA4"/>
      <c r="DGC4"/>
      <c r="DGE4"/>
      <c r="DGG4"/>
      <c r="DGI4"/>
      <c r="DGK4"/>
      <c r="DGM4"/>
      <c r="DGO4"/>
      <c r="DGQ4"/>
      <c r="DGS4"/>
      <c r="DGU4"/>
      <c r="DGW4"/>
      <c r="DGY4"/>
      <c r="DHA4"/>
      <c r="DHC4"/>
      <c r="DHE4"/>
      <c r="DHG4"/>
      <c r="DHI4"/>
      <c r="DHK4"/>
      <c r="DHM4"/>
      <c r="DHO4"/>
      <c r="DHQ4"/>
      <c r="DHS4"/>
      <c r="DHU4"/>
      <c r="DHW4"/>
      <c r="DHY4"/>
      <c r="DIA4"/>
      <c r="DIC4"/>
      <c r="DIE4"/>
      <c r="DIG4"/>
      <c r="DII4"/>
      <c r="DIK4"/>
      <c r="DIM4"/>
      <c r="DIO4"/>
      <c r="DIQ4"/>
      <c r="DIS4"/>
      <c r="DIU4"/>
      <c r="DIW4"/>
      <c r="DIY4"/>
      <c r="DJA4"/>
      <c r="DJC4"/>
      <c r="DJE4"/>
      <c r="DJG4"/>
      <c r="DJI4"/>
      <c r="DJK4"/>
      <c r="DJM4"/>
      <c r="DJO4"/>
      <c r="DJQ4"/>
      <c r="DJS4"/>
      <c r="DJU4"/>
      <c r="DJW4"/>
      <c r="DJY4"/>
      <c r="DKA4"/>
      <c r="DKC4"/>
      <c r="DKE4"/>
      <c r="DKG4"/>
      <c r="DKI4"/>
      <c r="DKK4"/>
      <c r="DKM4"/>
      <c r="DKO4"/>
      <c r="DKQ4"/>
      <c r="DKS4"/>
      <c r="DKU4"/>
      <c r="DKW4"/>
      <c r="DKY4"/>
      <c r="DLA4"/>
      <c r="DLC4"/>
      <c r="DLE4"/>
      <c r="DLG4"/>
      <c r="DLI4"/>
      <c r="DLK4"/>
      <c r="DLM4"/>
      <c r="DLO4"/>
      <c r="DLQ4"/>
      <c r="DLS4"/>
      <c r="DLU4"/>
      <c r="DLW4"/>
      <c r="DLY4"/>
      <c r="DMA4"/>
      <c r="DMC4"/>
      <c r="DME4"/>
      <c r="DMG4"/>
      <c r="DMI4"/>
      <c r="DMK4"/>
      <c r="DMM4"/>
      <c r="DMO4"/>
      <c r="DMQ4"/>
      <c r="DMS4"/>
      <c r="DMU4"/>
      <c r="DMW4"/>
      <c r="DMY4"/>
      <c r="DNA4"/>
      <c r="DNC4"/>
      <c r="DNE4"/>
      <c r="DNG4"/>
      <c r="DNI4"/>
      <c r="DNK4"/>
      <c r="DNM4"/>
      <c r="DNO4"/>
      <c r="DNQ4"/>
      <c r="DNS4"/>
      <c r="DNU4"/>
      <c r="DNW4"/>
      <c r="DNY4"/>
      <c r="DOA4"/>
      <c r="DOC4"/>
      <c r="DOE4"/>
      <c r="DOG4"/>
      <c r="DOI4"/>
      <c r="DOK4"/>
      <c r="DOM4"/>
      <c r="DOO4"/>
      <c r="DOQ4"/>
      <c r="DOS4"/>
      <c r="DOU4"/>
      <c r="DOW4"/>
      <c r="DOY4"/>
      <c r="DPA4"/>
      <c r="DPC4"/>
      <c r="DPE4"/>
      <c r="DPG4"/>
      <c r="DPI4"/>
      <c r="DPK4"/>
      <c r="DPM4"/>
      <c r="DPO4"/>
      <c r="DPQ4"/>
      <c r="DPS4"/>
      <c r="DPU4"/>
      <c r="DPW4"/>
      <c r="DPY4"/>
      <c r="DQA4"/>
      <c r="DQC4"/>
      <c r="DQE4"/>
      <c r="DQG4"/>
      <c r="DQI4"/>
      <c r="DQK4"/>
      <c r="DQM4"/>
      <c r="DQO4"/>
      <c r="DQQ4"/>
      <c r="DQS4"/>
      <c r="DQU4"/>
      <c r="DQW4"/>
      <c r="DQY4"/>
      <c r="DRA4"/>
      <c r="DRC4"/>
      <c r="DRE4"/>
      <c r="DRG4"/>
      <c r="DRI4"/>
      <c r="DRK4"/>
      <c r="DRM4"/>
      <c r="DRO4"/>
      <c r="DRQ4"/>
      <c r="DRS4"/>
      <c r="DRU4"/>
      <c r="DRW4"/>
      <c r="DRY4"/>
      <c r="DSA4"/>
      <c r="DSC4"/>
      <c r="DSE4"/>
      <c r="DSG4"/>
      <c r="DSI4"/>
      <c r="DSK4"/>
      <c r="DSM4"/>
      <c r="DSO4"/>
      <c r="DSQ4"/>
      <c r="DSS4"/>
      <c r="DSU4"/>
      <c r="DSW4"/>
      <c r="DSY4"/>
      <c r="DTA4"/>
      <c r="DTC4"/>
      <c r="DTE4"/>
      <c r="DTG4"/>
      <c r="DTI4"/>
      <c r="DTK4"/>
      <c r="DTM4"/>
      <c r="DTO4"/>
      <c r="DTQ4"/>
      <c r="DTS4"/>
      <c r="DTU4"/>
      <c r="DTW4"/>
      <c r="DTY4"/>
      <c r="DUA4"/>
      <c r="DUC4"/>
      <c r="DUE4"/>
      <c r="DUG4"/>
      <c r="DUI4"/>
      <c r="DUK4"/>
      <c r="DUM4"/>
      <c r="DUO4"/>
      <c r="DUQ4"/>
      <c r="DUS4"/>
      <c r="DUU4"/>
      <c r="DUW4"/>
      <c r="DUY4"/>
      <c r="DVA4"/>
      <c r="DVC4"/>
      <c r="DVE4"/>
      <c r="DVG4"/>
      <c r="DVI4"/>
      <c r="DVK4"/>
      <c r="DVM4"/>
      <c r="DVO4"/>
      <c r="DVQ4"/>
      <c r="DVS4"/>
      <c r="DVU4"/>
      <c r="DVW4"/>
      <c r="DVY4"/>
      <c r="DWA4"/>
      <c r="DWC4"/>
      <c r="DWE4"/>
      <c r="DWG4"/>
      <c r="DWI4"/>
      <c r="DWK4"/>
      <c r="DWM4"/>
      <c r="DWO4"/>
      <c r="DWQ4"/>
      <c r="DWS4"/>
      <c r="DWU4"/>
      <c r="DWW4"/>
      <c r="DWY4"/>
      <c r="DXA4"/>
      <c r="DXC4"/>
      <c r="DXE4"/>
      <c r="DXG4"/>
      <c r="DXI4"/>
      <c r="DXK4"/>
      <c r="DXM4"/>
      <c r="DXO4"/>
      <c r="DXQ4"/>
      <c r="DXS4"/>
      <c r="DXU4"/>
      <c r="DXW4"/>
      <c r="DXY4"/>
      <c r="DYA4"/>
      <c r="DYC4"/>
      <c r="DYE4"/>
      <c r="DYG4"/>
      <c r="DYI4"/>
      <c r="DYK4"/>
      <c r="DYM4"/>
      <c r="DYO4"/>
      <c r="DYQ4"/>
      <c r="DYS4"/>
      <c r="DYU4"/>
      <c r="DYW4"/>
      <c r="DYY4"/>
      <c r="DZA4"/>
      <c r="DZC4"/>
      <c r="DZE4"/>
      <c r="DZG4"/>
      <c r="DZI4"/>
      <c r="DZK4"/>
      <c r="DZM4"/>
      <c r="DZO4"/>
      <c r="DZQ4"/>
      <c r="DZS4"/>
      <c r="DZU4"/>
      <c r="DZW4"/>
      <c r="DZY4"/>
      <c r="EAA4"/>
      <c r="EAC4"/>
      <c r="EAE4"/>
      <c r="EAG4"/>
      <c r="EAI4"/>
      <c r="EAK4"/>
      <c r="EAM4"/>
      <c r="EAO4"/>
      <c r="EAQ4"/>
      <c r="EAS4"/>
      <c r="EAU4"/>
      <c r="EAW4"/>
      <c r="EAY4"/>
      <c r="EBA4"/>
      <c r="EBC4"/>
      <c r="EBE4"/>
      <c r="EBG4"/>
      <c r="EBI4"/>
      <c r="EBK4"/>
      <c r="EBM4"/>
      <c r="EBO4"/>
      <c r="EBQ4"/>
      <c r="EBS4"/>
      <c r="EBU4"/>
      <c r="EBW4"/>
      <c r="EBY4"/>
      <c r="ECA4"/>
      <c r="ECC4"/>
      <c r="ECE4"/>
      <c r="ECG4"/>
      <c r="ECI4"/>
      <c r="ECK4"/>
      <c r="ECM4"/>
      <c r="ECO4"/>
      <c r="ECQ4"/>
      <c r="ECS4"/>
      <c r="ECU4"/>
      <c r="ECW4"/>
      <c r="ECY4"/>
      <c r="EDA4"/>
      <c r="EDC4"/>
      <c r="EDE4"/>
      <c r="EDG4"/>
      <c r="EDI4"/>
      <c r="EDK4"/>
      <c r="EDM4"/>
      <c r="EDO4"/>
      <c r="EDQ4"/>
      <c r="EDS4"/>
      <c r="EDU4"/>
      <c r="EDW4"/>
      <c r="EDY4"/>
      <c r="EEA4"/>
      <c r="EEC4"/>
      <c r="EEE4"/>
      <c r="EEG4"/>
      <c r="EEI4"/>
      <c r="EEK4"/>
      <c r="EEM4"/>
      <c r="EEO4"/>
      <c r="EEQ4"/>
      <c r="EES4"/>
      <c r="EEU4"/>
      <c r="EEW4"/>
      <c r="EEY4"/>
      <c r="EFA4"/>
      <c r="EFC4"/>
      <c r="EFE4"/>
      <c r="EFG4"/>
      <c r="EFI4"/>
      <c r="EFK4"/>
      <c r="EFM4"/>
      <c r="EFO4"/>
      <c r="EFQ4"/>
      <c r="EFS4"/>
      <c r="EFU4"/>
      <c r="EFW4"/>
      <c r="EFY4"/>
      <c r="EGA4"/>
      <c r="EGC4"/>
      <c r="EGE4"/>
      <c r="EGG4"/>
      <c r="EGI4"/>
      <c r="EGK4"/>
      <c r="EGM4"/>
      <c r="EGO4"/>
      <c r="EGQ4"/>
      <c r="EGS4"/>
      <c r="EGU4"/>
      <c r="EGW4"/>
      <c r="EGY4"/>
      <c r="EHA4"/>
      <c r="EHC4"/>
      <c r="EHE4"/>
      <c r="EHG4"/>
      <c r="EHI4"/>
      <c r="EHK4"/>
      <c r="EHM4"/>
      <c r="EHO4"/>
      <c r="EHQ4"/>
      <c r="EHS4"/>
      <c r="EHU4"/>
      <c r="EHW4"/>
      <c r="EHY4"/>
      <c r="EIA4"/>
      <c r="EIC4"/>
      <c r="EIE4"/>
      <c r="EIG4"/>
      <c r="EII4"/>
      <c r="EIK4"/>
      <c r="EIM4"/>
      <c r="EIO4"/>
      <c r="EIQ4"/>
      <c r="EIS4"/>
      <c r="EIU4"/>
      <c r="EIW4"/>
      <c r="EIY4"/>
      <c r="EJA4"/>
      <c r="EJC4"/>
      <c r="EJE4"/>
      <c r="EJG4"/>
      <c r="EJI4"/>
      <c r="EJK4"/>
      <c r="EJM4"/>
      <c r="EJO4"/>
      <c r="EJQ4"/>
      <c r="EJS4"/>
      <c r="EJU4"/>
      <c r="EJW4"/>
      <c r="EJY4"/>
      <c r="EKA4"/>
      <c r="EKC4"/>
      <c r="EKE4"/>
      <c r="EKG4"/>
      <c r="EKI4"/>
      <c r="EKK4"/>
      <c r="EKM4"/>
      <c r="EKO4"/>
      <c r="EKQ4"/>
      <c r="EKS4"/>
      <c r="EKU4"/>
      <c r="EKW4"/>
      <c r="EKY4"/>
      <c r="ELA4"/>
      <c r="ELC4"/>
      <c r="ELE4"/>
      <c r="ELG4"/>
      <c r="ELI4"/>
      <c r="ELK4"/>
      <c r="ELM4"/>
      <c r="ELO4"/>
      <c r="ELQ4"/>
      <c r="ELS4"/>
      <c r="ELU4"/>
      <c r="ELW4"/>
      <c r="ELY4"/>
      <c r="EMA4"/>
      <c r="EMC4"/>
      <c r="EME4"/>
      <c r="EMG4"/>
      <c r="EMI4"/>
      <c r="EMK4"/>
      <c r="EMM4"/>
      <c r="EMO4"/>
      <c r="EMQ4"/>
      <c r="EMS4"/>
      <c r="EMU4"/>
      <c r="EMW4"/>
      <c r="EMY4"/>
      <c r="ENA4"/>
      <c r="ENC4"/>
      <c r="ENE4"/>
      <c r="ENG4"/>
      <c r="ENI4"/>
      <c r="ENK4"/>
      <c r="ENM4"/>
      <c r="ENO4"/>
      <c r="ENQ4"/>
      <c r="ENS4"/>
      <c r="ENU4"/>
      <c r="ENW4"/>
      <c r="ENY4"/>
      <c r="EOA4"/>
      <c r="EOC4"/>
      <c r="EOE4"/>
      <c r="EOG4"/>
      <c r="EOI4"/>
      <c r="EOK4"/>
      <c r="EOM4"/>
      <c r="EOO4"/>
      <c r="EOQ4"/>
      <c r="EOS4"/>
      <c r="EOU4"/>
      <c r="EOW4"/>
      <c r="EOY4"/>
      <c r="EPA4"/>
      <c r="EPC4"/>
      <c r="EPE4"/>
      <c r="EPG4"/>
      <c r="EPI4"/>
      <c r="EPK4"/>
      <c r="EPM4"/>
      <c r="EPO4"/>
      <c r="EPQ4"/>
      <c r="EPS4"/>
      <c r="EPU4"/>
      <c r="EPW4"/>
      <c r="EPY4"/>
      <c r="EQA4"/>
      <c r="EQC4"/>
      <c r="EQE4"/>
      <c r="EQG4"/>
      <c r="EQI4"/>
      <c r="EQK4"/>
      <c r="EQM4"/>
      <c r="EQO4"/>
      <c r="EQQ4"/>
      <c r="EQS4"/>
      <c r="EQU4"/>
      <c r="EQW4"/>
      <c r="EQY4"/>
      <c r="ERA4"/>
      <c r="ERC4"/>
      <c r="ERE4"/>
      <c r="ERG4"/>
      <c r="ERI4"/>
      <c r="ERK4"/>
      <c r="ERM4"/>
      <c r="ERO4"/>
      <c r="ERQ4"/>
      <c r="ERS4"/>
      <c r="ERU4"/>
      <c r="ERW4"/>
      <c r="ERY4"/>
      <c r="ESA4"/>
      <c r="ESC4"/>
      <c r="ESE4"/>
      <c r="ESG4"/>
      <c r="ESI4"/>
      <c r="ESK4"/>
      <c r="ESM4"/>
      <c r="ESO4"/>
      <c r="ESQ4"/>
      <c r="ESS4"/>
      <c r="ESU4"/>
      <c r="ESW4"/>
      <c r="ESY4"/>
      <c r="ETA4"/>
      <c r="ETC4"/>
      <c r="ETE4"/>
      <c r="ETG4"/>
      <c r="ETI4"/>
      <c r="ETK4"/>
      <c r="ETM4"/>
      <c r="ETO4"/>
      <c r="ETQ4"/>
      <c r="ETS4"/>
      <c r="ETU4"/>
      <c r="ETW4"/>
      <c r="ETY4"/>
      <c r="EUA4"/>
      <c r="EUC4"/>
      <c r="EUE4"/>
      <c r="EUG4"/>
      <c r="EUI4"/>
      <c r="EUK4"/>
      <c r="EUM4"/>
      <c r="EUO4"/>
      <c r="EUQ4"/>
      <c r="EUS4"/>
      <c r="EUU4"/>
      <c r="EUW4"/>
      <c r="EUY4"/>
      <c r="EVA4"/>
      <c r="EVC4"/>
      <c r="EVE4"/>
      <c r="EVG4"/>
      <c r="EVI4"/>
      <c r="EVK4"/>
      <c r="EVM4"/>
      <c r="EVO4"/>
      <c r="EVQ4"/>
      <c r="EVS4"/>
      <c r="EVU4"/>
      <c r="EVW4"/>
      <c r="EVY4"/>
      <c r="EWA4"/>
      <c r="EWC4"/>
      <c r="EWE4"/>
      <c r="EWG4"/>
      <c r="EWI4"/>
      <c r="EWK4"/>
      <c r="EWM4"/>
      <c r="EWO4"/>
      <c r="EWQ4"/>
      <c r="EWS4"/>
      <c r="EWU4"/>
      <c r="EWW4"/>
      <c r="EWY4"/>
      <c r="EXA4"/>
      <c r="EXC4"/>
      <c r="EXE4"/>
      <c r="EXG4"/>
      <c r="EXI4"/>
      <c r="EXK4"/>
      <c r="EXM4"/>
      <c r="EXO4"/>
      <c r="EXQ4"/>
      <c r="EXS4"/>
      <c r="EXU4"/>
      <c r="EXW4"/>
      <c r="EXY4"/>
      <c r="EYA4"/>
      <c r="EYC4"/>
      <c r="EYE4"/>
      <c r="EYG4"/>
      <c r="EYI4"/>
      <c r="EYK4"/>
      <c r="EYM4"/>
      <c r="EYO4"/>
      <c r="EYQ4"/>
      <c r="EYS4"/>
      <c r="EYU4"/>
      <c r="EYW4"/>
      <c r="EYY4"/>
      <c r="EZA4"/>
      <c r="EZC4"/>
      <c r="EZE4"/>
      <c r="EZG4"/>
      <c r="EZI4"/>
      <c r="EZK4"/>
      <c r="EZM4"/>
      <c r="EZO4"/>
      <c r="EZQ4"/>
      <c r="EZS4"/>
      <c r="EZU4"/>
      <c r="EZW4"/>
      <c r="EZY4"/>
      <c r="FAA4"/>
      <c r="FAC4"/>
      <c r="FAE4"/>
      <c r="FAG4"/>
      <c r="FAI4"/>
      <c r="FAK4"/>
      <c r="FAM4"/>
      <c r="FAO4"/>
      <c r="FAQ4"/>
      <c r="FAS4"/>
      <c r="FAU4"/>
      <c r="FAW4"/>
      <c r="FAY4"/>
      <c r="FBA4"/>
      <c r="FBC4"/>
      <c r="FBE4"/>
      <c r="FBG4"/>
      <c r="FBI4"/>
      <c r="FBK4"/>
      <c r="FBM4"/>
      <c r="FBO4"/>
      <c r="FBQ4"/>
      <c r="FBS4"/>
      <c r="FBU4"/>
      <c r="FBW4"/>
      <c r="FBY4"/>
      <c r="FCA4"/>
      <c r="FCC4"/>
      <c r="FCE4"/>
      <c r="FCG4"/>
      <c r="FCI4"/>
      <c r="FCK4"/>
      <c r="FCM4"/>
      <c r="FCO4"/>
      <c r="FCQ4"/>
      <c r="FCS4"/>
      <c r="FCU4"/>
      <c r="FCW4"/>
      <c r="FCY4"/>
      <c r="FDA4"/>
      <c r="FDC4"/>
      <c r="FDE4"/>
      <c r="FDG4"/>
      <c r="FDI4"/>
      <c r="FDK4"/>
      <c r="FDM4"/>
      <c r="FDO4"/>
      <c r="FDQ4"/>
      <c r="FDS4"/>
      <c r="FDU4"/>
      <c r="FDW4"/>
      <c r="FDY4"/>
      <c r="FEA4"/>
      <c r="FEC4"/>
      <c r="FEE4"/>
      <c r="FEG4"/>
      <c r="FEI4"/>
      <c r="FEK4"/>
      <c r="FEM4"/>
      <c r="FEO4"/>
      <c r="FEQ4"/>
      <c r="FES4"/>
      <c r="FEU4"/>
      <c r="FEW4"/>
      <c r="FEY4"/>
      <c r="FFA4"/>
      <c r="FFC4"/>
      <c r="FFE4"/>
      <c r="FFG4"/>
      <c r="FFI4"/>
      <c r="FFK4"/>
      <c r="FFM4"/>
      <c r="FFO4"/>
      <c r="FFQ4"/>
      <c r="FFS4"/>
      <c r="FFU4"/>
      <c r="FFW4"/>
      <c r="FFY4"/>
      <c r="FGA4"/>
      <c r="FGC4"/>
      <c r="FGE4"/>
      <c r="FGG4"/>
      <c r="FGI4"/>
      <c r="FGK4"/>
      <c r="FGM4"/>
      <c r="FGO4"/>
      <c r="FGQ4"/>
      <c r="FGS4"/>
      <c r="FGU4"/>
      <c r="FGW4"/>
      <c r="FGY4"/>
      <c r="FHA4"/>
      <c r="FHC4"/>
      <c r="FHE4"/>
      <c r="FHG4"/>
      <c r="FHI4"/>
      <c r="FHK4"/>
      <c r="FHM4"/>
      <c r="FHO4"/>
      <c r="FHQ4"/>
      <c r="FHS4"/>
      <c r="FHU4"/>
      <c r="FHW4"/>
      <c r="FHY4"/>
      <c r="FIA4"/>
      <c r="FIC4"/>
      <c r="FIE4"/>
      <c r="FIG4"/>
      <c r="FII4"/>
      <c r="FIK4"/>
      <c r="FIM4"/>
      <c r="FIO4"/>
      <c r="FIQ4"/>
      <c r="FIS4"/>
      <c r="FIU4"/>
      <c r="FIW4"/>
      <c r="FIY4"/>
      <c r="FJA4"/>
      <c r="FJC4"/>
      <c r="FJE4"/>
      <c r="FJG4"/>
      <c r="FJI4"/>
      <c r="FJK4"/>
      <c r="FJM4"/>
      <c r="FJO4"/>
      <c r="FJQ4"/>
      <c r="FJS4"/>
      <c r="FJU4"/>
      <c r="FJW4"/>
      <c r="FJY4"/>
      <c r="FKA4"/>
      <c r="FKC4"/>
      <c r="FKE4"/>
      <c r="FKG4"/>
      <c r="FKI4"/>
      <c r="FKK4"/>
      <c r="FKM4"/>
      <c r="FKO4"/>
      <c r="FKQ4"/>
      <c r="FKS4"/>
      <c r="FKU4"/>
      <c r="FKW4"/>
      <c r="FKY4"/>
      <c r="FLA4"/>
      <c r="FLC4"/>
      <c r="FLE4"/>
      <c r="FLG4"/>
      <c r="FLI4"/>
      <c r="FLK4"/>
      <c r="FLM4"/>
      <c r="FLO4"/>
      <c r="FLQ4"/>
      <c r="FLS4"/>
      <c r="FLU4"/>
      <c r="FLW4"/>
      <c r="FLY4"/>
      <c r="FMA4"/>
      <c r="FMC4"/>
      <c r="FME4"/>
      <c r="FMG4"/>
      <c r="FMI4"/>
      <c r="FMK4"/>
      <c r="FMM4"/>
      <c r="FMO4"/>
      <c r="FMQ4"/>
      <c r="FMS4"/>
      <c r="FMU4"/>
      <c r="FMW4"/>
      <c r="FMY4"/>
      <c r="FNA4"/>
      <c r="FNC4"/>
      <c r="FNE4"/>
      <c r="FNG4"/>
      <c r="FNI4"/>
      <c r="FNK4"/>
      <c r="FNM4"/>
      <c r="FNO4"/>
      <c r="FNQ4"/>
      <c r="FNS4"/>
      <c r="FNU4"/>
      <c r="FNW4"/>
      <c r="FNY4"/>
      <c r="FOA4"/>
      <c r="FOC4"/>
      <c r="FOE4"/>
      <c r="FOG4"/>
      <c r="FOI4"/>
      <c r="FOK4"/>
      <c r="FOM4"/>
      <c r="FOO4"/>
      <c r="FOQ4"/>
      <c r="FOS4"/>
      <c r="FOU4"/>
      <c r="FOW4"/>
      <c r="FOY4"/>
      <c r="FPA4"/>
      <c r="FPC4"/>
      <c r="FPE4"/>
      <c r="FPG4"/>
      <c r="FPI4"/>
      <c r="FPK4"/>
      <c r="FPM4"/>
      <c r="FPO4"/>
      <c r="FPQ4"/>
      <c r="FPS4"/>
      <c r="FPU4"/>
      <c r="FPW4"/>
      <c r="FPY4"/>
      <c r="FQA4"/>
      <c r="FQC4"/>
      <c r="FQE4"/>
      <c r="FQG4"/>
      <c r="FQI4"/>
      <c r="FQK4"/>
      <c r="FQM4"/>
      <c r="FQO4"/>
      <c r="FQQ4"/>
      <c r="FQS4"/>
      <c r="FQU4"/>
      <c r="FQW4"/>
      <c r="FQY4"/>
      <c r="FRA4"/>
      <c r="FRC4"/>
      <c r="FRE4"/>
      <c r="FRG4"/>
      <c r="FRI4"/>
      <c r="FRK4"/>
      <c r="FRM4"/>
      <c r="FRO4"/>
      <c r="FRQ4"/>
      <c r="FRS4"/>
      <c r="FRU4"/>
      <c r="FRW4"/>
      <c r="FRY4"/>
      <c r="FSA4"/>
      <c r="FSC4"/>
      <c r="FSE4"/>
      <c r="FSG4"/>
      <c r="FSI4"/>
      <c r="FSK4"/>
      <c r="FSM4"/>
      <c r="FSO4"/>
      <c r="FSQ4"/>
      <c r="FSS4"/>
      <c r="FSU4"/>
      <c r="FSW4"/>
      <c r="FSY4"/>
      <c r="FTA4"/>
      <c r="FTC4"/>
      <c r="FTE4"/>
      <c r="FTG4"/>
      <c r="FTI4"/>
      <c r="FTK4"/>
      <c r="FTM4"/>
      <c r="FTO4"/>
      <c r="FTQ4"/>
      <c r="FTS4"/>
      <c r="FTU4"/>
      <c r="FTW4"/>
      <c r="FTY4"/>
      <c r="FUA4"/>
      <c r="FUC4"/>
      <c r="FUE4"/>
      <c r="FUG4"/>
      <c r="FUI4"/>
      <c r="FUK4"/>
      <c r="FUM4"/>
      <c r="FUO4"/>
      <c r="FUQ4"/>
      <c r="FUS4"/>
      <c r="FUU4"/>
      <c r="FUW4"/>
      <c r="FUY4"/>
      <c r="FVA4"/>
      <c r="FVC4"/>
      <c r="FVE4"/>
      <c r="FVG4"/>
      <c r="FVI4"/>
      <c r="FVK4"/>
      <c r="FVM4"/>
      <c r="FVO4"/>
      <c r="FVQ4"/>
      <c r="FVS4"/>
      <c r="FVU4"/>
      <c r="FVW4"/>
      <c r="FVY4"/>
      <c r="FWA4"/>
      <c r="FWC4"/>
      <c r="FWE4"/>
      <c r="FWG4"/>
      <c r="FWI4"/>
      <c r="FWK4"/>
      <c r="FWM4"/>
      <c r="FWO4"/>
      <c r="FWQ4"/>
      <c r="FWS4"/>
      <c r="FWU4"/>
      <c r="FWW4"/>
      <c r="FWY4"/>
      <c r="FXA4"/>
      <c r="FXC4"/>
      <c r="FXE4"/>
      <c r="FXG4"/>
      <c r="FXI4"/>
      <c r="FXK4"/>
      <c r="FXM4"/>
      <c r="FXO4"/>
      <c r="FXQ4"/>
      <c r="FXS4"/>
      <c r="FXU4"/>
      <c r="FXW4"/>
      <c r="FXY4"/>
      <c r="FYA4"/>
      <c r="FYC4"/>
      <c r="FYE4"/>
      <c r="FYG4"/>
      <c r="FYI4"/>
      <c r="FYK4"/>
      <c r="FYM4"/>
      <c r="FYO4"/>
      <c r="FYQ4"/>
      <c r="FYS4"/>
      <c r="FYU4"/>
      <c r="FYW4"/>
      <c r="FYY4"/>
      <c r="FZA4"/>
      <c r="FZC4"/>
      <c r="FZE4"/>
      <c r="FZG4"/>
      <c r="FZI4"/>
      <c r="FZK4"/>
      <c r="FZM4"/>
      <c r="FZO4"/>
      <c r="FZQ4"/>
      <c r="FZS4"/>
      <c r="FZU4"/>
      <c r="FZW4"/>
      <c r="FZY4"/>
      <c r="GAA4"/>
      <c r="GAC4"/>
      <c r="GAE4"/>
      <c r="GAG4"/>
      <c r="GAI4"/>
      <c r="GAK4"/>
      <c r="GAM4"/>
      <c r="GAO4"/>
      <c r="GAQ4"/>
      <c r="GAS4"/>
      <c r="GAU4"/>
      <c r="GAW4"/>
      <c r="GAY4"/>
      <c r="GBA4"/>
      <c r="GBC4"/>
      <c r="GBE4"/>
      <c r="GBG4"/>
      <c r="GBI4"/>
      <c r="GBK4"/>
      <c r="GBM4"/>
      <c r="GBO4"/>
      <c r="GBQ4"/>
      <c r="GBS4"/>
      <c r="GBU4"/>
      <c r="GBW4"/>
      <c r="GBY4"/>
      <c r="GCA4"/>
      <c r="GCC4"/>
      <c r="GCE4"/>
      <c r="GCG4"/>
      <c r="GCI4"/>
      <c r="GCK4"/>
      <c r="GCM4"/>
      <c r="GCO4"/>
      <c r="GCQ4"/>
      <c r="GCS4"/>
      <c r="GCU4"/>
      <c r="GCW4"/>
      <c r="GCY4"/>
      <c r="GDA4"/>
      <c r="GDC4"/>
      <c r="GDE4"/>
      <c r="GDG4"/>
      <c r="GDI4"/>
      <c r="GDK4"/>
      <c r="GDM4"/>
      <c r="GDO4"/>
      <c r="GDQ4"/>
      <c r="GDS4"/>
      <c r="GDU4"/>
      <c r="GDW4"/>
      <c r="GDY4"/>
      <c r="GEA4"/>
      <c r="GEC4"/>
      <c r="GEE4"/>
      <c r="GEG4"/>
      <c r="GEI4"/>
      <c r="GEK4"/>
      <c r="GEM4"/>
      <c r="GEO4"/>
      <c r="GEQ4"/>
      <c r="GES4"/>
      <c r="GEU4"/>
      <c r="GEW4"/>
      <c r="GEY4"/>
      <c r="GFA4"/>
      <c r="GFC4"/>
      <c r="GFE4"/>
      <c r="GFG4"/>
      <c r="GFI4"/>
      <c r="GFK4"/>
      <c r="GFM4"/>
      <c r="GFO4"/>
      <c r="GFQ4"/>
      <c r="GFS4"/>
      <c r="GFU4"/>
      <c r="GFW4"/>
      <c r="GFY4"/>
      <c r="GGA4"/>
      <c r="GGC4"/>
      <c r="GGE4"/>
      <c r="GGG4"/>
      <c r="GGI4"/>
      <c r="GGK4"/>
      <c r="GGM4"/>
      <c r="GGO4"/>
      <c r="GGQ4"/>
      <c r="GGS4"/>
      <c r="GGU4"/>
      <c r="GGW4"/>
      <c r="GGY4"/>
      <c r="GHA4"/>
      <c r="GHC4"/>
      <c r="GHE4"/>
      <c r="GHG4"/>
      <c r="GHI4"/>
      <c r="GHK4"/>
      <c r="GHM4"/>
      <c r="GHO4"/>
      <c r="GHQ4"/>
      <c r="GHS4"/>
      <c r="GHU4"/>
      <c r="GHW4"/>
      <c r="GHY4"/>
      <c r="GIA4"/>
      <c r="GIC4"/>
      <c r="GIE4"/>
      <c r="GIG4"/>
      <c r="GII4"/>
      <c r="GIK4"/>
      <c r="GIM4"/>
      <c r="GIO4"/>
      <c r="GIQ4"/>
      <c r="GIS4"/>
      <c r="GIU4"/>
      <c r="GIW4"/>
      <c r="GIY4"/>
      <c r="GJA4"/>
      <c r="GJC4"/>
      <c r="GJE4"/>
      <c r="GJG4"/>
      <c r="GJI4"/>
      <c r="GJK4"/>
      <c r="GJM4"/>
      <c r="GJO4"/>
      <c r="GJQ4"/>
      <c r="GJS4"/>
      <c r="GJU4"/>
      <c r="GJW4"/>
      <c r="GJY4"/>
      <c r="GKA4"/>
      <c r="GKC4"/>
      <c r="GKE4"/>
      <c r="GKG4"/>
      <c r="GKI4"/>
      <c r="GKK4"/>
      <c r="GKM4"/>
      <c r="GKO4"/>
      <c r="GKQ4"/>
      <c r="GKS4"/>
      <c r="GKU4"/>
      <c r="GKW4"/>
      <c r="GKY4"/>
      <c r="GLA4"/>
      <c r="GLC4"/>
      <c r="GLE4"/>
      <c r="GLG4"/>
      <c r="GLI4"/>
      <c r="GLK4"/>
      <c r="GLM4"/>
      <c r="GLO4"/>
      <c r="GLQ4"/>
      <c r="GLS4"/>
      <c r="GLU4"/>
      <c r="GLW4"/>
      <c r="GLY4"/>
      <c r="GMA4"/>
      <c r="GMC4"/>
      <c r="GME4"/>
      <c r="GMG4"/>
      <c r="GMI4"/>
      <c r="GMK4"/>
      <c r="GMM4"/>
      <c r="GMO4"/>
      <c r="GMQ4"/>
      <c r="GMS4"/>
      <c r="GMU4"/>
      <c r="GMW4"/>
      <c r="GMY4"/>
      <c r="GNA4"/>
      <c r="GNC4"/>
      <c r="GNE4"/>
      <c r="GNG4"/>
      <c r="GNI4"/>
      <c r="GNK4"/>
      <c r="GNM4"/>
      <c r="GNO4"/>
      <c r="GNQ4"/>
      <c r="GNS4"/>
      <c r="GNU4"/>
      <c r="GNW4"/>
      <c r="GNY4"/>
      <c r="GOA4"/>
      <c r="GOC4"/>
      <c r="GOE4"/>
      <c r="GOG4"/>
      <c r="GOI4"/>
      <c r="GOK4"/>
      <c r="GOM4"/>
      <c r="GOO4"/>
      <c r="GOQ4"/>
      <c r="GOS4"/>
      <c r="GOU4"/>
      <c r="GOW4"/>
      <c r="GOY4"/>
      <c r="GPA4"/>
      <c r="GPC4"/>
      <c r="GPE4"/>
      <c r="GPG4"/>
      <c r="GPI4"/>
      <c r="GPK4"/>
      <c r="GPM4"/>
      <c r="GPO4"/>
      <c r="GPQ4"/>
      <c r="GPS4"/>
      <c r="GPU4"/>
      <c r="GPW4"/>
      <c r="GPY4"/>
      <c r="GQA4"/>
      <c r="GQC4"/>
      <c r="GQE4"/>
      <c r="GQG4"/>
      <c r="GQI4"/>
      <c r="GQK4"/>
      <c r="GQM4"/>
      <c r="GQO4"/>
      <c r="GQQ4"/>
      <c r="GQS4"/>
      <c r="GQU4"/>
      <c r="GQW4"/>
      <c r="GQY4"/>
      <c r="GRA4"/>
      <c r="GRC4"/>
      <c r="GRE4"/>
      <c r="GRG4"/>
      <c r="GRI4"/>
      <c r="GRK4"/>
      <c r="GRM4"/>
      <c r="GRO4"/>
      <c r="GRQ4"/>
      <c r="GRS4"/>
      <c r="GRU4"/>
      <c r="GRW4"/>
      <c r="GRY4"/>
      <c r="GSA4"/>
      <c r="GSC4"/>
      <c r="GSE4"/>
      <c r="GSG4"/>
      <c r="GSI4"/>
      <c r="GSK4"/>
      <c r="GSM4"/>
      <c r="GSO4"/>
      <c r="GSQ4"/>
      <c r="GSS4"/>
      <c r="GSU4"/>
      <c r="GSW4"/>
      <c r="GSY4"/>
      <c r="GTA4"/>
      <c r="GTC4"/>
      <c r="GTE4"/>
      <c r="GTG4"/>
      <c r="GTI4"/>
      <c r="GTK4"/>
      <c r="GTM4"/>
      <c r="GTO4"/>
      <c r="GTQ4"/>
      <c r="GTS4"/>
      <c r="GTU4"/>
      <c r="GTW4"/>
      <c r="GTY4"/>
      <c r="GUA4"/>
      <c r="GUC4"/>
      <c r="GUE4"/>
      <c r="GUG4"/>
      <c r="GUI4"/>
      <c r="GUK4"/>
      <c r="GUM4"/>
      <c r="GUO4"/>
      <c r="GUQ4"/>
      <c r="GUS4"/>
      <c r="GUU4"/>
      <c r="GUW4"/>
      <c r="GUY4"/>
      <c r="GVA4"/>
      <c r="GVC4"/>
      <c r="GVE4"/>
      <c r="GVG4"/>
      <c r="GVI4"/>
      <c r="GVK4"/>
      <c r="GVM4"/>
      <c r="GVO4"/>
      <c r="GVQ4"/>
      <c r="GVS4"/>
      <c r="GVU4"/>
      <c r="GVW4"/>
      <c r="GVY4"/>
      <c r="GWA4"/>
      <c r="GWC4"/>
      <c r="GWE4"/>
      <c r="GWG4"/>
      <c r="GWI4"/>
      <c r="GWK4"/>
      <c r="GWM4"/>
      <c r="GWO4"/>
      <c r="GWQ4"/>
      <c r="GWS4"/>
      <c r="GWU4"/>
      <c r="GWW4"/>
      <c r="GWY4"/>
      <c r="GXA4"/>
      <c r="GXC4"/>
      <c r="GXE4"/>
      <c r="GXG4"/>
      <c r="GXI4"/>
      <c r="GXK4"/>
      <c r="GXM4"/>
      <c r="GXO4"/>
      <c r="GXQ4"/>
      <c r="GXS4"/>
      <c r="GXU4"/>
      <c r="GXW4"/>
      <c r="GXY4"/>
      <c r="GYA4"/>
      <c r="GYC4"/>
      <c r="GYE4"/>
      <c r="GYG4"/>
      <c r="GYI4"/>
      <c r="GYK4"/>
      <c r="GYM4"/>
      <c r="GYO4"/>
      <c r="GYQ4"/>
      <c r="GYS4"/>
      <c r="GYU4"/>
      <c r="GYW4"/>
      <c r="GYY4"/>
      <c r="GZA4"/>
      <c r="GZC4"/>
      <c r="GZE4"/>
      <c r="GZG4"/>
      <c r="GZI4"/>
      <c r="GZK4"/>
      <c r="GZM4"/>
      <c r="GZO4"/>
      <c r="GZQ4"/>
      <c r="GZS4"/>
      <c r="GZU4"/>
      <c r="GZW4"/>
      <c r="GZY4"/>
      <c r="HAA4"/>
      <c r="HAC4"/>
      <c r="HAE4"/>
      <c r="HAG4"/>
      <c r="HAI4"/>
      <c r="HAK4"/>
      <c r="HAM4"/>
      <c r="HAO4"/>
      <c r="HAQ4"/>
      <c r="HAS4"/>
      <c r="HAU4"/>
      <c r="HAW4"/>
      <c r="HAY4"/>
      <c r="HBA4"/>
      <c r="HBC4"/>
      <c r="HBE4"/>
      <c r="HBG4"/>
      <c r="HBI4"/>
      <c r="HBK4"/>
      <c r="HBM4"/>
      <c r="HBO4"/>
      <c r="HBQ4"/>
      <c r="HBS4"/>
      <c r="HBU4"/>
      <c r="HBW4"/>
      <c r="HBY4"/>
      <c r="HCA4"/>
      <c r="HCC4"/>
      <c r="HCE4"/>
      <c r="HCG4"/>
      <c r="HCI4"/>
      <c r="HCK4"/>
      <c r="HCM4"/>
      <c r="HCO4"/>
      <c r="HCQ4"/>
      <c r="HCS4"/>
      <c r="HCU4"/>
      <c r="HCW4"/>
      <c r="HCY4"/>
      <c r="HDA4"/>
      <c r="HDC4"/>
      <c r="HDE4"/>
      <c r="HDG4"/>
      <c r="HDI4"/>
      <c r="HDK4"/>
      <c r="HDM4"/>
      <c r="HDO4"/>
      <c r="HDQ4"/>
      <c r="HDS4"/>
      <c r="HDU4"/>
      <c r="HDW4"/>
      <c r="HDY4"/>
      <c r="HEA4"/>
      <c r="HEC4"/>
      <c r="HEE4"/>
      <c r="HEG4"/>
      <c r="HEI4"/>
      <c r="HEK4"/>
      <c r="HEM4"/>
      <c r="HEO4"/>
      <c r="HEQ4"/>
      <c r="HES4"/>
      <c r="HEU4"/>
      <c r="HEW4"/>
      <c r="HEY4"/>
      <c r="HFA4"/>
      <c r="HFC4"/>
      <c r="HFE4"/>
      <c r="HFG4"/>
      <c r="HFI4"/>
      <c r="HFK4"/>
      <c r="HFM4"/>
      <c r="HFO4"/>
      <c r="HFQ4"/>
      <c r="HFS4"/>
      <c r="HFU4"/>
      <c r="HFW4"/>
      <c r="HFY4"/>
      <c r="HGA4"/>
      <c r="HGC4"/>
      <c r="HGE4"/>
      <c r="HGG4"/>
      <c r="HGI4"/>
      <c r="HGK4"/>
      <c r="HGM4"/>
      <c r="HGO4"/>
      <c r="HGQ4"/>
      <c r="HGS4"/>
      <c r="HGU4"/>
      <c r="HGW4"/>
      <c r="HGY4"/>
      <c r="HHA4"/>
      <c r="HHC4"/>
      <c r="HHE4"/>
      <c r="HHG4"/>
      <c r="HHI4"/>
      <c r="HHK4"/>
      <c r="HHM4"/>
      <c r="HHO4"/>
      <c r="HHQ4"/>
      <c r="HHS4"/>
      <c r="HHU4"/>
      <c r="HHW4"/>
      <c r="HHY4"/>
      <c r="HIA4"/>
      <c r="HIC4"/>
      <c r="HIE4"/>
      <c r="HIG4"/>
      <c r="HII4"/>
      <c r="HIK4"/>
      <c r="HIM4"/>
      <c r="HIO4"/>
      <c r="HIQ4"/>
      <c r="HIS4"/>
      <c r="HIU4"/>
      <c r="HIW4"/>
      <c r="HIY4"/>
      <c r="HJA4"/>
      <c r="HJC4"/>
      <c r="HJE4"/>
      <c r="HJG4"/>
      <c r="HJI4"/>
      <c r="HJK4"/>
      <c r="HJM4"/>
      <c r="HJO4"/>
      <c r="HJQ4"/>
      <c r="HJS4"/>
      <c r="HJU4"/>
      <c r="HJW4"/>
      <c r="HJY4"/>
      <c r="HKA4"/>
      <c r="HKC4"/>
      <c r="HKE4"/>
      <c r="HKG4"/>
      <c r="HKI4"/>
      <c r="HKK4"/>
      <c r="HKM4"/>
      <c r="HKO4"/>
      <c r="HKQ4"/>
      <c r="HKS4"/>
      <c r="HKU4"/>
      <c r="HKW4"/>
      <c r="HKY4"/>
      <c r="HLA4"/>
      <c r="HLC4"/>
      <c r="HLE4"/>
      <c r="HLG4"/>
      <c r="HLI4"/>
      <c r="HLK4"/>
      <c r="HLM4"/>
      <c r="HLO4"/>
      <c r="HLQ4"/>
      <c r="HLS4"/>
      <c r="HLU4"/>
      <c r="HLW4"/>
      <c r="HLY4"/>
      <c r="HMA4"/>
      <c r="HMC4"/>
      <c r="HME4"/>
      <c r="HMG4"/>
      <c r="HMI4"/>
      <c r="HMK4"/>
      <c r="HMM4"/>
      <c r="HMO4"/>
      <c r="HMQ4"/>
      <c r="HMS4"/>
      <c r="HMU4"/>
      <c r="HMW4"/>
      <c r="HMY4"/>
      <c r="HNA4"/>
      <c r="HNC4"/>
      <c r="HNE4"/>
      <c r="HNG4"/>
      <c r="HNI4"/>
      <c r="HNK4"/>
      <c r="HNM4"/>
      <c r="HNO4"/>
      <c r="HNQ4"/>
      <c r="HNS4"/>
      <c r="HNU4"/>
      <c r="HNW4"/>
      <c r="HNY4"/>
      <c r="HOA4"/>
      <c r="HOC4"/>
      <c r="HOE4"/>
      <c r="HOG4"/>
      <c r="HOI4"/>
      <c r="HOK4"/>
      <c r="HOM4"/>
      <c r="HOO4"/>
      <c r="HOQ4"/>
      <c r="HOS4"/>
      <c r="HOU4"/>
      <c r="HOW4"/>
      <c r="HOY4"/>
      <c r="HPA4"/>
      <c r="HPC4"/>
      <c r="HPE4"/>
      <c r="HPG4"/>
      <c r="HPI4"/>
      <c r="HPK4"/>
      <c r="HPM4"/>
      <c r="HPO4"/>
      <c r="HPQ4"/>
      <c r="HPS4"/>
      <c r="HPU4"/>
      <c r="HPW4"/>
      <c r="HPY4"/>
      <c r="HQA4"/>
      <c r="HQC4"/>
      <c r="HQE4"/>
      <c r="HQG4"/>
      <c r="HQI4"/>
      <c r="HQK4"/>
      <c r="HQM4"/>
      <c r="HQO4"/>
      <c r="HQQ4"/>
      <c r="HQS4"/>
      <c r="HQU4"/>
      <c r="HQW4"/>
      <c r="HQY4"/>
      <c r="HRA4"/>
      <c r="HRC4"/>
      <c r="HRE4"/>
      <c r="HRG4"/>
      <c r="HRI4"/>
      <c r="HRK4"/>
      <c r="HRM4"/>
      <c r="HRO4"/>
      <c r="HRQ4"/>
      <c r="HRS4"/>
      <c r="HRU4"/>
      <c r="HRW4"/>
      <c r="HRY4"/>
      <c r="HSA4"/>
      <c r="HSC4"/>
      <c r="HSE4"/>
      <c r="HSG4"/>
      <c r="HSI4"/>
      <c r="HSK4"/>
      <c r="HSM4"/>
      <c r="HSO4"/>
      <c r="HSQ4"/>
      <c r="HSS4"/>
      <c r="HSU4"/>
      <c r="HSW4"/>
      <c r="HSY4"/>
      <c r="HTA4"/>
      <c r="HTC4"/>
      <c r="HTE4"/>
      <c r="HTG4"/>
      <c r="HTI4"/>
      <c r="HTK4"/>
      <c r="HTM4"/>
      <c r="HTO4"/>
      <c r="HTQ4"/>
      <c r="HTS4"/>
      <c r="HTU4"/>
      <c r="HTW4"/>
      <c r="HTY4"/>
      <c r="HUA4"/>
      <c r="HUC4"/>
      <c r="HUE4"/>
      <c r="HUG4"/>
      <c r="HUI4"/>
      <c r="HUK4"/>
      <c r="HUM4"/>
      <c r="HUO4"/>
      <c r="HUQ4"/>
      <c r="HUS4"/>
      <c r="HUU4"/>
      <c r="HUW4"/>
      <c r="HUY4"/>
      <c r="HVA4"/>
      <c r="HVC4"/>
      <c r="HVE4"/>
      <c r="HVG4"/>
      <c r="HVI4"/>
      <c r="HVK4"/>
      <c r="HVM4"/>
      <c r="HVO4"/>
      <c r="HVQ4"/>
      <c r="HVS4"/>
      <c r="HVU4"/>
      <c r="HVW4"/>
      <c r="HVY4"/>
      <c r="HWA4"/>
      <c r="HWC4"/>
      <c r="HWE4"/>
      <c r="HWG4"/>
      <c r="HWI4"/>
      <c r="HWK4"/>
      <c r="HWM4"/>
      <c r="HWO4"/>
      <c r="HWQ4"/>
      <c r="HWS4"/>
      <c r="HWU4"/>
      <c r="HWW4"/>
      <c r="HWY4"/>
      <c r="HXA4"/>
      <c r="HXC4"/>
      <c r="HXE4"/>
      <c r="HXG4"/>
      <c r="HXI4"/>
      <c r="HXK4"/>
      <c r="HXM4"/>
      <c r="HXO4"/>
      <c r="HXQ4"/>
      <c r="HXS4"/>
      <c r="HXU4"/>
      <c r="HXW4"/>
      <c r="HXY4"/>
      <c r="HYA4"/>
      <c r="HYC4"/>
      <c r="HYE4"/>
      <c r="HYG4"/>
      <c r="HYI4"/>
      <c r="HYK4"/>
      <c r="HYM4"/>
      <c r="HYO4"/>
      <c r="HYQ4"/>
      <c r="HYS4"/>
      <c r="HYU4"/>
      <c r="HYW4"/>
      <c r="HYY4"/>
      <c r="HZA4"/>
      <c r="HZC4"/>
      <c r="HZE4"/>
      <c r="HZG4"/>
      <c r="HZI4"/>
      <c r="HZK4"/>
      <c r="HZM4"/>
      <c r="HZO4"/>
      <c r="HZQ4"/>
      <c r="HZS4"/>
      <c r="HZU4"/>
      <c r="HZW4"/>
      <c r="HZY4"/>
      <c r="IAA4"/>
      <c r="IAC4"/>
      <c r="IAE4"/>
      <c r="IAG4"/>
      <c r="IAI4"/>
      <c r="IAK4"/>
      <c r="IAM4"/>
      <c r="IAO4"/>
      <c r="IAQ4"/>
      <c r="IAS4"/>
      <c r="IAU4"/>
      <c r="IAW4"/>
      <c r="IAY4"/>
      <c r="IBA4"/>
      <c r="IBC4"/>
      <c r="IBE4"/>
      <c r="IBG4"/>
      <c r="IBI4"/>
      <c r="IBK4"/>
      <c r="IBM4"/>
      <c r="IBO4"/>
      <c r="IBQ4"/>
      <c r="IBS4"/>
      <c r="IBU4"/>
      <c r="IBW4"/>
      <c r="IBY4"/>
      <c r="ICA4"/>
      <c r="ICC4"/>
      <c r="ICE4"/>
      <c r="ICG4"/>
      <c r="ICI4"/>
      <c r="ICK4"/>
      <c r="ICM4"/>
      <c r="ICO4"/>
      <c r="ICQ4"/>
      <c r="ICS4"/>
      <c r="ICU4"/>
      <c r="ICW4"/>
      <c r="ICY4"/>
      <c r="IDA4"/>
      <c r="IDC4"/>
      <c r="IDE4"/>
      <c r="IDG4"/>
      <c r="IDI4"/>
      <c r="IDK4"/>
      <c r="IDM4"/>
      <c r="IDO4"/>
      <c r="IDQ4"/>
      <c r="IDS4"/>
      <c r="IDU4"/>
      <c r="IDW4"/>
      <c r="IDY4"/>
      <c r="IEA4"/>
      <c r="IEC4"/>
      <c r="IEE4"/>
      <c r="IEG4"/>
      <c r="IEI4"/>
      <c r="IEK4"/>
      <c r="IEM4"/>
      <c r="IEO4"/>
      <c r="IEQ4"/>
      <c r="IES4"/>
      <c r="IEU4"/>
      <c r="IEW4"/>
      <c r="IEY4"/>
      <c r="IFA4"/>
      <c r="IFC4"/>
      <c r="IFE4"/>
      <c r="IFG4"/>
      <c r="IFI4"/>
      <c r="IFK4"/>
      <c r="IFM4"/>
      <c r="IFO4"/>
      <c r="IFQ4"/>
      <c r="IFS4"/>
      <c r="IFU4"/>
      <c r="IFW4"/>
      <c r="IFY4"/>
      <c r="IGA4"/>
      <c r="IGC4"/>
      <c r="IGE4"/>
      <c r="IGG4"/>
      <c r="IGI4"/>
      <c r="IGK4"/>
      <c r="IGM4"/>
      <c r="IGO4"/>
      <c r="IGQ4"/>
      <c r="IGS4"/>
      <c r="IGU4"/>
      <c r="IGW4"/>
      <c r="IGY4"/>
      <c r="IHA4"/>
      <c r="IHC4"/>
      <c r="IHE4"/>
      <c r="IHG4"/>
      <c r="IHI4"/>
      <c r="IHK4"/>
      <c r="IHM4"/>
      <c r="IHO4"/>
      <c r="IHQ4"/>
      <c r="IHS4"/>
      <c r="IHU4"/>
      <c r="IHW4"/>
      <c r="IHY4"/>
      <c r="IIA4"/>
      <c r="IIC4"/>
      <c r="IIE4"/>
      <c r="IIG4"/>
      <c r="III4"/>
      <c r="IIK4"/>
      <c r="IIM4"/>
      <c r="IIO4"/>
      <c r="IIQ4"/>
      <c r="IIS4"/>
      <c r="IIU4"/>
      <c r="IIW4"/>
      <c r="IIY4"/>
      <c r="IJA4"/>
      <c r="IJC4"/>
      <c r="IJE4"/>
      <c r="IJG4"/>
      <c r="IJI4"/>
      <c r="IJK4"/>
      <c r="IJM4"/>
      <c r="IJO4"/>
      <c r="IJQ4"/>
      <c r="IJS4"/>
      <c r="IJU4"/>
      <c r="IJW4"/>
      <c r="IJY4"/>
      <c r="IKA4"/>
      <c r="IKC4"/>
      <c r="IKE4"/>
      <c r="IKG4"/>
      <c r="IKI4"/>
      <c r="IKK4"/>
      <c r="IKM4"/>
      <c r="IKO4"/>
      <c r="IKQ4"/>
      <c r="IKS4"/>
      <c r="IKU4"/>
      <c r="IKW4"/>
      <c r="IKY4"/>
      <c r="ILA4"/>
      <c r="ILC4"/>
      <c r="ILE4"/>
      <c r="ILG4"/>
      <c r="ILI4"/>
      <c r="ILK4"/>
      <c r="ILM4"/>
      <c r="ILO4"/>
      <c r="ILQ4"/>
      <c r="ILS4"/>
      <c r="ILU4"/>
      <c r="ILW4"/>
      <c r="ILY4"/>
      <c r="IMA4"/>
      <c r="IMC4"/>
      <c r="IME4"/>
      <c r="IMG4"/>
      <c r="IMI4"/>
      <c r="IMK4"/>
      <c r="IMM4"/>
      <c r="IMO4"/>
      <c r="IMQ4"/>
      <c r="IMS4"/>
      <c r="IMU4"/>
      <c r="IMW4"/>
      <c r="IMY4"/>
      <c r="INA4"/>
      <c r="INC4"/>
      <c r="INE4"/>
      <c r="ING4"/>
      <c r="INI4"/>
      <c r="INK4"/>
      <c r="INM4"/>
      <c r="INO4"/>
      <c r="INQ4"/>
      <c r="INS4"/>
      <c r="INU4"/>
      <c r="INW4"/>
      <c r="INY4"/>
      <c r="IOA4"/>
      <c r="IOC4"/>
      <c r="IOE4"/>
      <c r="IOG4"/>
      <c r="IOI4"/>
      <c r="IOK4"/>
      <c r="IOM4"/>
      <c r="IOO4"/>
      <c r="IOQ4"/>
      <c r="IOS4"/>
      <c r="IOU4"/>
      <c r="IOW4"/>
      <c r="IOY4"/>
      <c r="IPA4"/>
      <c r="IPC4"/>
      <c r="IPE4"/>
      <c r="IPG4"/>
      <c r="IPI4"/>
      <c r="IPK4"/>
      <c r="IPM4"/>
      <c r="IPO4"/>
      <c r="IPQ4"/>
      <c r="IPS4"/>
      <c r="IPU4"/>
      <c r="IPW4"/>
      <c r="IPY4"/>
      <c r="IQA4"/>
      <c r="IQC4"/>
      <c r="IQE4"/>
      <c r="IQG4"/>
      <c r="IQI4"/>
      <c r="IQK4"/>
      <c r="IQM4"/>
      <c r="IQO4"/>
      <c r="IQQ4"/>
      <c r="IQS4"/>
      <c r="IQU4"/>
      <c r="IQW4"/>
      <c r="IQY4"/>
      <c r="IRA4"/>
      <c r="IRC4"/>
      <c r="IRE4"/>
      <c r="IRG4"/>
      <c r="IRI4"/>
      <c r="IRK4"/>
      <c r="IRM4"/>
      <c r="IRO4"/>
      <c r="IRQ4"/>
      <c r="IRS4"/>
      <c r="IRU4"/>
      <c r="IRW4"/>
      <c r="IRY4"/>
      <c r="ISA4"/>
      <c r="ISC4"/>
      <c r="ISE4"/>
      <c r="ISG4"/>
      <c r="ISI4"/>
      <c r="ISK4"/>
      <c r="ISM4"/>
      <c r="ISO4"/>
      <c r="ISQ4"/>
      <c r="ISS4"/>
      <c r="ISU4"/>
      <c r="ISW4"/>
      <c r="ISY4"/>
      <c r="ITA4"/>
      <c r="ITC4"/>
      <c r="ITE4"/>
      <c r="ITG4"/>
      <c r="ITI4"/>
      <c r="ITK4"/>
      <c r="ITM4"/>
      <c r="ITO4"/>
      <c r="ITQ4"/>
      <c r="ITS4"/>
      <c r="ITU4"/>
      <c r="ITW4"/>
      <c r="ITY4"/>
      <c r="IUA4"/>
      <c r="IUC4"/>
      <c r="IUE4"/>
      <c r="IUG4"/>
      <c r="IUI4"/>
      <c r="IUK4"/>
      <c r="IUM4"/>
      <c r="IUO4"/>
      <c r="IUQ4"/>
      <c r="IUS4"/>
      <c r="IUU4"/>
      <c r="IUW4"/>
      <c r="IUY4"/>
      <c r="IVA4"/>
      <c r="IVC4"/>
      <c r="IVE4"/>
      <c r="IVG4"/>
      <c r="IVI4"/>
      <c r="IVK4"/>
      <c r="IVM4"/>
      <c r="IVO4"/>
      <c r="IVQ4"/>
      <c r="IVS4"/>
      <c r="IVU4"/>
      <c r="IVW4"/>
      <c r="IVY4"/>
      <c r="IWA4"/>
      <c r="IWC4"/>
      <c r="IWE4"/>
      <c r="IWG4"/>
      <c r="IWI4"/>
      <c r="IWK4"/>
      <c r="IWM4"/>
      <c r="IWO4"/>
      <c r="IWQ4"/>
      <c r="IWS4"/>
      <c r="IWU4"/>
      <c r="IWW4"/>
      <c r="IWY4"/>
      <c r="IXA4"/>
      <c r="IXC4"/>
      <c r="IXE4"/>
      <c r="IXG4"/>
      <c r="IXI4"/>
      <c r="IXK4"/>
      <c r="IXM4"/>
      <c r="IXO4"/>
      <c r="IXQ4"/>
      <c r="IXS4"/>
      <c r="IXU4"/>
      <c r="IXW4"/>
      <c r="IXY4"/>
      <c r="IYA4"/>
      <c r="IYC4"/>
      <c r="IYE4"/>
      <c r="IYG4"/>
      <c r="IYI4"/>
      <c r="IYK4"/>
      <c r="IYM4"/>
      <c r="IYO4"/>
      <c r="IYQ4"/>
      <c r="IYS4"/>
      <c r="IYU4"/>
      <c r="IYW4"/>
      <c r="IYY4"/>
      <c r="IZA4"/>
      <c r="IZC4"/>
      <c r="IZE4"/>
      <c r="IZG4"/>
      <c r="IZI4"/>
      <c r="IZK4"/>
      <c r="IZM4"/>
      <c r="IZO4"/>
      <c r="IZQ4"/>
      <c r="IZS4"/>
      <c r="IZU4"/>
      <c r="IZW4"/>
      <c r="IZY4"/>
      <c r="JAA4"/>
      <c r="JAC4"/>
      <c r="JAE4"/>
      <c r="JAG4"/>
      <c r="JAI4"/>
      <c r="JAK4"/>
      <c r="JAM4"/>
      <c r="JAO4"/>
      <c r="JAQ4"/>
      <c r="JAS4"/>
      <c r="JAU4"/>
      <c r="JAW4"/>
      <c r="JAY4"/>
      <c r="JBA4"/>
      <c r="JBC4"/>
      <c r="JBE4"/>
      <c r="JBG4"/>
      <c r="JBI4"/>
      <c r="JBK4"/>
      <c r="JBM4"/>
      <c r="JBO4"/>
      <c r="JBQ4"/>
      <c r="JBS4"/>
      <c r="JBU4"/>
      <c r="JBW4"/>
      <c r="JBY4"/>
      <c r="JCA4"/>
      <c r="JCC4"/>
      <c r="JCE4"/>
      <c r="JCG4"/>
      <c r="JCI4"/>
      <c r="JCK4"/>
      <c r="JCM4"/>
      <c r="JCO4"/>
      <c r="JCQ4"/>
      <c r="JCS4"/>
      <c r="JCU4"/>
      <c r="JCW4"/>
      <c r="JCY4"/>
      <c r="JDA4"/>
      <c r="JDC4"/>
      <c r="JDE4"/>
      <c r="JDG4"/>
      <c r="JDI4"/>
      <c r="JDK4"/>
      <c r="JDM4"/>
      <c r="JDO4"/>
      <c r="JDQ4"/>
      <c r="JDS4"/>
      <c r="JDU4"/>
      <c r="JDW4"/>
      <c r="JDY4"/>
      <c r="JEA4"/>
      <c r="JEC4"/>
      <c r="JEE4"/>
      <c r="JEG4"/>
      <c r="JEI4"/>
      <c r="JEK4"/>
      <c r="JEM4"/>
      <c r="JEO4"/>
      <c r="JEQ4"/>
      <c r="JES4"/>
      <c r="JEU4"/>
      <c r="JEW4"/>
      <c r="JEY4"/>
      <c r="JFA4"/>
      <c r="JFC4"/>
      <c r="JFE4"/>
      <c r="JFG4"/>
      <c r="JFI4"/>
      <c r="JFK4"/>
      <c r="JFM4"/>
      <c r="JFO4"/>
      <c r="JFQ4"/>
      <c r="JFS4"/>
      <c r="JFU4"/>
      <c r="JFW4"/>
      <c r="JFY4"/>
      <c r="JGA4"/>
      <c r="JGC4"/>
      <c r="JGE4"/>
      <c r="JGG4"/>
      <c r="JGI4"/>
      <c r="JGK4"/>
      <c r="JGM4"/>
      <c r="JGO4"/>
      <c r="JGQ4"/>
      <c r="JGS4"/>
      <c r="JGU4"/>
      <c r="JGW4"/>
      <c r="JGY4"/>
      <c r="JHA4"/>
      <c r="JHC4"/>
      <c r="JHE4"/>
      <c r="JHG4"/>
      <c r="JHI4"/>
      <c r="JHK4"/>
      <c r="JHM4"/>
      <c r="JHO4"/>
      <c r="JHQ4"/>
      <c r="JHS4"/>
      <c r="JHU4"/>
      <c r="JHW4"/>
      <c r="JHY4"/>
      <c r="JIA4"/>
      <c r="JIC4"/>
      <c r="JIE4"/>
      <c r="JIG4"/>
      <c r="JII4"/>
      <c r="JIK4"/>
      <c r="JIM4"/>
      <c r="JIO4"/>
      <c r="JIQ4"/>
      <c r="JIS4"/>
      <c r="JIU4"/>
      <c r="JIW4"/>
      <c r="JIY4"/>
      <c r="JJA4"/>
      <c r="JJC4"/>
      <c r="JJE4"/>
      <c r="JJG4"/>
      <c r="JJI4"/>
      <c r="JJK4"/>
      <c r="JJM4"/>
      <c r="JJO4"/>
      <c r="JJQ4"/>
      <c r="JJS4"/>
      <c r="JJU4"/>
      <c r="JJW4"/>
      <c r="JJY4"/>
      <c r="JKA4"/>
      <c r="JKC4"/>
      <c r="JKE4"/>
      <c r="JKG4"/>
      <c r="JKI4"/>
      <c r="JKK4"/>
      <c r="JKM4"/>
      <c r="JKO4"/>
      <c r="JKQ4"/>
      <c r="JKS4"/>
      <c r="JKU4"/>
      <c r="JKW4"/>
      <c r="JKY4"/>
      <c r="JLA4"/>
      <c r="JLC4"/>
      <c r="JLE4"/>
      <c r="JLG4"/>
      <c r="JLI4"/>
      <c r="JLK4"/>
      <c r="JLM4"/>
      <c r="JLO4"/>
      <c r="JLQ4"/>
      <c r="JLS4"/>
      <c r="JLU4"/>
      <c r="JLW4"/>
      <c r="JLY4"/>
      <c r="JMA4"/>
      <c r="JMC4"/>
      <c r="JME4"/>
      <c r="JMG4"/>
      <c r="JMI4"/>
      <c r="JMK4"/>
      <c r="JMM4"/>
      <c r="JMO4"/>
      <c r="JMQ4"/>
      <c r="JMS4"/>
      <c r="JMU4"/>
      <c r="JMW4"/>
      <c r="JMY4"/>
      <c r="JNA4"/>
      <c r="JNC4"/>
      <c r="JNE4"/>
      <c r="JNG4"/>
      <c r="JNI4"/>
      <c r="JNK4"/>
      <c r="JNM4"/>
      <c r="JNO4"/>
      <c r="JNQ4"/>
      <c r="JNS4"/>
      <c r="JNU4"/>
      <c r="JNW4"/>
      <c r="JNY4"/>
      <c r="JOA4"/>
      <c r="JOC4"/>
      <c r="JOE4"/>
      <c r="JOG4"/>
      <c r="JOI4"/>
      <c r="JOK4"/>
      <c r="JOM4"/>
      <c r="JOO4"/>
      <c r="JOQ4"/>
      <c r="JOS4"/>
      <c r="JOU4"/>
      <c r="JOW4"/>
      <c r="JOY4"/>
      <c r="JPA4"/>
      <c r="JPC4"/>
      <c r="JPE4"/>
      <c r="JPG4"/>
      <c r="JPI4"/>
      <c r="JPK4"/>
      <c r="JPM4"/>
      <c r="JPO4"/>
      <c r="JPQ4"/>
      <c r="JPS4"/>
      <c r="JPU4"/>
      <c r="JPW4"/>
      <c r="JPY4"/>
      <c r="JQA4"/>
      <c r="JQC4"/>
      <c r="JQE4"/>
      <c r="JQG4"/>
      <c r="JQI4"/>
      <c r="JQK4"/>
      <c r="JQM4"/>
      <c r="JQO4"/>
      <c r="JQQ4"/>
      <c r="JQS4"/>
      <c r="JQU4"/>
      <c r="JQW4"/>
      <c r="JQY4"/>
      <c r="JRA4"/>
      <c r="JRC4"/>
      <c r="JRE4"/>
      <c r="JRG4"/>
      <c r="JRI4"/>
      <c r="JRK4"/>
      <c r="JRM4"/>
      <c r="JRO4"/>
      <c r="JRQ4"/>
      <c r="JRS4"/>
      <c r="JRU4"/>
      <c r="JRW4"/>
      <c r="JRY4"/>
      <c r="JSA4"/>
      <c r="JSC4"/>
      <c r="JSE4"/>
      <c r="JSG4"/>
      <c r="JSI4"/>
      <c r="JSK4"/>
      <c r="JSM4"/>
      <c r="JSO4"/>
      <c r="JSQ4"/>
      <c r="JSS4"/>
      <c r="JSU4"/>
      <c r="JSW4"/>
      <c r="JSY4"/>
      <c r="JTA4"/>
      <c r="JTC4"/>
      <c r="JTE4"/>
      <c r="JTG4"/>
      <c r="JTI4"/>
      <c r="JTK4"/>
      <c r="JTM4"/>
      <c r="JTO4"/>
      <c r="JTQ4"/>
      <c r="JTS4"/>
      <c r="JTU4"/>
      <c r="JTW4"/>
      <c r="JTY4"/>
      <c r="JUA4"/>
      <c r="JUC4"/>
      <c r="JUE4"/>
      <c r="JUG4"/>
      <c r="JUI4"/>
      <c r="JUK4"/>
      <c r="JUM4"/>
      <c r="JUO4"/>
      <c r="JUQ4"/>
      <c r="JUS4"/>
      <c r="JUU4"/>
      <c r="JUW4"/>
      <c r="JUY4"/>
      <c r="JVA4"/>
      <c r="JVC4"/>
      <c r="JVE4"/>
      <c r="JVG4"/>
      <c r="JVI4"/>
      <c r="JVK4"/>
      <c r="JVM4"/>
      <c r="JVO4"/>
      <c r="JVQ4"/>
      <c r="JVS4"/>
      <c r="JVU4"/>
      <c r="JVW4"/>
      <c r="JVY4"/>
      <c r="JWA4"/>
      <c r="JWC4"/>
      <c r="JWE4"/>
      <c r="JWG4"/>
      <c r="JWI4"/>
      <c r="JWK4"/>
      <c r="JWM4"/>
      <c r="JWO4"/>
      <c r="JWQ4"/>
      <c r="JWS4"/>
      <c r="JWU4"/>
      <c r="JWW4"/>
      <c r="JWY4"/>
      <c r="JXA4"/>
      <c r="JXC4"/>
      <c r="JXE4"/>
      <c r="JXG4"/>
      <c r="JXI4"/>
      <c r="JXK4"/>
      <c r="JXM4"/>
      <c r="JXO4"/>
      <c r="JXQ4"/>
      <c r="JXS4"/>
      <c r="JXU4"/>
      <c r="JXW4"/>
      <c r="JXY4"/>
      <c r="JYA4"/>
      <c r="JYC4"/>
      <c r="JYE4"/>
      <c r="JYG4"/>
      <c r="JYI4"/>
      <c r="JYK4"/>
      <c r="JYM4"/>
      <c r="JYO4"/>
      <c r="JYQ4"/>
      <c r="JYS4"/>
      <c r="JYU4"/>
      <c r="JYW4"/>
      <c r="JYY4"/>
      <c r="JZA4"/>
      <c r="JZC4"/>
      <c r="JZE4"/>
      <c r="JZG4"/>
      <c r="JZI4"/>
      <c r="JZK4"/>
      <c r="JZM4"/>
      <c r="JZO4"/>
      <c r="JZQ4"/>
      <c r="JZS4"/>
      <c r="JZU4"/>
      <c r="JZW4"/>
      <c r="JZY4"/>
      <c r="KAA4"/>
      <c r="KAC4"/>
      <c r="KAE4"/>
      <c r="KAG4"/>
      <c r="KAI4"/>
      <c r="KAK4"/>
      <c r="KAM4"/>
      <c r="KAO4"/>
      <c r="KAQ4"/>
      <c r="KAS4"/>
      <c r="KAU4"/>
      <c r="KAW4"/>
      <c r="KAY4"/>
      <c r="KBA4"/>
      <c r="KBC4"/>
      <c r="KBE4"/>
      <c r="KBG4"/>
      <c r="KBI4"/>
      <c r="KBK4"/>
      <c r="KBM4"/>
      <c r="KBO4"/>
      <c r="KBQ4"/>
      <c r="KBS4"/>
      <c r="KBU4"/>
      <c r="KBW4"/>
      <c r="KBY4"/>
      <c r="KCA4"/>
      <c r="KCC4"/>
      <c r="KCE4"/>
      <c r="KCG4"/>
      <c r="KCI4"/>
      <c r="KCK4"/>
      <c r="KCM4"/>
      <c r="KCO4"/>
      <c r="KCQ4"/>
      <c r="KCS4"/>
      <c r="KCU4"/>
      <c r="KCW4"/>
      <c r="KCY4"/>
      <c r="KDA4"/>
      <c r="KDC4"/>
      <c r="KDE4"/>
      <c r="KDG4"/>
      <c r="KDI4"/>
      <c r="KDK4"/>
      <c r="KDM4"/>
      <c r="KDO4"/>
      <c r="KDQ4"/>
      <c r="KDS4"/>
      <c r="KDU4"/>
      <c r="KDW4"/>
      <c r="KDY4"/>
      <c r="KEA4"/>
      <c r="KEC4"/>
      <c r="KEE4"/>
      <c r="KEG4"/>
      <c r="KEI4"/>
      <c r="KEK4"/>
      <c r="KEM4"/>
      <c r="KEO4"/>
      <c r="KEQ4"/>
      <c r="KES4"/>
      <c r="KEU4"/>
      <c r="KEW4"/>
      <c r="KEY4"/>
      <c r="KFA4"/>
      <c r="KFC4"/>
      <c r="KFE4"/>
      <c r="KFG4"/>
      <c r="KFI4"/>
      <c r="KFK4"/>
      <c r="KFM4"/>
      <c r="KFO4"/>
      <c r="KFQ4"/>
      <c r="KFS4"/>
      <c r="KFU4"/>
      <c r="KFW4"/>
      <c r="KFY4"/>
      <c r="KGA4"/>
      <c r="KGC4"/>
      <c r="KGE4"/>
      <c r="KGG4"/>
      <c r="KGI4"/>
      <c r="KGK4"/>
      <c r="KGM4"/>
      <c r="KGO4"/>
      <c r="KGQ4"/>
      <c r="KGS4"/>
      <c r="KGU4"/>
      <c r="KGW4"/>
      <c r="KGY4"/>
      <c r="KHA4"/>
      <c r="KHC4"/>
      <c r="KHE4"/>
      <c r="KHG4"/>
      <c r="KHI4"/>
      <c r="KHK4"/>
      <c r="KHM4"/>
      <c r="KHO4"/>
      <c r="KHQ4"/>
      <c r="KHS4"/>
      <c r="KHU4"/>
      <c r="KHW4"/>
      <c r="KHY4"/>
      <c r="KIA4"/>
      <c r="KIC4"/>
      <c r="KIE4"/>
      <c r="KIG4"/>
      <c r="KII4"/>
      <c r="KIK4"/>
      <c r="KIM4"/>
      <c r="KIO4"/>
      <c r="KIQ4"/>
      <c r="KIS4"/>
      <c r="KIU4"/>
      <c r="KIW4"/>
      <c r="KIY4"/>
      <c r="KJA4"/>
      <c r="KJC4"/>
      <c r="KJE4"/>
      <c r="KJG4"/>
      <c r="KJI4"/>
      <c r="KJK4"/>
      <c r="KJM4"/>
      <c r="KJO4"/>
      <c r="KJQ4"/>
      <c r="KJS4"/>
      <c r="KJU4"/>
      <c r="KJW4"/>
      <c r="KJY4"/>
      <c r="KKA4"/>
      <c r="KKC4"/>
      <c r="KKE4"/>
      <c r="KKG4"/>
      <c r="KKI4"/>
      <c r="KKK4"/>
      <c r="KKM4"/>
      <c r="KKO4"/>
      <c r="KKQ4"/>
      <c r="KKS4"/>
      <c r="KKU4"/>
      <c r="KKW4"/>
      <c r="KKY4"/>
      <c r="KLA4"/>
      <c r="KLC4"/>
      <c r="KLE4"/>
      <c r="KLG4"/>
      <c r="KLI4"/>
      <c r="KLK4"/>
      <c r="KLM4"/>
      <c r="KLO4"/>
      <c r="KLQ4"/>
      <c r="KLS4"/>
      <c r="KLU4"/>
      <c r="KLW4"/>
      <c r="KLY4"/>
      <c r="KMA4"/>
      <c r="KMC4"/>
      <c r="KME4"/>
      <c r="KMG4"/>
      <c r="KMI4"/>
      <c r="KMK4"/>
      <c r="KMM4"/>
      <c r="KMO4"/>
      <c r="KMQ4"/>
      <c r="KMS4"/>
      <c r="KMU4"/>
      <c r="KMW4"/>
      <c r="KMY4"/>
      <c r="KNA4"/>
      <c r="KNC4"/>
      <c r="KNE4"/>
      <c r="KNG4"/>
      <c r="KNI4"/>
      <c r="KNK4"/>
      <c r="KNM4"/>
      <c r="KNO4"/>
      <c r="KNQ4"/>
      <c r="KNS4"/>
      <c r="KNU4"/>
      <c r="KNW4"/>
      <c r="KNY4"/>
      <c r="KOA4"/>
      <c r="KOC4"/>
      <c r="KOE4"/>
      <c r="KOG4"/>
      <c r="KOI4"/>
      <c r="KOK4"/>
      <c r="KOM4"/>
      <c r="KOO4"/>
      <c r="KOQ4"/>
      <c r="KOS4"/>
      <c r="KOU4"/>
      <c r="KOW4"/>
      <c r="KOY4"/>
      <c r="KPA4"/>
      <c r="KPC4"/>
      <c r="KPE4"/>
      <c r="KPG4"/>
      <c r="KPI4"/>
      <c r="KPK4"/>
      <c r="KPM4"/>
      <c r="KPO4"/>
      <c r="KPQ4"/>
      <c r="KPS4"/>
      <c r="KPU4"/>
      <c r="KPW4"/>
      <c r="KPY4"/>
      <c r="KQA4"/>
      <c r="KQC4"/>
      <c r="KQE4"/>
      <c r="KQG4"/>
      <c r="KQI4"/>
      <c r="KQK4"/>
      <c r="KQM4"/>
      <c r="KQO4"/>
      <c r="KQQ4"/>
      <c r="KQS4"/>
      <c r="KQU4"/>
      <c r="KQW4"/>
      <c r="KQY4"/>
      <c r="KRA4"/>
      <c r="KRC4"/>
      <c r="KRE4"/>
      <c r="KRG4"/>
      <c r="KRI4"/>
      <c r="KRK4"/>
      <c r="KRM4"/>
      <c r="KRO4"/>
      <c r="KRQ4"/>
      <c r="KRS4"/>
      <c r="KRU4"/>
      <c r="KRW4"/>
      <c r="KRY4"/>
      <c r="KSA4"/>
      <c r="KSC4"/>
      <c r="KSE4"/>
      <c r="KSG4"/>
      <c r="KSI4"/>
      <c r="KSK4"/>
      <c r="KSM4"/>
      <c r="KSO4"/>
      <c r="KSQ4"/>
      <c r="KSS4"/>
      <c r="KSU4"/>
      <c r="KSW4"/>
      <c r="KSY4"/>
      <c r="KTA4"/>
      <c r="KTC4"/>
      <c r="KTE4"/>
      <c r="KTG4"/>
      <c r="KTI4"/>
      <c r="KTK4"/>
      <c r="KTM4"/>
      <c r="KTO4"/>
      <c r="KTQ4"/>
      <c r="KTS4"/>
      <c r="KTU4"/>
      <c r="KTW4"/>
      <c r="KTY4"/>
      <c r="KUA4"/>
      <c r="KUC4"/>
      <c r="KUE4"/>
      <c r="KUG4"/>
      <c r="KUI4"/>
      <c r="KUK4"/>
      <c r="KUM4"/>
      <c r="KUO4"/>
      <c r="KUQ4"/>
      <c r="KUS4"/>
      <c r="KUU4"/>
      <c r="KUW4"/>
      <c r="KUY4"/>
      <c r="KVA4"/>
      <c r="KVC4"/>
      <c r="KVE4"/>
      <c r="KVG4"/>
      <c r="KVI4"/>
      <c r="KVK4"/>
      <c r="KVM4"/>
      <c r="KVO4"/>
      <c r="KVQ4"/>
      <c r="KVS4"/>
      <c r="KVU4"/>
      <c r="KVW4"/>
      <c r="KVY4"/>
      <c r="KWA4"/>
      <c r="KWC4"/>
      <c r="KWE4"/>
      <c r="KWG4"/>
      <c r="KWI4"/>
      <c r="KWK4"/>
      <c r="KWM4"/>
      <c r="KWO4"/>
      <c r="KWQ4"/>
      <c r="KWS4"/>
      <c r="KWU4"/>
      <c r="KWW4"/>
      <c r="KWY4"/>
      <c r="KXA4"/>
      <c r="KXC4"/>
      <c r="KXE4"/>
      <c r="KXG4"/>
      <c r="KXI4"/>
      <c r="KXK4"/>
      <c r="KXM4"/>
      <c r="KXO4"/>
      <c r="KXQ4"/>
      <c r="KXS4"/>
      <c r="KXU4"/>
      <c r="KXW4"/>
      <c r="KXY4"/>
      <c r="KYA4"/>
      <c r="KYC4"/>
      <c r="KYE4"/>
      <c r="KYG4"/>
      <c r="KYI4"/>
      <c r="KYK4"/>
      <c r="KYM4"/>
      <c r="KYO4"/>
      <c r="KYQ4"/>
      <c r="KYS4"/>
      <c r="KYU4"/>
      <c r="KYW4"/>
      <c r="KYY4"/>
      <c r="KZA4"/>
      <c r="KZC4"/>
      <c r="KZE4"/>
      <c r="KZG4"/>
      <c r="KZI4"/>
      <c r="KZK4"/>
      <c r="KZM4"/>
      <c r="KZO4"/>
      <c r="KZQ4"/>
      <c r="KZS4"/>
      <c r="KZU4"/>
      <c r="KZW4"/>
      <c r="KZY4"/>
      <c r="LAA4"/>
      <c r="LAC4"/>
      <c r="LAE4"/>
      <c r="LAG4"/>
      <c r="LAI4"/>
      <c r="LAK4"/>
      <c r="LAM4"/>
      <c r="LAO4"/>
      <c r="LAQ4"/>
      <c r="LAS4"/>
      <c r="LAU4"/>
      <c r="LAW4"/>
      <c r="LAY4"/>
      <c r="LBA4"/>
      <c r="LBC4"/>
      <c r="LBE4"/>
      <c r="LBG4"/>
      <c r="LBI4"/>
      <c r="LBK4"/>
      <c r="LBM4"/>
      <c r="LBO4"/>
      <c r="LBQ4"/>
      <c r="LBS4"/>
      <c r="LBU4"/>
      <c r="LBW4"/>
      <c r="LBY4"/>
      <c r="LCA4"/>
      <c r="LCC4"/>
      <c r="LCE4"/>
      <c r="LCG4"/>
      <c r="LCI4"/>
      <c r="LCK4"/>
      <c r="LCM4"/>
      <c r="LCO4"/>
      <c r="LCQ4"/>
      <c r="LCS4"/>
      <c r="LCU4"/>
      <c r="LCW4"/>
      <c r="LCY4"/>
      <c r="LDA4"/>
      <c r="LDC4"/>
      <c r="LDE4"/>
      <c r="LDG4"/>
      <c r="LDI4"/>
      <c r="LDK4"/>
      <c r="LDM4"/>
      <c r="LDO4"/>
      <c r="LDQ4"/>
      <c r="LDS4"/>
      <c r="LDU4"/>
      <c r="LDW4"/>
      <c r="LDY4"/>
      <c r="LEA4"/>
      <c r="LEC4"/>
      <c r="LEE4"/>
      <c r="LEG4"/>
      <c r="LEI4"/>
      <c r="LEK4"/>
      <c r="LEM4"/>
      <c r="LEO4"/>
      <c r="LEQ4"/>
      <c r="LES4"/>
      <c r="LEU4"/>
      <c r="LEW4"/>
      <c r="LEY4"/>
      <c r="LFA4"/>
      <c r="LFC4"/>
      <c r="LFE4"/>
      <c r="LFG4"/>
      <c r="LFI4"/>
      <c r="LFK4"/>
      <c r="LFM4"/>
      <c r="LFO4"/>
      <c r="LFQ4"/>
      <c r="LFS4"/>
      <c r="LFU4"/>
      <c r="LFW4"/>
      <c r="LFY4"/>
      <c r="LGA4"/>
      <c r="LGC4"/>
      <c r="LGE4"/>
      <c r="LGG4"/>
      <c r="LGI4"/>
      <c r="LGK4"/>
      <c r="LGM4"/>
      <c r="LGO4"/>
      <c r="LGQ4"/>
      <c r="LGS4"/>
      <c r="LGU4"/>
      <c r="LGW4"/>
      <c r="LGY4"/>
      <c r="LHA4"/>
      <c r="LHC4"/>
      <c r="LHE4"/>
      <c r="LHG4"/>
      <c r="LHI4"/>
      <c r="LHK4"/>
      <c r="LHM4"/>
      <c r="LHO4"/>
      <c r="LHQ4"/>
      <c r="LHS4"/>
      <c r="LHU4"/>
      <c r="LHW4"/>
      <c r="LHY4"/>
      <c r="LIA4"/>
      <c r="LIC4"/>
      <c r="LIE4"/>
      <c r="LIG4"/>
      <c r="LII4"/>
      <c r="LIK4"/>
      <c r="LIM4"/>
      <c r="LIO4"/>
      <c r="LIQ4"/>
      <c r="LIS4"/>
      <c r="LIU4"/>
      <c r="LIW4"/>
      <c r="LIY4"/>
      <c r="LJA4"/>
      <c r="LJC4"/>
      <c r="LJE4"/>
      <c r="LJG4"/>
      <c r="LJI4"/>
      <c r="LJK4"/>
      <c r="LJM4"/>
      <c r="LJO4"/>
      <c r="LJQ4"/>
      <c r="LJS4"/>
      <c r="LJU4"/>
      <c r="LJW4"/>
      <c r="LJY4"/>
      <c r="LKA4"/>
      <c r="LKC4"/>
      <c r="LKE4"/>
      <c r="LKG4"/>
      <c r="LKI4"/>
      <c r="LKK4"/>
      <c r="LKM4"/>
      <c r="LKO4"/>
      <c r="LKQ4"/>
      <c r="LKS4"/>
      <c r="LKU4"/>
      <c r="LKW4"/>
      <c r="LKY4"/>
      <c r="LLA4"/>
      <c r="LLC4"/>
      <c r="LLE4"/>
      <c r="LLG4"/>
      <c r="LLI4"/>
      <c r="LLK4"/>
      <c r="LLM4"/>
      <c r="LLO4"/>
      <c r="LLQ4"/>
      <c r="LLS4"/>
      <c r="LLU4"/>
      <c r="LLW4"/>
      <c r="LLY4"/>
      <c r="LMA4"/>
      <c r="LMC4"/>
      <c r="LME4"/>
      <c r="LMG4"/>
      <c r="LMI4"/>
      <c r="LMK4"/>
      <c r="LMM4"/>
      <c r="LMO4"/>
      <c r="LMQ4"/>
      <c r="LMS4"/>
      <c r="LMU4"/>
      <c r="LMW4"/>
      <c r="LMY4"/>
      <c r="LNA4"/>
      <c r="LNC4"/>
      <c r="LNE4"/>
      <c r="LNG4"/>
      <c r="LNI4"/>
      <c r="LNK4"/>
      <c r="LNM4"/>
      <c r="LNO4"/>
      <c r="LNQ4"/>
      <c r="LNS4"/>
      <c r="LNU4"/>
      <c r="LNW4"/>
      <c r="LNY4"/>
      <c r="LOA4"/>
      <c r="LOC4"/>
      <c r="LOE4"/>
      <c r="LOG4"/>
      <c r="LOI4"/>
      <c r="LOK4"/>
      <c r="LOM4"/>
      <c r="LOO4"/>
      <c r="LOQ4"/>
      <c r="LOS4"/>
      <c r="LOU4"/>
      <c r="LOW4"/>
      <c r="LOY4"/>
      <c r="LPA4"/>
      <c r="LPC4"/>
      <c r="LPE4"/>
      <c r="LPG4"/>
      <c r="LPI4"/>
      <c r="LPK4"/>
      <c r="LPM4"/>
      <c r="LPO4"/>
      <c r="LPQ4"/>
      <c r="LPS4"/>
      <c r="LPU4"/>
      <c r="LPW4"/>
      <c r="LPY4"/>
      <c r="LQA4"/>
      <c r="LQC4"/>
      <c r="LQE4"/>
      <c r="LQG4"/>
      <c r="LQI4"/>
      <c r="LQK4"/>
      <c r="LQM4"/>
      <c r="LQO4"/>
      <c r="LQQ4"/>
      <c r="LQS4"/>
      <c r="LQU4"/>
      <c r="LQW4"/>
      <c r="LQY4"/>
      <c r="LRA4"/>
      <c r="LRC4"/>
      <c r="LRE4"/>
      <c r="LRG4"/>
      <c r="LRI4"/>
      <c r="LRK4"/>
      <c r="LRM4"/>
      <c r="LRO4"/>
      <c r="LRQ4"/>
      <c r="LRS4"/>
      <c r="LRU4"/>
      <c r="LRW4"/>
      <c r="LRY4"/>
      <c r="LSA4"/>
      <c r="LSC4"/>
      <c r="LSE4"/>
      <c r="LSG4"/>
      <c r="LSI4"/>
      <c r="LSK4"/>
      <c r="LSM4"/>
      <c r="LSO4"/>
      <c r="LSQ4"/>
      <c r="LSS4"/>
      <c r="LSU4"/>
      <c r="LSW4"/>
      <c r="LSY4"/>
      <c r="LTA4"/>
      <c r="LTC4"/>
      <c r="LTE4"/>
      <c r="LTG4"/>
      <c r="LTI4"/>
      <c r="LTK4"/>
      <c r="LTM4"/>
      <c r="LTO4"/>
      <c r="LTQ4"/>
      <c r="LTS4"/>
      <c r="LTU4"/>
      <c r="LTW4"/>
      <c r="LTY4"/>
      <c r="LUA4"/>
      <c r="LUC4"/>
      <c r="LUE4"/>
      <c r="LUG4"/>
      <c r="LUI4"/>
      <c r="LUK4"/>
      <c r="LUM4"/>
      <c r="LUO4"/>
      <c r="LUQ4"/>
      <c r="LUS4"/>
      <c r="LUU4"/>
      <c r="LUW4"/>
      <c r="LUY4"/>
      <c r="LVA4"/>
      <c r="LVC4"/>
      <c r="LVE4"/>
      <c r="LVG4"/>
      <c r="LVI4"/>
      <c r="LVK4"/>
      <c r="LVM4"/>
      <c r="LVO4"/>
      <c r="LVQ4"/>
      <c r="LVS4"/>
      <c r="LVU4"/>
      <c r="LVW4"/>
      <c r="LVY4"/>
      <c r="LWA4"/>
      <c r="LWC4"/>
      <c r="LWE4"/>
      <c r="LWG4"/>
      <c r="LWI4"/>
      <c r="LWK4"/>
      <c r="LWM4"/>
      <c r="LWO4"/>
      <c r="LWQ4"/>
      <c r="LWS4"/>
      <c r="LWU4"/>
      <c r="LWW4"/>
      <c r="LWY4"/>
      <c r="LXA4"/>
      <c r="LXC4"/>
      <c r="LXE4"/>
      <c r="LXG4"/>
      <c r="LXI4"/>
      <c r="LXK4"/>
      <c r="LXM4"/>
      <c r="LXO4"/>
      <c r="LXQ4"/>
      <c r="LXS4"/>
      <c r="LXU4"/>
      <c r="LXW4"/>
      <c r="LXY4"/>
      <c r="LYA4"/>
      <c r="LYC4"/>
      <c r="LYE4"/>
      <c r="LYG4"/>
      <c r="LYI4"/>
      <c r="LYK4"/>
      <c r="LYM4"/>
      <c r="LYO4"/>
      <c r="LYQ4"/>
      <c r="LYS4"/>
      <c r="LYU4"/>
      <c r="LYW4"/>
      <c r="LYY4"/>
      <c r="LZA4"/>
      <c r="LZC4"/>
      <c r="LZE4"/>
      <c r="LZG4"/>
      <c r="LZI4"/>
      <c r="LZK4"/>
      <c r="LZM4"/>
      <c r="LZO4"/>
      <c r="LZQ4"/>
      <c r="LZS4"/>
      <c r="LZU4"/>
      <c r="LZW4"/>
      <c r="LZY4"/>
      <c r="MAA4"/>
      <c r="MAC4"/>
      <c r="MAE4"/>
      <c r="MAG4"/>
      <c r="MAI4"/>
      <c r="MAK4"/>
      <c r="MAM4"/>
      <c r="MAO4"/>
      <c r="MAQ4"/>
      <c r="MAS4"/>
      <c r="MAU4"/>
      <c r="MAW4"/>
      <c r="MAY4"/>
      <c r="MBA4"/>
      <c r="MBC4"/>
      <c r="MBE4"/>
      <c r="MBG4"/>
      <c r="MBI4"/>
      <c r="MBK4"/>
      <c r="MBM4"/>
      <c r="MBO4"/>
      <c r="MBQ4"/>
      <c r="MBS4"/>
      <c r="MBU4"/>
      <c r="MBW4"/>
      <c r="MBY4"/>
      <c r="MCA4"/>
      <c r="MCC4"/>
      <c r="MCE4"/>
      <c r="MCG4"/>
      <c r="MCI4"/>
      <c r="MCK4"/>
      <c r="MCM4"/>
      <c r="MCO4"/>
      <c r="MCQ4"/>
      <c r="MCS4"/>
      <c r="MCU4"/>
      <c r="MCW4"/>
      <c r="MCY4"/>
      <c r="MDA4"/>
      <c r="MDC4"/>
      <c r="MDE4"/>
      <c r="MDG4"/>
      <c r="MDI4"/>
      <c r="MDK4"/>
      <c r="MDM4"/>
      <c r="MDO4"/>
      <c r="MDQ4"/>
      <c r="MDS4"/>
      <c r="MDU4"/>
      <c r="MDW4"/>
      <c r="MDY4"/>
      <c r="MEA4"/>
      <c r="MEC4"/>
      <c r="MEE4"/>
      <c r="MEG4"/>
      <c r="MEI4"/>
      <c r="MEK4"/>
      <c r="MEM4"/>
      <c r="MEO4"/>
      <c r="MEQ4"/>
      <c r="MES4"/>
      <c r="MEU4"/>
      <c r="MEW4"/>
      <c r="MEY4"/>
      <c r="MFA4"/>
      <c r="MFC4"/>
      <c r="MFE4"/>
      <c r="MFG4"/>
      <c r="MFI4"/>
      <c r="MFK4"/>
      <c r="MFM4"/>
      <c r="MFO4"/>
      <c r="MFQ4"/>
      <c r="MFS4"/>
      <c r="MFU4"/>
      <c r="MFW4"/>
      <c r="MFY4"/>
      <c r="MGA4"/>
      <c r="MGC4"/>
      <c r="MGE4"/>
      <c r="MGG4"/>
      <c r="MGI4"/>
      <c r="MGK4"/>
      <c r="MGM4"/>
      <c r="MGO4"/>
      <c r="MGQ4"/>
      <c r="MGS4"/>
      <c r="MGU4"/>
      <c r="MGW4"/>
      <c r="MGY4"/>
      <c r="MHA4"/>
      <c r="MHC4"/>
      <c r="MHE4"/>
      <c r="MHG4"/>
      <c r="MHI4"/>
      <c r="MHK4"/>
      <c r="MHM4"/>
      <c r="MHO4"/>
      <c r="MHQ4"/>
      <c r="MHS4"/>
      <c r="MHU4"/>
      <c r="MHW4"/>
      <c r="MHY4"/>
      <c r="MIA4"/>
      <c r="MIC4"/>
      <c r="MIE4"/>
      <c r="MIG4"/>
      <c r="MII4"/>
      <c r="MIK4"/>
      <c r="MIM4"/>
      <c r="MIO4"/>
      <c r="MIQ4"/>
      <c r="MIS4"/>
      <c r="MIU4"/>
      <c r="MIW4"/>
      <c r="MIY4"/>
      <c r="MJA4"/>
      <c r="MJC4"/>
      <c r="MJE4"/>
      <c r="MJG4"/>
      <c r="MJI4"/>
      <c r="MJK4"/>
      <c r="MJM4"/>
      <c r="MJO4"/>
      <c r="MJQ4"/>
      <c r="MJS4"/>
      <c r="MJU4"/>
      <c r="MJW4"/>
      <c r="MJY4"/>
      <c r="MKA4"/>
      <c r="MKC4"/>
      <c r="MKE4"/>
      <c r="MKG4"/>
      <c r="MKI4"/>
      <c r="MKK4"/>
      <c r="MKM4"/>
      <c r="MKO4"/>
      <c r="MKQ4"/>
      <c r="MKS4"/>
      <c r="MKU4"/>
      <c r="MKW4"/>
      <c r="MKY4"/>
      <c r="MLA4"/>
      <c r="MLC4"/>
      <c r="MLE4"/>
      <c r="MLG4"/>
      <c r="MLI4"/>
      <c r="MLK4"/>
      <c r="MLM4"/>
      <c r="MLO4"/>
      <c r="MLQ4"/>
      <c r="MLS4"/>
      <c r="MLU4"/>
      <c r="MLW4"/>
      <c r="MLY4"/>
      <c r="MMA4"/>
      <c r="MMC4"/>
      <c r="MME4"/>
      <c r="MMG4"/>
      <c r="MMI4"/>
      <c r="MMK4"/>
      <c r="MMM4"/>
      <c r="MMO4"/>
      <c r="MMQ4"/>
      <c r="MMS4"/>
      <c r="MMU4"/>
      <c r="MMW4"/>
      <c r="MMY4"/>
      <c r="MNA4"/>
      <c r="MNC4"/>
      <c r="MNE4"/>
      <c r="MNG4"/>
      <c r="MNI4"/>
      <c r="MNK4"/>
      <c r="MNM4"/>
      <c r="MNO4"/>
      <c r="MNQ4"/>
      <c r="MNS4"/>
      <c r="MNU4"/>
      <c r="MNW4"/>
      <c r="MNY4"/>
      <c r="MOA4"/>
      <c r="MOC4"/>
      <c r="MOE4"/>
      <c r="MOG4"/>
      <c r="MOI4"/>
      <c r="MOK4"/>
      <c r="MOM4"/>
      <c r="MOO4"/>
      <c r="MOQ4"/>
      <c r="MOS4"/>
      <c r="MOU4"/>
      <c r="MOW4"/>
      <c r="MOY4"/>
      <c r="MPA4"/>
      <c r="MPC4"/>
      <c r="MPE4"/>
      <c r="MPG4"/>
      <c r="MPI4"/>
      <c r="MPK4"/>
      <c r="MPM4"/>
      <c r="MPO4"/>
      <c r="MPQ4"/>
      <c r="MPS4"/>
      <c r="MPU4"/>
      <c r="MPW4"/>
      <c r="MPY4"/>
      <c r="MQA4"/>
      <c r="MQC4"/>
      <c r="MQE4"/>
      <c r="MQG4"/>
      <c r="MQI4"/>
      <c r="MQK4"/>
      <c r="MQM4"/>
      <c r="MQO4"/>
      <c r="MQQ4"/>
      <c r="MQS4"/>
      <c r="MQU4"/>
      <c r="MQW4"/>
      <c r="MQY4"/>
      <c r="MRA4"/>
      <c r="MRC4"/>
      <c r="MRE4"/>
      <c r="MRG4"/>
      <c r="MRI4"/>
      <c r="MRK4"/>
      <c r="MRM4"/>
      <c r="MRO4"/>
      <c r="MRQ4"/>
      <c r="MRS4"/>
      <c r="MRU4"/>
      <c r="MRW4"/>
      <c r="MRY4"/>
      <c r="MSA4"/>
      <c r="MSC4"/>
      <c r="MSE4"/>
      <c r="MSG4"/>
      <c r="MSI4"/>
      <c r="MSK4"/>
      <c r="MSM4"/>
      <c r="MSO4"/>
      <c r="MSQ4"/>
      <c r="MSS4"/>
      <c r="MSU4"/>
      <c r="MSW4"/>
      <c r="MSY4"/>
      <c r="MTA4"/>
      <c r="MTC4"/>
      <c r="MTE4"/>
      <c r="MTG4"/>
      <c r="MTI4"/>
      <c r="MTK4"/>
      <c r="MTM4"/>
      <c r="MTO4"/>
      <c r="MTQ4"/>
      <c r="MTS4"/>
      <c r="MTU4"/>
      <c r="MTW4"/>
      <c r="MTY4"/>
      <c r="MUA4"/>
      <c r="MUC4"/>
      <c r="MUE4"/>
      <c r="MUG4"/>
      <c r="MUI4"/>
      <c r="MUK4"/>
      <c r="MUM4"/>
      <c r="MUO4"/>
      <c r="MUQ4"/>
      <c r="MUS4"/>
      <c r="MUU4"/>
      <c r="MUW4"/>
      <c r="MUY4"/>
      <c r="MVA4"/>
      <c r="MVC4"/>
      <c r="MVE4"/>
      <c r="MVG4"/>
      <c r="MVI4"/>
      <c r="MVK4"/>
      <c r="MVM4"/>
      <c r="MVO4"/>
      <c r="MVQ4"/>
      <c r="MVS4"/>
      <c r="MVU4"/>
      <c r="MVW4"/>
      <c r="MVY4"/>
      <c r="MWA4"/>
      <c r="MWC4"/>
      <c r="MWE4"/>
      <c r="MWG4"/>
      <c r="MWI4"/>
      <c r="MWK4"/>
      <c r="MWM4"/>
      <c r="MWO4"/>
      <c r="MWQ4"/>
      <c r="MWS4"/>
      <c r="MWU4"/>
      <c r="MWW4"/>
      <c r="MWY4"/>
      <c r="MXA4"/>
      <c r="MXC4"/>
      <c r="MXE4"/>
      <c r="MXG4"/>
      <c r="MXI4"/>
      <c r="MXK4"/>
      <c r="MXM4"/>
      <c r="MXO4"/>
      <c r="MXQ4"/>
      <c r="MXS4"/>
      <c r="MXU4"/>
      <c r="MXW4"/>
      <c r="MXY4"/>
      <c r="MYA4"/>
      <c r="MYC4"/>
      <c r="MYE4"/>
      <c r="MYG4"/>
      <c r="MYI4"/>
      <c r="MYK4"/>
      <c r="MYM4"/>
      <c r="MYO4"/>
      <c r="MYQ4"/>
      <c r="MYS4"/>
      <c r="MYU4"/>
      <c r="MYW4"/>
      <c r="MYY4"/>
      <c r="MZA4"/>
      <c r="MZC4"/>
      <c r="MZE4"/>
      <c r="MZG4"/>
      <c r="MZI4"/>
      <c r="MZK4"/>
      <c r="MZM4"/>
      <c r="MZO4"/>
      <c r="MZQ4"/>
      <c r="MZS4"/>
      <c r="MZU4"/>
      <c r="MZW4"/>
      <c r="MZY4"/>
      <c r="NAA4"/>
      <c r="NAC4"/>
      <c r="NAE4"/>
      <c r="NAG4"/>
      <c r="NAI4"/>
      <c r="NAK4"/>
      <c r="NAM4"/>
      <c r="NAO4"/>
      <c r="NAQ4"/>
      <c r="NAS4"/>
      <c r="NAU4"/>
      <c r="NAW4"/>
      <c r="NAY4"/>
      <c r="NBA4"/>
      <c r="NBC4"/>
      <c r="NBE4"/>
      <c r="NBG4"/>
      <c r="NBI4"/>
      <c r="NBK4"/>
      <c r="NBM4"/>
      <c r="NBO4"/>
      <c r="NBQ4"/>
      <c r="NBS4"/>
      <c r="NBU4"/>
      <c r="NBW4"/>
      <c r="NBY4"/>
      <c r="NCA4"/>
      <c r="NCC4"/>
      <c r="NCE4"/>
      <c r="NCG4"/>
      <c r="NCI4"/>
      <c r="NCK4"/>
      <c r="NCM4"/>
      <c r="NCO4"/>
      <c r="NCQ4"/>
      <c r="NCS4"/>
      <c r="NCU4"/>
      <c r="NCW4"/>
      <c r="NCY4"/>
      <c r="NDA4"/>
      <c r="NDC4"/>
      <c r="NDE4"/>
      <c r="NDG4"/>
      <c r="NDI4"/>
      <c r="NDK4"/>
      <c r="NDM4"/>
      <c r="NDO4"/>
      <c r="NDQ4"/>
      <c r="NDS4"/>
      <c r="NDU4"/>
      <c r="NDW4"/>
      <c r="NDY4"/>
      <c r="NEA4"/>
      <c r="NEC4"/>
      <c r="NEE4"/>
      <c r="NEG4"/>
      <c r="NEI4"/>
      <c r="NEK4"/>
      <c r="NEM4"/>
      <c r="NEO4"/>
      <c r="NEQ4"/>
      <c r="NES4"/>
      <c r="NEU4"/>
      <c r="NEW4"/>
      <c r="NEY4"/>
      <c r="NFA4"/>
      <c r="NFC4"/>
      <c r="NFE4"/>
      <c r="NFG4"/>
      <c r="NFI4"/>
      <c r="NFK4"/>
      <c r="NFM4"/>
      <c r="NFO4"/>
      <c r="NFQ4"/>
      <c r="NFS4"/>
      <c r="NFU4"/>
      <c r="NFW4"/>
      <c r="NFY4"/>
      <c r="NGA4"/>
      <c r="NGC4"/>
      <c r="NGE4"/>
      <c r="NGG4"/>
      <c r="NGI4"/>
      <c r="NGK4"/>
      <c r="NGM4"/>
      <c r="NGO4"/>
      <c r="NGQ4"/>
      <c r="NGS4"/>
      <c r="NGU4"/>
      <c r="NGW4"/>
      <c r="NGY4"/>
      <c r="NHA4"/>
      <c r="NHC4"/>
      <c r="NHE4"/>
      <c r="NHG4"/>
      <c r="NHI4"/>
      <c r="NHK4"/>
      <c r="NHM4"/>
      <c r="NHO4"/>
      <c r="NHQ4"/>
      <c r="NHS4"/>
      <c r="NHU4"/>
      <c r="NHW4"/>
      <c r="NHY4"/>
      <c r="NIA4"/>
      <c r="NIC4"/>
      <c r="NIE4"/>
      <c r="NIG4"/>
      <c r="NII4"/>
      <c r="NIK4"/>
      <c r="NIM4"/>
      <c r="NIO4"/>
      <c r="NIQ4"/>
      <c r="NIS4"/>
      <c r="NIU4"/>
      <c r="NIW4"/>
      <c r="NIY4"/>
      <c r="NJA4"/>
      <c r="NJC4"/>
      <c r="NJE4"/>
      <c r="NJG4"/>
      <c r="NJI4"/>
      <c r="NJK4"/>
      <c r="NJM4"/>
      <c r="NJO4"/>
      <c r="NJQ4"/>
      <c r="NJS4"/>
      <c r="NJU4"/>
      <c r="NJW4"/>
      <c r="NJY4"/>
      <c r="NKA4"/>
      <c r="NKC4"/>
      <c r="NKE4"/>
      <c r="NKG4"/>
      <c r="NKI4"/>
      <c r="NKK4"/>
      <c r="NKM4"/>
      <c r="NKO4"/>
      <c r="NKQ4"/>
      <c r="NKS4"/>
      <c r="NKU4"/>
      <c r="NKW4"/>
      <c r="NKY4"/>
      <c r="NLA4"/>
      <c r="NLC4"/>
      <c r="NLE4"/>
      <c r="NLG4"/>
      <c r="NLI4"/>
      <c r="NLK4"/>
      <c r="NLM4"/>
      <c r="NLO4"/>
      <c r="NLQ4"/>
      <c r="NLS4"/>
      <c r="NLU4"/>
      <c r="NLW4"/>
      <c r="NLY4"/>
      <c r="NMA4"/>
      <c r="NMC4"/>
      <c r="NME4"/>
      <c r="NMG4"/>
      <c r="NMI4"/>
      <c r="NMK4"/>
      <c r="NMM4"/>
      <c r="NMO4"/>
      <c r="NMQ4"/>
      <c r="NMS4"/>
      <c r="NMU4"/>
      <c r="NMW4"/>
      <c r="NMY4"/>
      <c r="NNA4"/>
      <c r="NNC4"/>
      <c r="NNE4"/>
      <c r="NNG4"/>
      <c r="NNI4"/>
      <c r="NNK4"/>
      <c r="NNM4"/>
      <c r="NNO4"/>
      <c r="NNQ4"/>
      <c r="NNS4"/>
      <c r="NNU4"/>
      <c r="NNW4"/>
      <c r="NNY4"/>
      <c r="NOA4"/>
      <c r="NOC4"/>
      <c r="NOE4"/>
      <c r="NOG4"/>
      <c r="NOI4"/>
      <c r="NOK4"/>
      <c r="NOM4"/>
      <c r="NOO4"/>
      <c r="NOQ4"/>
      <c r="NOS4"/>
      <c r="NOU4"/>
      <c r="NOW4"/>
      <c r="NOY4"/>
      <c r="NPA4"/>
      <c r="NPC4"/>
      <c r="NPE4"/>
      <c r="NPG4"/>
      <c r="NPI4"/>
      <c r="NPK4"/>
      <c r="NPM4"/>
      <c r="NPO4"/>
      <c r="NPQ4"/>
      <c r="NPS4"/>
      <c r="NPU4"/>
      <c r="NPW4"/>
      <c r="NPY4"/>
      <c r="NQA4"/>
      <c r="NQC4"/>
      <c r="NQE4"/>
      <c r="NQG4"/>
      <c r="NQI4"/>
      <c r="NQK4"/>
      <c r="NQM4"/>
      <c r="NQO4"/>
      <c r="NQQ4"/>
      <c r="NQS4"/>
      <c r="NQU4"/>
      <c r="NQW4"/>
      <c r="NQY4"/>
      <c r="NRA4"/>
      <c r="NRC4"/>
      <c r="NRE4"/>
      <c r="NRG4"/>
      <c r="NRI4"/>
      <c r="NRK4"/>
      <c r="NRM4"/>
      <c r="NRO4"/>
      <c r="NRQ4"/>
      <c r="NRS4"/>
      <c r="NRU4"/>
      <c r="NRW4"/>
      <c r="NRY4"/>
      <c r="NSA4"/>
      <c r="NSC4"/>
      <c r="NSE4"/>
      <c r="NSG4"/>
      <c r="NSI4"/>
      <c r="NSK4"/>
      <c r="NSM4"/>
      <c r="NSO4"/>
      <c r="NSQ4"/>
      <c r="NSS4"/>
      <c r="NSU4"/>
      <c r="NSW4"/>
      <c r="NSY4"/>
      <c r="NTA4"/>
      <c r="NTC4"/>
      <c r="NTE4"/>
      <c r="NTG4"/>
      <c r="NTI4"/>
      <c r="NTK4"/>
      <c r="NTM4"/>
      <c r="NTO4"/>
      <c r="NTQ4"/>
      <c r="NTS4"/>
      <c r="NTU4"/>
      <c r="NTW4"/>
      <c r="NTY4"/>
      <c r="NUA4"/>
      <c r="NUC4"/>
      <c r="NUE4"/>
      <c r="NUG4"/>
      <c r="NUI4"/>
      <c r="NUK4"/>
      <c r="NUM4"/>
      <c r="NUO4"/>
      <c r="NUQ4"/>
      <c r="NUS4"/>
      <c r="NUU4"/>
      <c r="NUW4"/>
      <c r="NUY4"/>
      <c r="NVA4"/>
      <c r="NVC4"/>
      <c r="NVE4"/>
      <c r="NVG4"/>
      <c r="NVI4"/>
      <c r="NVK4"/>
      <c r="NVM4"/>
      <c r="NVO4"/>
      <c r="NVQ4"/>
      <c r="NVS4"/>
      <c r="NVU4"/>
      <c r="NVW4"/>
      <c r="NVY4"/>
      <c r="NWA4"/>
      <c r="NWC4"/>
      <c r="NWE4"/>
      <c r="NWG4"/>
      <c r="NWI4"/>
      <c r="NWK4"/>
      <c r="NWM4"/>
      <c r="NWO4"/>
      <c r="NWQ4"/>
      <c r="NWS4"/>
      <c r="NWU4"/>
      <c r="NWW4"/>
      <c r="NWY4"/>
      <c r="NXA4"/>
      <c r="NXC4"/>
      <c r="NXE4"/>
      <c r="NXG4"/>
      <c r="NXI4"/>
      <c r="NXK4"/>
      <c r="NXM4"/>
      <c r="NXO4"/>
      <c r="NXQ4"/>
      <c r="NXS4"/>
      <c r="NXU4"/>
      <c r="NXW4"/>
      <c r="NXY4"/>
      <c r="NYA4"/>
      <c r="NYC4"/>
      <c r="NYE4"/>
      <c r="NYG4"/>
      <c r="NYI4"/>
      <c r="NYK4"/>
      <c r="NYM4"/>
      <c r="NYO4"/>
      <c r="NYQ4"/>
      <c r="NYS4"/>
      <c r="NYU4"/>
      <c r="NYW4"/>
      <c r="NYY4"/>
      <c r="NZA4"/>
      <c r="NZC4"/>
      <c r="NZE4"/>
      <c r="NZG4"/>
      <c r="NZI4"/>
      <c r="NZK4"/>
      <c r="NZM4"/>
      <c r="NZO4"/>
      <c r="NZQ4"/>
      <c r="NZS4"/>
      <c r="NZU4"/>
      <c r="NZW4"/>
      <c r="NZY4"/>
      <c r="OAA4"/>
      <c r="OAC4"/>
      <c r="OAE4"/>
      <c r="OAG4"/>
      <c r="OAI4"/>
      <c r="OAK4"/>
      <c r="OAM4"/>
      <c r="OAO4"/>
      <c r="OAQ4"/>
      <c r="OAS4"/>
      <c r="OAU4"/>
      <c r="OAW4"/>
      <c r="OAY4"/>
      <c r="OBA4"/>
      <c r="OBC4"/>
      <c r="OBE4"/>
      <c r="OBG4"/>
      <c r="OBI4"/>
      <c r="OBK4"/>
      <c r="OBM4"/>
      <c r="OBO4"/>
      <c r="OBQ4"/>
      <c r="OBS4"/>
      <c r="OBU4"/>
      <c r="OBW4"/>
      <c r="OBY4"/>
      <c r="OCA4"/>
      <c r="OCC4"/>
      <c r="OCE4"/>
      <c r="OCG4"/>
      <c r="OCI4"/>
      <c r="OCK4"/>
      <c r="OCM4"/>
      <c r="OCO4"/>
      <c r="OCQ4"/>
      <c r="OCS4"/>
      <c r="OCU4"/>
      <c r="OCW4"/>
      <c r="OCY4"/>
      <c r="ODA4"/>
      <c r="ODC4"/>
      <c r="ODE4"/>
      <c r="ODG4"/>
      <c r="ODI4"/>
      <c r="ODK4"/>
      <c r="ODM4"/>
      <c r="ODO4"/>
      <c r="ODQ4"/>
      <c r="ODS4"/>
      <c r="ODU4"/>
      <c r="ODW4"/>
      <c r="ODY4"/>
      <c r="OEA4"/>
      <c r="OEC4"/>
      <c r="OEE4"/>
      <c r="OEG4"/>
      <c r="OEI4"/>
      <c r="OEK4"/>
      <c r="OEM4"/>
      <c r="OEO4"/>
      <c r="OEQ4"/>
      <c r="OES4"/>
      <c r="OEU4"/>
      <c r="OEW4"/>
      <c r="OEY4"/>
      <c r="OFA4"/>
      <c r="OFC4"/>
      <c r="OFE4"/>
      <c r="OFG4"/>
      <c r="OFI4"/>
      <c r="OFK4"/>
      <c r="OFM4"/>
      <c r="OFO4"/>
      <c r="OFQ4"/>
      <c r="OFS4"/>
      <c r="OFU4"/>
      <c r="OFW4"/>
      <c r="OFY4"/>
      <c r="OGA4"/>
      <c r="OGC4"/>
      <c r="OGE4"/>
      <c r="OGG4"/>
      <c r="OGI4"/>
      <c r="OGK4"/>
      <c r="OGM4"/>
      <c r="OGO4"/>
      <c r="OGQ4"/>
      <c r="OGS4"/>
      <c r="OGU4"/>
      <c r="OGW4"/>
      <c r="OGY4"/>
      <c r="OHA4"/>
      <c r="OHC4"/>
      <c r="OHE4"/>
      <c r="OHG4"/>
      <c r="OHI4"/>
      <c r="OHK4"/>
      <c r="OHM4"/>
      <c r="OHO4"/>
      <c r="OHQ4"/>
      <c r="OHS4"/>
      <c r="OHU4"/>
      <c r="OHW4"/>
      <c r="OHY4"/>
      <c r="OIA4"/>
      <c r="OIC4"/>
      <c r="OIE4"/>
      <c r="OIG4"/>
      <c r="OII4"/>
      <c r="OIK4"/>
      <c r="OIM4"/>
      <c r="OIO4"/>
      <c r="OIQ4"/>
      <c r="OIS4"/>
      <c r="OIU4"/>
      <c r="OIW4"/>
      <c r="OIY4"/>
      <c r="OJA4"/>
      <c r="OJC4"/>
      <c r="OJE4"/>
      <c r="OJG4"/>
      <c r="OJI4"/>
      <c r="OJK4"/>
      <c r="OJM4"/>
      <c r="OJO4"/>
      <c r="OJQ4"/>
      <c r="OJS4"/>
      <c r="OJU4"/>
      <c r="OJW4"/>
      <c r="OJY4"/>
      <c r="OKA4"/>
      <c r="OKC4"/>
      <c r="OKE4"/>
      <c r="OKG4"/>
      <c r="OKI4"/>
      <c r="OKK4"/>
      <c r="OKM4"/>
      <c r="OKO4"/>
      <c r="OKQ4"/>
      <c r="OKS4"/>
      <c r="OKU4"/>
      <c r="OKW4"/>
      <c r="OKY4"/>
      <c r="OLA4"/>
      <c r="OLC4"/>
      <c r="OLE4"/>
      <c r="OLG4"/>
      <c r="OLI4"/>
      <c r="OLK4"/>
      <c r="OLM4"/>
      <c r="OLO4"/>
      <c r="OLQ4"/>
      <c r="OLS4"/>
      <c r="OLU4"/>
      <c r="OLW4"/>
      <c r="OLY4"/>
      <c r="OMA4"/>
      <c r="OMC4"/>
      <c r="OME4"/>
      <c r="OMG4"/>
      <c r="OMI4"/>
      <c r="OMK4"/>
      <c r="OMM4"/>
      <c r="OMO4"/>
      <c r="OMQ4"/>
      <c r="OMS4"/>
      <c r="OMU4"/>
      <c r="OMW4"/>
      <c r="OMY4"/>
      <c r="ONA4"/>
      <c r="ONC4"/>
      <c r="ONE4"/>
      <c r="ONG4"/>
      <c r="ONI4"/>
      <c r="ONK4"/>
      <c r="ONM4"/>
      <c r="ONO4"/>
      <c r="ONQ4"/>
      <c r="ONS4"/>
      <c r="ONU4"/>
      <c r="ONW4"/>
      <c r="ONY4"/>
      <c r="OOA4"/>
      <c r="OOC4"/>
      <c r="OOE4"/>
      <c r="OOG4"/>
      <c r="OOI4"/>
      <c r="OOK4"/>
      <c r="OOM4"/>
      <c r="OOO4"/>
      <c r="OOQ4"/>
      <c r="OOS4"/>
      <c r="OOU4"/>
      <c r="OOW4"/>
      <c r="OOY4"/>
      <c r="OPA4"/>
      <c r="OPC4"/>
      <c r="OPE4"/>
      <c r="OPG4"/>
      <c r="OPI4"/>
      <c r="OPK4"/>
      <c r="OPM4"/>
      <c r="OPO4"/>
      <c r="OPQ4"/>
      <c r="OPS4"/>
      <c r="OPU4"/>
      <c r="OPW4"/>
      <c r="OPY4"/>
      <c r="OQA4"/>
      <c r="OQC4"/>
      <c r="OQE4"/>
      <c r="OQG4"/>
      <c r="OQI4"/>
      <c r="OQK4"/>
      <c r="OQM4"/>
      <c r="OQO4"/>
      <c r="OQQ4"/>
      <c r="OQS4"/>
      <c r="OQU4"/>
      <c r="OQW4"/>
      <c r="OQY4"/>
      <c r="ORA4"/>
      <c r="ORC4"/>
      <c r="ORE4"/>
      <c r="ORG4"/>
      <c r="ORI4"/>
      <c r="ORK4"/>
      <c r="ORM4"/>
      <c r="ORO4"/>
      <c r="ORQ4"/>
      <c r="ORS4"/>
      <c r="ORU4"/>
      <c r="ORW4"/>
      <c r="ORY4"/>
      <c r="OSA4"/>
      <c r="OSC4"/>
      <c r="OSE4"/>
      <c r="OSG4"/>
      <c r="OSI4"/>
      <c r="OSK4"/>
      <c r="OSM4"/>
      <c r="OSO4"/>
      <c r="OSQ4"/>
      <c r="OSS4"/>
      <c r="OSU4"/>
      <c r="OSW4"/>
      <c r="OSY4"/>
      <c r="OTA4"/>
      <c r="OTC4"/>
      <c r="OTE4"/>
      <c r="OTG4"/>
      <c r="OTI4"/>
      <c r="OTK4"/>
      <c r="OTM4"/>
      <c r="OTO4"/>
      <c r="OTQ4"/>
      <c r="OTS4"/>
      <c r="OTU4"/>
      <c r="OTW4"/>
      <c r="OTY4"/>
      <c r="OUA4"/>
      <c r="OUC4"/>
      <c r="OUE4"/>
      <c r="OUG4"/>
      <c r="OUI4"/>
      <c r="OUK4"/>
      <c r="OUM4"/>
      <c r="OUO4"/>
      <c r="OUQ4"/>
      <c r="OUS4"/>
      <c r="OUU4"/>
      <c r="OUW4"/>
      <c r="OUY4"/>
      <c r="OVA4"/>
      <c r="OVC4"/>
      <c r="OVE4"/>
      <c r="OVG4"/>
      <c r="OVI4"/>
      <c r="OVK4"/>
      <c r="OVM4"/>
      <c r="OVO4"/>
      <c r="OVQ4"/>
      <c r="OVS4"/>
      <c r="OVU4"/>
      <c r="OVW4"/>
      <c r="OVY4"/>
      <c r="OWA4"/>
      <c r="OWC4"/>
      <c r="OWE4"/>
      <c r="OWG4"/>
      <c r="OWI4"/>
      <c r="OWK4"/>
      <c r="OWM4"/>
      <c r="OWO4"/>
      <c r="OWQ4"/>
      <c r="OWS4"/>
      <c r="OWU4"/>
      <c r="OWW4"/>
      <c r="OWY4"/>
      <c r="OXA4"/>
      <c r="OXC4"/>
      <c r="OXE4"/>
      <c r="OXG4"/>
      <c r="OXI4"/>
      <c r="OXK4"/>
      <c r="OXM4"/>
      <c r="OXO4"/>
      <c r="OXQ4"/>
      <c r="OXS4"/>
      <c r="OXU4"/>
      <c r="OXW4"/>
      <c r="OXY4"/>
      <c r="OYA4"/>
      <c r="OYC4"/>
      <c r="OYE4"/>
      <c r="OYG4"/>
      <c r="OYI4"/>
      <c r="OYK4"/>
      <c r="OYM4"/>
      <c r="OYO4"/>
      <c r="OYQ4"/>
      <c r="OYS4"/>
      <c r="OYU4"/>
      <c r="OYW4"/>
      <c r="OYY4"/>
      <c r="OZA4"/>
      <c r="OZC4"/>
      <c r="OZE4"/>
      <c r="OZG4"/>
      <c r="OZI4"/>
      <c r="OZK4"/>
      <c r="OZM4"/>
      <c r="OZO4"/>
      <c r="OZQ4"/>
      <c r="OZS4"/>
      <c r="OZU4"/>
      <c r="OZW4"/>
      <c r="OZY4"/>
      <c r="PAA4"/>
      <c r="PAC4"/>
      <c r="PAE4"/>
      <c r="PAG4"/>
      <c r="PAI4"/>
      <c r="PAK4"/>
      <c r="PAM4"/>
      <c r="PAO4"/>
      <c r="PAQ4"/>
      <c r="PAS4"/>
      <c r="PAU4"/>
      <c r="PAW4"/>
      <c r="PAY4"/>
      <c r="PBA4"/>
      <c r="PBC4"/>
      <c r="PBE4"/>
      <c r="PBG4"/>
      <c r="PBI4"/>
      <c r="PBK4"/>
      <c r="PBM4"/>
      <c r="PBO4"/>
      <c r="PBQ4"/>
      <c r="PBS4"/>
      <c r="PBU4"/>
      <c r="PBW4"/>
      <c r="PBY4"/>
      <c r="PCA4"/>
      <c r="PCC4"/>
      <c r="PCE4"/>
      <c r="PCG4"/>
      <c r="PCI4"/>
      <c r="PCK4"/>
      <c r="PCM4"/>
      <c r="PCO4"/>
      <c r="PCQ4"/>
      <c r="PCS4"/>
      <c r="PCU4"/>
      <c r="PCW4"/>
      <c r="PCY4"/>
      <c r="PDA4"/>
      <c r="PDC4"/>
      <c r="PDE4"/>
      <c r="PDG4"/>
      <c r="PDI4"/>
      <c r="PDK4"/>
      <c r="PDM4"/>
      <c r="PDO4"/>
      <c r="PDQ4"/>
      <c r="PDS4"/>
      <c r="PDU4"/>
      <c r="PDW4"/>
      <c r="PDY4"/>
      <c r="PEA4"/>
      <c r="PEC4"/>
      <c r="PEE4"/>
      <c r="PEG4"/>
      <c r="PEI4"/>
      <c r="PEK4"/>
      <c r="PEM4"/>
      <c r="PEO4"/>
      <c r="PEQ4"/>
      <c r="PES4"/>
      <c r="PEU4"/>
      <c r="PEW4"/>
      <c r="PEY4"/>
      <c r="PFA4"/>
      <c r="PFC4"/>
      <c r="PFE4"/>
      <c r="PFG4"/>
      <c r="PFI4"/>
      <c r="PFK4"/>
      <c r="PFM4"/>
      <c r="PFO4"/>
      <c r="PFQ4"/>
      <c r="PFS4"/>
      <c r="PFU4"/>
      <c r="PFW4"/>
      <c r="PFY4"/>
      <c r="PGA4"/>
      <c r="PGC4"/>
      <c r="PGE4"/>
      <c r="PGG4"/>
      <c r="PGI4"/>
      <c r="PGK4"/>
      <c r="PGM4"/>
      <c r="PGO4"/>
      <c r="PGQ4"/>
      <c r="PGS4"/>
      <c r="PGU4"/>
      <c r="PGW4"/>
      <c r="PGY4"/>
      <c r="PHA4"/>
      <c r="PHC4"/>
      <c r="PHE4"/>
      <c r="PHG4"/>
      <c r="PHI4"/>
      <c r="PHK4"/>
      <c r="PHM4"/>
      <c r="PHO4"/>
      <c r="PHQ4"/>
      <c r="PHS4"/>
      <c r="PHU4"/>
      <c r="PHW4"/>
      <c r="PHY4"/>
      <c r="PIA4"/>
      <c r="PIC4"/>
      <c r="PIE4"/>
      <c r="PIG4"/>
      <c r="PII4"/>
      <c r="PIK4"/>
      <c r="PIM4"/>
      <c r="PIO4"/>
      <c r="PIQ4"/>
      <c r="PIS4"/>
      <c r="PIU4"/>
      <c r="PIW4"/>
      <c r="PIY4"/>
      <c r="PJA4"/>
      <c r="PJC4"/>
      <c r="PJE4"/>
      <c r="PJG4"/>
      <c r="PJI4"/>
      <c r="PJK4"/>
      <c r="PJM4"/>
      <c r="PJO4"/>
      <c r="PJQ4"/>
      <c r="PJS4"/>
      <c r="PJU4"/>
      <c r="PJW4"/>
      <c r="PJY4"/>
      <c r="PKA4"/>
      <c r="PKC4"/>
      <c r="PKE4"/>
      <c r="PKG4"/>
      <c r="PKI4"/>
      <c r="PKK4"/>
      <c r="PKM4"/>
      <c r="PKO4"/>
      <c r="PKQ4"/>
      <c r="PKS4"/>
      <c r="PKU4"/>
      <c r="PKW4"/>
      <c r="PKY4"/>
      <c r="PLA4"/>
      <c r="PLC4"/>
      <c r="PLE4"/>
      <c r="PLG4"/>
      <c r="PLI4"/>
      <c r="PLK4"/>
      <c r="PLM4"/>
      <c r="PLO4"/>
      <c r="PLQ4"/>
      <c r="PLS4"/>
      <c r="PLU4"/>
      <c r="PLW4"/>
      <c r="PLY4"/>
      <c r="PMA4"/>
      <c r="PMC4"/>
      <c r="PME4"/>
      <c r="PMG4"/>
      <c r="PMI4"/>
      <c r="PMK4"/>
      <c r="PMM4"/>
      <c r="PMO4"/>
      <c r="PMQ4"/>
      <c r="PMS4"/>
      <c r="PMU4"/>
      <c r="PMW4"/>
      <c r="PMY4"/>
      <c r="PNA4"/>
      <c r="PNC4"/>
      <c r="PNE4"/>
      <c r="PNG4"/>
      <c r="PNI4"/>
      <c r="PNK4"/>
      <c r="PNM4"/>
      <c r="PNO4"/>
      <c r="PNQ4"/>
      <c r="PNS4"/>
      <c r="PNU4"/>
      <c r="PNW4"/>
      <c r="PNY4"/>
      <c r="POA4"/>
      <c r="POC4"/>
      <c r="POE4"/>
      <c r="POG4"/>
      <c r="POI4"/>
      <c r="POK4"/>
      <c r="POM4"/>
      <c r="POO4"/>
      <c r="POQ4"/>
      <c r="POS4"/>
      <c r="POU4"/>
      <c r="POW4"/>
      <c r="POY4"/>
      <c r="PPA4"/>
      <c r="PPC4"/>
      <c r="PPE4"/>
      <c r="PPG4"/>
      <c r="PPI4"/>
      <c r="PPK4"/>
      <c r="PPM4"/>
      <c r="PPO4"/>
      <c r="PPQ4"/>
      <c r="PPS4"/>
      <c r="PPU4"/>
      <c r="PPW4"/>
      <c r="PPY4"/>
      <c r="PQA4"/>
      <c r="PQC4"/>
      <c r="PQE4"/>
      <c r="PQG4"/>
      <c r="PQI4"/>
      <c r="PQK4"/>
      <c r="PQM4"/>
      <c r="PQO4"/>
      <c r="PQQ4"/>
      <c r="PQS4"/>
      <c r="PQU4"/>
      <c r="PQW4"/>
      <c r="PQY4"/>
      <c r="PRA4"/>
      <c r="PRC4"/>
      <c r="PRE4"/>
      <c r="PRG4"/>
      <c r="PRI4"/>
      <c r="PRK4"/>
      <c r="PRM4"/>
      <c r="PRO4"/>
      <c r="PRQ4"/>
      <c r="PRS4"/>
      <c r="PRU4"/>
      <c r="PRW4"/>
      <c r="PRY4"/>
      <c r="PSA4"/>
      <c r="PSC4"/>
      <c r="PSE4"/>
      <c r="PSG4"/>
      <c r="PSI4"/>
      <c r="PSK4"/>
      <c r="PSM4"/>
      <c r="PSO4"/>
      <c r="PSQ4"/>
      <c r="PSS4"/>
      <c r="PSU4"/>
      <c r="PSW4"/>
      <c r="PSY4"/>
      <c r="PTA4"/>
      <c r="PTC4"/>
      <c r="PTE4"/>
      <c r="PTG4"/>
      <c r="PTI4"/>
      <c r="PTK4"/>
      <c r="PTM4"/>
      <c r="PTO4"/>
      <c r="PTQ4"/>
      <c r="PTS4"/>
      <c r="PTU4"/>
      <c r="PTW4"/>
      <c r="PTY4"/>
      <c r="PUA4"/>
      <c r="PUC4"/>
      <c r="PUE4"/>
      <c r="PUG4"/>
      <c r="PUI4"/>
      <c r="PUK4"/>
      <c r="PUM4"/>
      <c r="PUO4"/>
      <c r="PUQ4"/>
      <c r="PUS4"/>
      <c r="PUU4"/>
      <c r="PUW4"/>
      <c r="PUY4"/>
      <c r="PVA4"/>
      <c r="PVC4"/>
      <c r="PVE4"/>
      <c r="PVG4"/>
      <c r="PVI4"/>
      <c r="PVK4"/>
      <c r="PVM4"/>
      <c r="PVO4"/>
      <c r="PVQ4"/>
      <c r="PVS4"/>
      <c r="PVU4"/>
      <c r="PVW4"/>
      <c r="PVY4"/>
      <c r="PWA4"/>
      <c r="PWC4"/>
      <c r="PWE4"/>
      <c r="PWG4"/>
      <c r="PWI4"/>
      <c r="PWK4"/>
      <c r="PWM4"/>
      <c r="PWO4"/>
      <c r="PWQ4"/>
      <c r="PWS4"/>
      <c r="PWU4"/>
      <c r="PWW4"/>
      <c r="PWY4"/>
      <c r="PXA4"/>
      <c r="PXC4"/>
      <c r="PXE4"/>
      <c r="PXG4"/>
      <c r="PXI4"/>
      <c r="PXK4"/>
      <c r="PXM4"/>
      <c r="PXO4"/>
      <c r="PXQ4"/>
      <c r="PXS4"/>
      <c r="PXU4"/>
      <c r="PXW4"/>
      <c r="PXY4"/>
      <c r="PYA4"/>
      <c r="PYC4"/>
      <c r="PYE4"/>
      <c r="PYG4"/>
      <c r="PYI4"/>
      <c r="PYK4"/>
      <c r="PYM4"/>
      <c r="PYO4"/>
      <c r="PYQ4"/>
      <c r="PYS4"/>
      <c r="PYU4"/>
      <c r="PYW4"/>
      <c r="PYY4"/>
      <c r="PZA4"/>
      <c r="PZC4"/>
      <c r="PZE4"/>
      <c r="PZG4"/>
      <c r="PZI4"/>
      <c r="PZK4"/>
      <c r="PZM4"/>
      <c r="PZO4"/>
      <c r="PZQ4"/>
      <c r="PZS4"/>
      <c r="PZU4"/>
      <c r="PZW4"/>
      <c r="PZY4"/>
      <c r="QAA4"/>
      <c r="QAC4"/>
      <c r="QAE4"/>
      <c r="QAG4"/>
      <c r="QAI4"/>
      <c r="QAK4"/>
      <c r="QAM4"/>
      <c r="QAO4"/>
      <c r="QAQ4"/>
      <c r="QAS4"/>
      <c r="QAU4"/>
      <c r="QAW4"/>
      <c r="QAY4"/>
      <c r="QBA4"/>
      <c r="QBC4"/>
      <c r="QBE4"/>
      <c r="QBG4"/>
      <c r="QBI4"/>
      <c r="QBK4"/>
      <c r="QBM4"/>
      <c r="QBO4"/>
      <c r="QBQ4"/>
      <c r="QBS4"/>
      <c r="QBU4"/>
      <c r="QBW4"/>
      <c r="QBY4"/>
      <c r="QCA4"/>
      <c r="QCC4"/>
      <c r="QCE4"/>
      <c r="QCG4"/>
      <c r="QCI4"/>
      <c r="QCK4"/>
      <c r="QCM4"/>
      <c r="QCO4"/>
      <c r="QCQ4"/>
      <c r="QCS4"/>
      <c r="QCU4"/>
      <c r="QCW4"/>
      <c r="QCY4"/>
      <c r="QDA4"/>
      <c r="QDC4"/>
      <c r="QDE4"/>
      <c r="QDG4"/>
      <c r="QDI4"/>
      <c r="QDK4"/>
      <c r="QDM4"/>
      <c r="QDO4"/>
      <c r="QDQ4"/>
      <c r="QDS4"/>
      <c r="QDU4"/>
      <c r="QDW4"/>
      <c r="QDY4"/>
      <c r="QEA4"/>
      <c r="QEC4"/>
      <c r="QEE4"/>
      <c r="QEG4"/>
      <c r="QEI4"/>
      <c r="QEK4"/>
      <c r="QEM4"/>
      <c r="QEO4"/>
      <c r="QEQ4"/>
      <c r="QES4"/>
      <c r="QEU4"/>
      <c r="QEW4"/>
      <c r="QEY4"/>
      <c r="QFA4"/>
      <c r="QFC4"/>
      <c r="QFE4"/>
      <c r="QFG4"/>
      <c r="QFI4"/>
      <c r="QFK4"/>
      <c r="QFM4"/>
      <c r="QFO4"/>
      <c r="QFQ4"/>
      <c r="QFS4"/>
      <c r="QFU4"/>
      <c r="QFW4"/>
      <c r="QFY4"/>
      <c r="QGA4"/>
      <c r="QGC4"/>
      <c r="QGE4"/>
      <c r="QGG4"/>
      <c r="QGI4"/>
      <c r="QGK4"/>
      <c r="QGM4"/>
      <c r="QGO4"/>
      <c r="QGQ4"/>
      <c r="QGS4"/>
      <c r="QGU4"/>
      <c r="QGW4"/>
      <c r="QGY4"/>
      <c r="QHA4"/>
      <c r="QHC4"/>
      <c r="QHE4"/>
      <c r="QHG4"/>
      <c r="QHI4"/>
      <c r="QHK4"/>
      <c r="QHM4"/>
      <c r="QHO4"/>
      <c r="QHQ4"/>
      <c r="QHS4"/>
      <c r="QHU4"/>
      <c r="QHW4"/>
      <c r="QHY4"/>
      <c r="QIA4"/>
      <c r="QIC4"/>
      <c r="QIE4"/>
      <c r="QIG4"/>
      <c r="QII4"/>
      <c r="QIK4"/>
      <c r="QIM4"/>
      <c r="QIO4"/>
      <c r="QIQ4"/>
      <c r="QIS4"/>
      <c r="QIU4"/>
      <c r="QIW4"/>
      <c r="QIY4"/>
      <c r="QJA4"/>
      <c r="QJC4"/>
      <c r="QJE4"/>
      <c r="QJG4"/>
      <c r="QJI4"/>
      <c r="QJK4"/>
      <c r="QJM4"/>
      <c r="QJO4"/>
      <c r="QJQ4"/>
      <c r="QJS4"/>
      <c r="QJU4"/>
      <c r="QJW4"/>
      <c r="QJY4"/>
      <c r="QKA4"/>
      <c r="QKC4"/>
      <c r="QKE4"/>
      <c r="QKG4"/>
      <c r="QKI4"/>
      <c r="QKK4"/>
      <c r="QKM4"/>
      <c r="QKO4"/>
      <c r="QKQ4"/>
      <c r="QKS4"/>
      <c r="QKU4"/>
      <c r="QKW4"/>
      <c r="QKY4"/>
      <c r="QLA4"/>
      <c r="QLC4"/>
      <c r="QLE4"/>
      <c r="QLG4"/>
      <c r="QLI4"/>
      <c r="QLK4"/>
      <c r="QLM4"/>
      <c r="QLO4"/>
      <c r="QLQ4"/>
      <c r="QLS4"/>
      <c r="QLU4"/>
      <c r="QLW4"/>
      <c r="QLY4"/>
      <c r="QMA4"/>
      <c r="QMC4"/>
      <c r="QME4"/>
      <c r="QMG4"/>
      <c r="QMI4"/>
      <c r="QMK4"/>
      <c r="QMM4"/>
      <c r="QMO4"/>
      <c r="QMQ4"/>
      <c r="QMS4"/>
      <c r="QMU4"/>
      <c r="QMW4"/>
      <c r="QMY4"/>
      <c r="QNA4"/>
      <c r="QNC4"/>
      <c r="QNE4"/>
      <c r="QNG4"/>
      <c r="QNI4"/>
      <c r="QNK4"/>
      <c r="QNM4"/>
      <c r="QNO4"/>
      <c r="QNQ4"/>
      <c r="QNS4"/>
      <c r="QNU4"/>
      <c r="QNW4"/>
      <c r="QNY4"/>
      <c r="QOA4"/>
      <c r="QOC4"/>
      <c r="QOE4"/>
      <c r="QOG4"/>
      <c r="QOI4"/>
      <c r="QOK4"/>
      <c r="QOM4"/>
      <c r="QOO4"/>
      <c r="QOQ4"/>
      <c r="QOS4"/>
      <c r="QOU4"/>
      <c r="QOW4"/>
      <c r="QOY4"/>
      <c r="QPA4"/>
      <c r="QPC4"/>
      <c r="QPE4"/>
      <c r="QPG4"/>
      <c r="QPI4"/>
      <c r="QPK4"/>
      <c r="QPM4"/>
      <c r="QPO4"/>
      <c r="QPQ4"/>
      <c r="QPS4"/>
      <c r="QPU4"/>
      <c r="QPW4"/>
      <c r="QPY4"/>
      <c r="QQA4"/>
      <c r="QQC4"/>
      <c r="QQE4"/>
      <c r="QQG4"/>
      <c r="QQI4"/>
      <c r="QQK4"/>
      <c r="QQM4"/>
      <c r="QQO4"/>
      <c r="QQQ4"/>
      <c r="QQS4"/>
      <c r="QQU4"/>
      <c r="QQW4"/>
      <c r="QQY4"/>
      <c r="QRA4"/>
      <c r="QRC4"/>
      <c r="QRE4"/>
      <c r="QRG4"/>
      <c r="QRI4"/>
      <c r="QRK4"/>
      <c r="QRM4"/>
      <c r="QRO4"/>
      <c r="QRQ4"/>
      <c r="QRS4"/>
      <c r="QRU4"/>
      <c r="QRW4"/>
      <c r="QRY4"/>
      <c r="QSA4"/>
      <c r="QSC4"/>
      <c r="QSE4"/>
      <c r="QSG4"/>
      <c r="QSI4"/>
      <c r="QSK4"/>
      <c r="QSM4"/>
      <c r="QSO4"/>
      <c r="QSQ4"/>
      <c r="QSS4"/>
      <c r="QSU4"/>
      <c r="QSW4"/>
      <c r="QSY4"/>
      <c r="QTA4"/>
      <c r="QTC4"/>
      <c r="QTE4"/>
      <c r="QTG4"/>
      <c r="QTI4"/>
      <c r="QTK4"/>
      <c r="QTM4"/>
      <c r="QTO4"/>
      <c r="QTQ4"/>
      <c r="QTS4"/>
      <c r="QTU4"/>
      <c r="QTW4"/>
      <c r="QTY4"/>
      <c r="QUA4"/>
      <c r="QUC4"/>
      <c r="QUE4"/>
      <c r="QUG4"/>
      <c r="QUI4"/>
      <c r="QUK4"/>
      <c r="QUM4"/>
      <c r="QUO4"/>
      <c r="QUQ4"/>
      <c r="QUS4"/>
      <c r="QUU4"/>
      <c r="QUW4"/>
      <c r="QUY4"/>
      <c r="QVA4"/>
      <c r="QVC4"/>
      <c r="QVE4"/>
      <c r="QVG4"/>
      <c r="QVI4"/>
      <c r="QVK4"/>
      <c r="QVM4"/>
      <c r="QVO4"/>
      <c r="QVQ4"/>
      <c r="QVS4"/>
      <c r="QVU4"/>
      <c r="QVW4"/>
      <c r="QVY4"/>
      <c r="QWA4"/>
      <c r="QWC4"/>
      <c r="QWE4"/>
      <c r="QWG4"/>
      <c r="QWI4"/>
      <c r="QWK4"/>
      <c r="QWM4"/>
      <c r="QWO4"/>
      <c r="QWQ4"/>
      <c r="QWS4"/>
      <c r="QWU4"/>
      <c r="QWW4"/>
      <c r="QWY4"/>
      <c r="QXA4"/>
      <c r="QXC4"/>
      <c r="QXE4"/>
      <c r="QXG4"/>
      <c r="QXI4"/>
      <c r="QXK4"/>
      <c r="QXM4"/>
      <c r="QXO4"/>
      <c r="QXQ4"/>
      <c r="QXS4"/>
      <c r="QXU4"/>
      <c r="QXW4"/>
      <c r="QXY4"/>
      <c r="QYA4"/>
      <c r="QYC4"/>
      <c r="QYE4"/>
      <c r="QYG4"/>
      <c r="QYI4"/>
      <c r="QYK4"/>
      <c r="QYM4"/>
      <c r="QYO4"/>
      <c r="QYQ4"/>
      <c r="QYS4"/>
      <c r="QYU4"/>
      <c r="QYW4"/>
      <c r="QYY4"/>
      <c r="QZA4"/>
      <c r="QZC4"/>
      <c r="QZE4"/>
      <c r="QZG4"/>
      <c r="QZI4"/>
      <c r="QZK4"/>
      <c r="QZM4"/>
      <c r="QZO4"/>
      <c r="QZQ4"/>
      <c r="QZS4"/>
      <c r="QZU4"/>
      <c r="QZW4"/>
      <c r="QZY4"/>
      <c r="RAA4"/>
      <c r="RAC4"/>
      <c r="RAE4"/>
      <c r="RAG4"/>
      <c r="RAI4"/>
      <c r="RAK4"/>
      <c r="RAM4"/>
      <c r="RAO4"/>
      <c r="RAQ4"/>
      <c r="RAS4"/>
      <c r="RAU4"/>
      <c r="RAW4"/>
      <c r="RAY4"/>
      <c r="RBA4"/>
      <c r="RBC4"/>
      <c r="RBE4"/>
      <c r="RBG4"/>
      <c r="RBI4"/>
      <c r="RBK4"/>
      <c r="RBM4"/>
      <c r="RBO4"/>
      <c r="RBQ4"/>
      <c r="RBS4"/>
      <c r="RBU4"/>
      <c r="RBW4"/>
      <c r="RBY4"/>
      <c r="RCA4"/>
      <c r="RCC4"/>
      <c r="RCE4"/>
      <c r="RCG4"/>
      <c r="RCI4"/>
      <c r="RCK4"/>
      <c r="RCM4"/>
      <c r="RCO4"/>
      <c r="RCQ4"/>
      <c r="RCS4"/>
      <c r="RCU4"/>
      <c r="RCW4"/>
      <c r="RCY4"/>
      <c r="RDA4"/>
      <c r="RDC4"/>
      <c r="RDE4"/>
      <c r="RDG4"/>
      <c r="RDI4"/>
      <c r="RDK4"/>
      <c r="RDM4"/>
      <c r="RDO4"/>
      <c r="RDQ4"/>
      <c r="RDS4"/>
      <c r="RDU4"/>
      <c r="RDW4"/>
      <c r="RDY4"/>
      <c r="REA4"/>
      <c r="REC4"/>
      <c r="REE4"/>
      <c r="REG4"/>
      <c r="REI4"/>
      <c r="REK4"/>
      <c r="REM4"/>
      <c r="REO4"/>
      <c r="REQ4"/>
      <c r="RES4"/>
      <c r="REU4"/>
      <c r="REW4"/>
      <c r="REY4"/>
      <c r="RFA4"/>
      <c r="RFC4"/>
      <c r="RFE4"/>
      <c r="RFG4"/>
      <c r="RFI4"/>
      <c r="RFK4"/>
      <c r="RFM4"/>
      <c r="RFO4"/>
      <c r="RFQ4"/>
      <c r="RFS4"/>
      <c r="RFU4"/>
      <c r="RFW4"/>
      <c r="RFY4"/>
      <c r="RGA4"/>
      <c r="RGC4"/>
      <c r="RGE4"/>
      <c r="RGG4"/>
      <c r="RGI4"/>
      <c r="RGK4"/>
      <c r="RGM4"/>
      <c r="RGO4"/>
      <c r="RGQ4"/>
      <c r="RGS4"/>
      <c r="RGU4"/>
      <c r="RGW4"/>
      <c r="RGY4"/>
      <c r="RHA4"/>
      <c r="RHC4"/>
      <c r="RHE4"/>
      <c r="RHG4"/>
      <c r="RHI4"/>
      <c r="RHK4"/>
      <c r="RHM4"/>
      <c r="RHO4"/>
      <c r="RHQ4"/>
      <c r="RHS4"/>
      <c r="RHU4"/>
      <c r="RHW4"/>
      <c r="RHY4"/>
      <c r="RIA4"/>
      <c r="RIC4"/>
      <c r="RIE4"/>
      <c r="RIG4"/>
      <c r="RII4"/>
      <c r="RIK4"/>
      <c r="RIM4"/>
      <c r="RIO4"/>
      <c r="RIQ4"/>
      <c r="RIS4"/>
      <c r="RIU4"/>
      <c r="RIW4"/>
      <c r="RIY4"/>
      <c r="RJA4"/>
      <c r="RJC4"/>
      <c r="RJE4"/>
      <c r="RJG4"/>
      <c r="RJI4"/>
      <c r="RJK4"/>
      <c r="RJM4"/>
      <c r="RJO4"/>
      <c r="RJQ4"/>
      <c r="RJS4"/>
      <c r="RJU4"/>
      <c r="RJW4"/>
      <c r="RJY4"/>
      <c r="RKA4"/>
      <c r="RKC4"/>
      <c r="RKE4"/>
      <c r="RKG4"/>
      <c r="RKI4"/>
      <c r="RKK4"/>
      <c r="RKM4"/>
      <c r="RKO4"/>
      <c r="RKQ4"/>
      <c r="RKS4"/>
      <c r="RKU4"/>
      <c r="RKW4"/>
      <c r="RKY4"/>
      <c r="RLA4"/>
      <c r="RLC4"/>
      <c r="RLE4"/>
      <c r="RLG4"/>
      <c r="RLI4"/>
      <c r="RLK4"/>
      <c r="RLM4"/>
      <c r="RLO4"/>
      <c r="RLQ4"/>
      <c r="RLS4"/>
      <c r="RLU4"/>
      <c r="RLW4"/>
      <c r="RLY4"/>
      <c r="RMA4"/>
      <c r="RMC4"/>
      <c r="RME4"/>
      <c r="RMG4"/>
      <c r="RMI4"/>
      <c r="RMK4"/>
      <c r="RMM4"/>
      <c r="RMO4"/>
      <c r="RMQ4"/>
      <c r="RMS4"/>
      <c r="RMU4"/>
      <c r="RMW4"/>
      <c r="RMY4"/>
      <c r="RNA4"/>
      <c r="RNC4"/>
      <c r="RNE4"/>
      <c r="RNG4"/>
      <c r="RNI4"/>
      <c r="RNK4"/>
      <c r="RNM4"/>
      <c r="RNO4"/>
      <c r="RNQ4"/>
      <c r="RNS4"/>
      <c r="RNU4"/>
      <c r="RNW4"/>
      <c r="RNY4"/>
      <c r="ROA4"/>
      <c r="ROC4"/>
      <c r="ROE4"/>
      <c r="ROG4"/>
      <c r="ROI4"/>
      <c r="ROK4"/>
      <c r="ROM4"/>
      <c r="ROO4"/>
      <c r="ROQ4"/>
      <c r="ROS4"/>
      <c r="ROU4"/>
      <c r="ROW4"/>
      <c r="ROY4"/>
      <c r="RPA4"/>
      <c r="RPC4"/>
      <c r="RPE4"/>
      <c r="RPG4"/>
      <c r="RPI4"/>
      <c r="RPK4"/>
      <c r="RPM4"/>
      <c r="RPO4"/>
      <c r="RPQ4"/>
      <c r="RPS4"/>
      <c r="RPU4"/>
      <c r="RPW4"/>
      <c r="RPY4"/>
      <c r="RQA4"/>
      <c r="RQC4"/>
      <c r="RQE4"/>
      <c r="RQG4"/>
      <c r="RQI4"/>
      <c r="RQK4"/>
      <c r="RQM4"/>
      <c r="RQO4"/>
      <c r="RQQ4"/>
      <c r="RQS4"/>
      <c r="RQU4"/>
      <c r="RQW4"/>
      <c r="RQY4"/>
      <c r="RRA4"/>
      <c r="RRC4"/>
      <c r="RRE4"/>
      <c r="RRG4"/>
      <c r="RRI4"/>
      <c r="RRK4"/>
      <c r="RRM4"/>
      <c r="RRO4"/>
      <c r="RRQ4"/>
      <c r="RRS4"/>
      <c r="RRU4"/>
      <c r="RRW4"/>
      <c r="RRY4"/>
      <c r="RSA4"/>
      <c r="RSC4"/>
      <c r="RSE4"/>
      <c r="RSG4"/>
      <c r="RSI4"/>
      <c r="RSK4"/>
      <c r="RSM4"/>
      <c r="RSO4"/>
      <c r="RSQ4"/>
      <c r="RSS4"/>
      <c r="RSU4"/>
      <c r="RSW4"/>
      <c r="RSY4"/>
      <c r="RTA4"/>
      <c r="RTC4"/>
      <c r="RTE4"/>
      <c r="RTG4"/>
      <c r="RTI4"/>
      <c r="RTK4"/>
      <c r="RTM4"/>
      <c r="RTO4"/>
      <c r="RTQ4"/>
      <c r="RTS4"/>
      <c r="RTU4"/>
      <c r="RTW4"/>
      <c r="RTY4"/>
      <c r="RUA4"/>
      <c r="RUC4"/>
      <c r="RUE4"/>
      <c r="RUG4"/>
      <c r="RUI4"/>
      <c r="RUK4"/>
      <c r="RUM4"/>
      <c r="RUO4"/>
      <c r="RUQ4"/>
      <c r="RUS4"/>
      <c r="RUU4"/>
      <c r="RUW4"/>
      <c r="RUY4"/>
      <c r="RVA4"/>
      <c r="RVC4"/>
      <c r="RVE4"/>
      <c r="RVG4"/>
      <c r="RVI4"/>
      <c r="RVK4"/>
      <c r="RVM4"/>
      <c r="RVO4"/>
      <c r="RVQ4"/>
      <c r="RVS4"/>
      <c r="RVU4"/>
      <c r="RVW4"/>
      <c r="RVY4"/>
      <c r="RWA4"/>
      <c r="RWC4"/>
      <c r="RWE4"/>
      <c r="RWG4"/>
      <c r="RWI4"/>
      <c r="RWK4"/>
      <c r="RWM4"/>
      <c r="RWO4"/>
      <c r="RWQ4"/>
      <c r="RWS4"/>
      <c r="RWU4"/>
      <c r="RWW4"/>
      <c r="RWY4"/>
      <c r="RXA4"/>
      <c r="RXC4"/>
      <c r="RXE4"/>
      <c r="RXG4"/>
      <c r="RXI4"/>
      <c r="RXK4"/>
      <c r="RXM4"/>
      <c r="RXO4"/>
      <c r="RXQ4"/>
      <c r="RXS4"/>
      <c r="RXU4"/>
      <c r="RXW4"/>
      <c r="RXY4"/>
      <c r="RYA4"/>
      <c r="RYC4"/>
      <c r="RYE4"/>
      <c r="RYG4"/>
      <c r="RYI4"/>
      <c r="RYK4"/>
      <c r="RYM4"/>
      <c r="RYO4"/>
      <c r="RYQ4"/>
      <c r="RYS4"/>
      <c r="RYU4"/>
      <c r="RYW4"/>
      <c r="RYY4"/>
      <c r="RZA4"/>
      <c r="RZC4"/>
      <c r="RZE4"/>
      <c r="RZG4"/>
      <c r="RZI4"/>
      <c r="RZK4"/>
      <c r="RZM4"/>
      <c r="RZO4"/>
      <c r="RZQ4"/>
      <c r="RZS4"/>
      <c r="RZU4"/>
      <c r="RZW4"/>
      <c r="RZY4"/>
      <c r="SAA4"/>
      <c r="SAC4"/>
      <c r="SAE4"/>
      <c r="SAG4"/>
      <c r="SAI4"/>
      <c r="SAK4"/>
      <c r="SAM4"/>
      <c r="SAO4"/>
      <c r="SAQ4"/>
      <c r="SAS4"/>
      <c r="SAU4"/>
      <c r="SAW4"/>
      <c r="SAY4"/>
      <c r="SBA4"/>
      <c r="SBC4"/>
      <c r="SBE4"/>
      <c r="SBG4"/>
      <c r="SBI4"/>
      <c r="SBK4"/>
      <c r="SBM4"/>
      <c r="SBO4"/>
      <c r="SBQ4"/>
      <c r="SBS4"/>
      <c r="SBU4"/>
      <c r="SBW4"/>
      <c r="SBY4"/>
      <c r="SCA4"/>
      <c r="SCC4"/>
      <c r="SCE4"/>
      <c r="SCG4"/>
      <c r="SCI4"/>
      <c r="SCK4"/>
      <c r="SCM4"/>
      <c r="SCO4"/>
      <c r="SCQ4"/>
      <c r="SCS4"/>
      <c r="SCU4"/>
      <c r="SCW4"/>
      <c r="SCY4"/>
      <c r="SDA4"/>
      <c r="SDC4"/>
      <c r="SDE4"/>
      <c r="SDG4"/>
      <c r="SDI4"/>
      <c r="SDK4"/>
      <c r="SDM4"/>
      <c r="SDO4"/>
      <c r="SDQ4"/>
      <c r="SDS4"/>
      <c r="SDU4"/>
      <c r="SDW4"/>
      <c r="SDY4"/>
      <c r="SEA4"/>
      <c r="SEC4"/>
      <c r="SEE4"/>
      <c r="SEG4"/>
      <c r="SEI4"/>
      <c r="SEK4"/>
      <c r="SEM4"/>
      <c r="SEO4"/>
      <c r="SEQ4"/>
      <c r="SES4"/>
      <c r="SEU4"/>
      <c r="SEW4"/>
      <c r="SEY4"/>
      <c r="SFA4"/>
      <c r="SFC4"/>
      <c r="SFE4"/>
      <c r="SFG4"/>
      <c r="SFI4"/>
      <c r="SFK4"/>
      <c r="SFM4"/>
      <c r="SFO4"/>
      <c r="SFQ4"/>
      <c r="SFS4"/>
      <c r="SFU4"/>
      <c r="SFW4"/>
      <c r="SFY4"/>
      <c r="SGA4"/>
      <c r="SGC4"/>
      <c r="SGE4"/>
      <c r="SGG4"/>
      <c r="SGI4"/>
      <c r="SGK4"/>
      <c r="SGM4"/>
      <c r="SGO4"/>
      <c r="SGQ4"/>
      <c r="SGS4"/>
      <c r="SGU4"/>
      <c r="SGW4"/>
      <c r="SGY4"/>
      <c r="SHA4"/>
      <c r="SHC4"/>
      <c r="SHE4"/>
      <c r="SHG4"/>
      <c r="SHI4"/>
      <c r="SHK4"/>
      <c r="SHM4"/>
      <c r="SHO4"/>
      <c r="SHQ4"/>
      <c r="SHS4"/>
      <c r="SHU4"/>
      <c r="SHW4"/>
      <c r="SHY4"/>
      <c r="SIA4"/>
      <c r="SIC4"/>
      <c r="SIE4"/>
      <c r="SIG4"/>
      <c r="SII4"/>
      <c r="SIK4"/>
      <c r="SIM4"/>
      <c r="SIO4"/>
      <c r="SIQ4"/>
      <c r="SIS4"/>
      <c r="SIU4"/>
      <c r="SIW4"/>
      <c r="SIY4"/>
      <c r="SJA4"/>
      <c r="SJC4"/>
      <c r="SJE4"/>
      <c r="SJG4"/>
      <c r="SJI4"/>
      <c r="SJK4"/>
      <c r="SJM4"/>
      <c r="SJO4"/>
      <c r="SJQ4"/>
      <c r="SJS4"/>
      <c r="SJU4"/>
      <c r="SJW4"/>
      <c r="SJY4"/>
      <c r="SKA4"/>
      <c r="SKC4"/>
      <c r="SKE4"/>
      <c r="SKG4"/>
      <c r="SKI4"/>
      <c r="SKK4"/>
      <c r="SKM4"/>
      <c r="SKO4"/>
      <c r="SKQ4"/>
      <c r="SKS4"/>
      <c r="SKU4"/>
      <c r="SKW4"/>
      <c r="SKY4"/>
      <c r="SLA4"/>
      <c r="SLC4"/>
      <c r="SLE4"/>
      <c r="SLG4"/>
      <c r="SLI4"/>
      <c r="SLK4"/>
      <c r="SLM4"/>
      <c r="SLO4"/>
      <c r="SLQ4"/>
      <c r="SLS4"/>
      <c r="SLU4"/>
      <c r="SLW4"/>
      <c r="SLY4"/>
      <c r="SMA4"/>
      <c r="SMC4"/>
      <c r="SME4"/>
      <c r="SMG4"/>
      <c r="SMI4"/>
      <c r="SMK4"/>
      <c r="SMM4"/>
      <c r="SMO4"/>
      <c r="SMQ4"/>
      <c r="SMS4"/>
      <c r="SMU4"/>
      <c r="SMW4"/>
      <c r="SMY4"/>
      <c r="SNA4"/>
      <c r="SNC4"/>
      <c r="SNE4"/>
      <c r="SNG4"/>
      <c r="SNI4"/>
      <c r="SNK4"/>
      <c r="SNM4"/>
      <c r="SNO4"/>
      <c r="SNQ4"/>
      <c r="SNS4"/>
      <c r="SNU4"/>
      <c r="SNW4"/>
      <c r="SNY4"/>
      <c r="SOA4"/>
      <c r="SOC4"/>
      <c r="SOE4"/>
      <c r="SOG4"/>
      <c r="SOI4"/>
      <c r="SOK4"/>
      <c r="SOM4"/>
      <c r="SOO4"/>
      <c r="SOQ4"/>
      <c r="SOS4"/>
      <c r="SOU4"/>
      <c r="SOW4"/>
      <c r="SOY4"/>
      <c r="SPA4"/>
      <c r="SPC4"/>
      <c r="SPE4"/>
      <c r="SPG4"/>
      <c r="SPI4"/>
      <c r="SPK4"/>
      <c r="SPM4"/>
      <c r="SPO4"/>
      <c r="SPQ4"/>
      <c r="SPS4"/>
      <c r="SPU4"/>
      <c r="SPW4"/>
      <c r="SPY4"/>
      <c r="SQA4"/>
      <c r="SQC4"/>
      <c r="SQE4"/>
      <c r="SQG4"/>
      <c r="SQI4"/>
      <c r="SQK4"/>
      <c r="SQM4"/>
      <c r="SQO4"/>
      <c r="SQQ4"/>
      <c r="SQS4"/>
      <c r="SQU4"/>
      <c r="SQW4"/>
      <c r="SQY4"/>
      <c r="SRA4"/>
      <c r="SRC4"/>
      <c r="SRE4"/>
      <c r="SRG4"/>
      <c r="SRI4"/>
      <c r="SRK4"/>
      <c r="SRM4"/>
      <c r="SRO4"/>
      <c r="SRQ4"/>
      <c r="SRS4"/>
      <c r="SRU4"/>
      <c r="SRW4"/>
      <c r="SRY4"/>
      <c r="SSA4"/>
      <c r="SSC4"/>
      <c r="SSE4"/>
      <c r="SSG4"/>
      <c r="SSI4"/>
      <c r="SSK4"/>
      <c r="SSM4"/>
      <c r="SSO4"/>
      <c r="SSQ4"/>
      <c r="SSS4"/>
      <c r="SSU4"/>
      <c r="SSW4"/>
      <c r="SSY4"/>
      <c r="STA4"/>
      <c r="STC4"/>
      <c r="STE4"/>
      <c r="STG4"/>
      <c r="STI4"/>
      <c r="STK4"/>
      <c r="STM4"/>
      <c r="STO4"/>
      <c r="STQ4"/>
      <c r="STS4"/>
      <c r="STU4"/>
      <c r="STW4"/>
      <c r="STY4"/>
      <c r="SUA4"/>
      <c r="SUC4"/>
      <c r="SUE4"/>
      <c r="SUG4"/>
      <c r="SUI4"/>
      <c r="SUK4"/>
      <c r="SUM4"/>
      <c r="SUO4"/>
      <c r="SUQ4"/>
      <c r="SUS4"/>
      <c r="SUU4"/>
      <c r="SUW4"/>
      <c r="SUY4"/>
      <c r="SVA4"/>
      <c r="SVC4"/>
      <c r="SVE4"/>
      <c r="SVG4"/>
      <c r="SVI4"/>
      <c r="SVK4"/>
      <c r="SVM4"/>
      <c r="SVO4"/>
      <c r="SVQ4"/>
      <c r="SVS4"/>
      <c r="SVU4"/>
      <c r="SVW4"/>
      <c r="SVY4"/>
      <c r="SWA4"/>
      <c r="SWC4"/>
      <c r="SWE4"/>
      <c r="SWG4"/>
      <c r="SWI4"/>
      <c r="SWK4"/>
      <c r="SWM4"/>
      <c r="SWO4"/>
      <c r="SWQ4"/>
      <c r="SWS4"/>
      <c r="SWU4"/>
      <c r="SWW4"/>
      <c r="SWY4"/>
      <c r="SXA4"/>
      <c r="SXC4"/>
      <c r="SXE4"/>
      <c r="SXG4"/>
      <c r="SXI4"/>
      <c r="SXK4"/>
      <c r="SXM4"/>
      <c r="SXO4"/>
      <c r="SXQ4"/>
      <c r="SXS4"/>
      <c r="SXU4"/>
      <c r="SXW4"/>
      <c r="SXY4"/>
      <c r="SYA4"/>
      <c r="SYC4"/>
      <c r="SYE4"/>
      <c r="SYG4"/>
      <c r="SYI4"/>
      <c r="SYK4"/>
      <c r="SYM4"/>
      <c r="SYO4"/>
      <c r="SYQ4"/>
      <c r="SYS4"/>
      <c r="SYU4"/>
      <c r="SYW4"/>
      <c r="SYY4"/>
      <c r="SZA4"/>
      <c r="SZC4"/>
      <c r="SZE4"/>
      <c r="SZG4"/>
      <c r="SZI4"/>
      <c r="SZK4"/>
      <c r="SZM4"/>
      <c r="SZO4"/>
      <c r="SZQ4"/>
      <c r="SZS4"/>
      <c r="SZU4"/>
      <c r="SZW4"/>
      <c r="SZY4"/>
      <c r="TAA4"/>
      <c r="TAC4"/>
      <c r="TAE4"/>
      <c r="TAG4"/>
      <c r="TAI4"/>
      <c r="TAK4"/>
      <c r="TAM4"/>
      <c r="TAO4"/>
      <c r="TAQ4"/>
      <c r="TAS4"/>
      <c r="TAU4"/>
      <c r="TAW4"/>
      <c r="TAY4"/>
      <c r="TBA4"/>
      <c r="TBC4"/>
      <c r="TBE4"/>
      <c r="TBG4"/>
      <c r="TBI4"/>
      <c r="TBK4"/>
      <c r="TBM4"/>
      <c r="TBO4"/>
      <c r="TBQ4"/>
      <c r="TBS4"/>
      <c r="TBU4"/>
      <c r="TBW4"/>
      <c r="TBY4"/>
      <c r="TCA4"/>
      <c r="TCC4"/>
      <c r="TCE4"/>
      <c r="TCG4"/>
      <c r="TCI4"/>
      <c r="TCK4"/>
      <c r="TCM4"/>
      <c r="TCO4"/>
      <c r="TCQ4"/>
      <c r="TCS4"/>
      <c r="TCU4"/>
      <c r="TCW4"/>
      <c r="TCY4"/>
      <c r="TDA4"/>
      <c r="TDC4"/>
      <c r="TDE4"/>
      <c r="TDG4"/>
      <c r="TDI4"/>
      <c r="TDK4"/>
      <c r="TDM4"/>
      <c r="TDO4"/>
      <c r="TDQ4"/>
      <c r="TDS4"/>
      <c r="TDU4"/>
      <c r="TDW4"/>
      <c r="TDY4"/>
      <c r="TEA4"/>
      <c r="TEC4"/>
      <c r="TEE4"/>
      <c r="TEG4"/>
      <c r="TEI4"/>
      <c r="TEK4"/>
      <c r="TEM4"/>
      <c r="TEO4"/>
      <c r="TEQ4"/>
      <c r="TES4"/>
      <c r="TEU4"/>
      <c r="TEW4"/>
      <c r="TEY4"/>
      <c r="TFA4"/>
      <c r="TFC4"/>
      <c r="TFE4"/>
      <c r="TFG4"/>
      <c r="TFI4"/>
      <c r="TFK4"/>
      <c r="TFM4"/>
      <c r="TFO4"/>
      <c r="TFQ4"/>
      <c r="TFS4"/>
      <c r="TFU4"/>
      <c r="TFW4"/>
      <c r="TFY4"/>
      <c r="TGA4"/>
      <c r="TGC4"/>
      <c r="TGE4"/>
      <c r="TGG4"/>
      <c r="TGI4"/>
      <c r="TGK4"/>
      <c r="TGM4"/>
      <c r="TGO4"/>
      <c r="TGQ4"/>
      <c r="TGS4"/>
      <c r="TGU4"/>
      <c r="TGW4"/>
      <c r="TGY4"/>
      <c r="THA4"/>
      <c r="THC4"/>
      <c r="THE4"/>
      <c r="THG4"/>
      <c r="THI4"/>
      <c r="THK4"/>
      <c r="THM4"/>
      <c r="THO4"/>
      <c r="THQ4"/>
      <c r="THS4"/>
      <c r="THU4"/>
      <c r="THW4"/>
      <c r="THY4"/>
      <c r="TIA4"/>
      <c r="TIC4"/>
      <c r="TIE4"/>
      <c r="TIG4"/>
      <c r="TII4"/>
      <c r="TIK4"/>
      <c r="TIM4"/>
      <c r="TIO4"/>
      <c r="TIQ4"/>
      <c r="TIS4"/>
      <c r="TIU4"/>
      <c r="TIW4"/>
      <c r="TIY4"/>
      <c r="TJA4"/>
      <c r="TJC4"/>
      <c r="TJE4"/>
      <c r="TJG4"/>
      <c r="TJI4"/>
      <c r="TJK4"/>
      <c r="TJM4"/>
      <c r="TJO4"/>
      <c r="TJQ4"/>
      <c r="TJS4"/>
      <c r="TJU4"/>
      <c r="TJW4"/>
      <c r="TJY4"/>
      <c r="TKA4"/>
      <c r="TKC4"/>
      <c r="TKE4"/>
      <c r="TKG4"/>
      <c r="TKI4"/>
      <c r="TKK4"/>
      <c r="TKM4"/>
      <c r="TKO4"/>
      <c r="TKQ4"/>
      <c r="TKS4"/>
      <c r="TKU4"/>
      <c r="TKW4"/>
      <c r="TKY4"/>
      <c r="TLA4"/>
      <c r="TLC4"/>
      <c r="TLE4"/>
      <c r="TLG4"/>
      <c r="TLI4"/>
      <c r="TLK4"/>
      <c r="TLM4"/>
      <c r="TLO4"/>
      <c r="TLQ4"/>
      <c r="TLS4"/>
      <c r="TLU4"/>
      <c r="TLW4"/>
      <c r="TLY4"/>
      <c r="TMA4"/>
      <c r="TMC4"/>
      <c r="TME4"/>
      <c r="TMG4"/>
      <c r="TMI4"/>
      <c r="TMK4"/>
      <c r="TMM4"/>
      <c r="TMO4"/>
      <c r="TMQ4"/>
      <c r="TMS4"/>
      <c r="TMU4"/>
      <c r="TMW4"/>
      <c r="TMY4"/>
      <c r="TNA4"/>
      <c r="TNC4"/>
      <c r="TNE4"/>
      <c r="TNG4"/>
      <c r="TNI4"/>
      <c r="TNK4"/>
      <c r="TNM4"/>
      <c r="TNO4"/>
      <c r="TNQ4"/>
      <c r="TNS4"/>
      <c r="TNU4"/>
      <c r="TNW4"/>
      <c r="TNY4"/>
      <c r="TOA4"/>
      <c r="TOC4"/>
      <c r="TOE4"/>
      <c r="TOG4"/>
      <c r="TOI4"/>
      <c r="TOK4"/>
      <c r="TOM4"/>
      <c r="TOO4"/>
      <c r="TOQ4"/>
      <c r="TOS4"/>
      <c r="TOU4"/>
      <c r="TOW4"/>
      <c r="TOY4"/>
      <c r="TPA4"/>
      <c r="TPC4"/>
      <c r="TPE4"/>
      <c r="TPG4"/>
      <c r="TPI4"/>
      <c r="TPK4"/>
      <c r="TPM4"/>
      <c r="TPO4"/>
      <c r="TPQ4"/>
      <c r="TPS4"/>
      <c r="TPU4"/>
      <c r="TPW4"/>
      <c r="TPY4"/>
      <c r="TQA4"/>
      <c r="TQC4"/>
      <c r="TQE4"/>
      <c r="TQG4"/>
      <c r="TQI4"/>
      <c r="TQK4"/>
      <c r="TQM4"/>
      <c r="TQO4"/>
      <c r="TQQ4"/>
      <c r="TQS4"/>
      <c r="TQU4"/>
      <c r="TQW4"/>
      <c r="TQY4"/>
      <c r="TRA4"/>
      <c r="TRC4"/>
      <c r="TRE4"/>
      <c r="TRG4"/>
      <c r="TRI4"/>
      <c r="TRK4"/>
      <c r="TRM4"/>
      <c r="TRO4"/>
      <c r="TRQ4"/>
      <c r="TRS4"/>
      <c r="TRU4"/>
      <c r="TRW4"/>
      <c r="TRY4"/>
      <c r="TSA4"/>
      <c r="TSC4"/>
      <c r="TSE4"/>
      <c r="TSG4"/>
      <c r="TSI4"/>
      <c r="TSK4"/>
      <c r="TSM4"/>
      <c r="TSO4"/>
      <c r="TSQ4"/>
      <c r="TSS4"/>
      <c r="TSU4"/>
      <c r="TSW4"/>
      <c r="TSY4"/>
      <c r="TTA4"/>
      <c r="TTC4"/>
      <c r="TTE4"/>
      <c r="TTG4"/>
      <c r="TTI4"/>
      <c r="TTK4"/>
      <c r="TTM4"/>
      <c r="TTO4"/>
      <c r="TTQ4"/>
      <c r="TTS4"/>
      <c r="TTU4"/>
      <c r="TTW4"/>
      <c r="TTY4"/>
      <c r="TUA4"/>
      <c r="TUC4"/>
      <c r="TUE4"/>
      <c r="TUG4"/>
      <c r="TUI4"/>
      <c r="TUK4"/>
      <c r="TUM4"/>
      <c r="TUO4"/>
      <c r="TUQ4"/>
      <c r="TUS4"/>
      <c r="TUU4"/>
      <c r="TUW4"/>
      <c r="TUY4"/>
      <c r="TVA4"/>
      <c r="TVC4"/>
      <c r="TVE4"/>
      <c r="TVG4"/>
      <c r="TVI4"/>
      <c r="TVK4"/>
      <c r="TVM4"/>
      <c r="TVO4"/>
      <c r="TVQ4"/>
      <c r="TVS4"/>
      <c r="TVU4"/>
      <c r="TVW4"/>
      <c r="TVY4"/>
      <c r="TWA4"/>
      <c r="TWC4"/>
      <c r="TWE4"/>
      <c r="TWG4"/>
      <c r="TWI4"/>
      <c r="TWK4"/>
      <c r="TWM4"/>
      <c r="TWO4"/>
      <c r="TWQ4"/>
      <c r="TWS4"/>
      <c r="TWU4"/>
      <c r="TWW4"/>
      <c r="TWY4"/>
      <c r="TXA4"/>
      <c r="TXC4"/>
      <c r="TXE4"/>
      <c r="TXG4"/>
      <c r="TXI4"/>
      <c r="TXK4"/>
      <c r="TXM4"/>
      <c r="TXO4"/>
      <c r="TXQ4"/>
      <c r="TXS4"/>
      <c r="TXU4"/>
      <c r="TXW4"/>
      <c r="TXY4"/>
      <c r="TYA4"/>
      <c r="TYC4"/>
      <c r="TYE4"/>
      <c r="TYG4"/>
      <c r="TYI4"/>
      <c r="TYK4"/>
      <c r="TYM4"/>
      <c r="TYO4"/>
      <c r="TYQ4"/>
      <c r="TYS4"/>
      <c r="TYU4"/>
      <c r="TYW4"/>
      <c r="TYY4"/>
      <c r="TZA4"/>
      <c r="TZC4"/>
      <c r="TZE4"/>
      <c r="TZG4"/>
      <c r="TZI4"/>
      <c r="TZK4"/>
      <c r="TZM4"/>
      <c r="TZO4"/>
      <c r="TZQ4"/>
      <c r="TZS4"/>
      <c r="TZU4"/>
      <c r="TZW4"/>
      <c r="TZY4"/>
      <c r="UAA4"/>
      <c r="UAC4"/>
      <c r="UAE4"/>
      <c r="UAG4"/>
      <c r="UAI4"/>
      <c r="UAK4"/>
      <c r="UAM4"/>
      <c r="UAO4"/>
      <c r="UAQ4"/>
      <c r="UAS4"/>
      <c r="UAU4"/>
      <c r="UAW4"/>
      <c r="UAY4"/>
      <c r="UBA4"/>
      <c r="UBC4"/>
      <c r="UBE4"/>
      <c r="UBG4"/>
      <c r="UBI4"/>
      <c r="UBK4"/>
      <c r="UBM4"/>
      <c r="UBO4"/>
      <c r="UBQ4"/>
      <c r="UBS4"/>
      <c r="UBU4"/>
      <c r="UBW4"/>
      <c r="UBY4"/>
      <c r="UCA4"/>
      <c r="UCC4"/>
      <c r="UCE4"/>
      <c r="UCG4"/>
      <c r="UCI4"/>
      <c r="UCK4"/>
      <c r="UCM4"/>
      <c r="UCO4"/>
      <c r="UCQ4"/>
      <c r="UCS4"/>
      <c r="UCU4"/>
      <c r="UCW4"/>
      <c r="UCY4"/>
      <c r="UDA4"/>
      <c r="UDC4"/>
      <c r="UDE4"/>
      <c r="UDG4"/>
      <c r="UDI4"/>
      <c r="UDK4"/>
      <c r="UDM4"/>
      <c r="UDO4"/>
      <c r="UDQ4"/>
      <c r="UDS4"/>
      <c r="UDU4"/>
      <c r="UDW4"/>
      <c r="UDY4"/>
      <c r="UEA4"/>
      <c r="UEC4"/>
      <c r="UEE4"/>
      <c r="UEG4"/>
      <c r="UEI4"/>
      <c r="UEK4"/>
      <c r="UEM4"/>
      <c r="UEO4"/>
      <c r="UEQ4"/>
      <c r="UES4"/>
      <c r="UEU4"/>
      <c r="UEW4"/>
      <c r="UEY4"/>
      <c r="UFA4"/>
      <c r="UFC4"/>
      <c r="UFE4"/>
      <c r="UFG4"/>
      <c r="UFI4"/>
      <c r="UFK4"/>
      <c r="UFM4"/>
      <c r="UFO4"/>
      <c r="UFQ4"/>
      <c r="UFS4"/>
      <c r="UFU4"/>
      <c r="UFW4"/>
      <c r="UFY4"/>
      <c r="UGA4"/>
      <c r="UGC4"/>
      <c r="UGE4"/>
      <c r="UGG4"/>
      <c r="UGI4"/>
      <c r="UGK4"/>
      <c r="UGM4"/>
      <c r="UGO4"/>
      <c r="UGQ4"/>
      <c r="UGS4"/>
      <c r="UGU4"/>
      <c r="UGW4"/>
      <c r="UGY4"/>
      <c r="UHA4"/>
      <c r="UHC4"/>
      <c r="UHE4"/>
      <c r="UHG4"/>
      <c r="UHI4"/>
      <c r="UHK4"/>
      <c r="UHM4"/>
      <c r="UHO4"/>
      <c r="UHQ4"/>
      <c r="UHS4"/>
      <c r="UHU4"/>
      <c r="UHW4"/>
      <c r="UHY4"/>
      <c r="UIA4"/>
      <c r="UIC4"/>
      <c r="UIE4"/>
      <c r="UIG4"/>
      <c r="UII4"/>
      <c r="UIK4"/>
      <c r="UIM4"/>
      <c r="UIO4"/>
      <c r="UIQ4"/>
      <c r="UIS4"/>
      <c r="UIU4"/>
      <c r="UIW4"/>
      <c r="UIY4"/>
      <c r="UJA4"/>
      <c r="UJC4"/>
      <c r="UJE4"/>
      <c r="UJG4"/>
      <c r="UJI4"/>
      <c r="UJK4"/>
      <c r="UJM4"/>
      <c r="UJO4"/>
      <c r="UJQ4"/>
      <c r="UJS4"/>
      <c r="UJU4"/>
      <c r="UJW4"/>
      <c r="UJY4"/>
      <c r="UKA4"/>
      <c r="UKC4"/>
      <c r="UKE4"/>
      <c r="UKG4"/>
      <c r="UKI4"/>
      <c r="UKK4"/>
      <c r="UKM4"/>
      <c r="UKO4"/>
      <c r="UKQ4"/>
      <c r="UKS4"/>
      <c r="UKU4"/>
      <c r="UKW4"/>
      <c r="UKY4"/>
      <c r="ULA4"/>
      <c r="ULC4"/>
      <c r="ULE4"/>
      <c r="ULG4"/>
      <c r="ULI4"/>
      <c r="ULK4"/>
      <c r="ULM4"/>
      <c r="ULO4"/>
      <c r="ULQ4"/>
      <c r="ULS4"/>
      <c r="ULU4"/>
      <c r="ULW4"/>
      <c r="ULY4"/>
      <c r="UMA4"/>
      <c r="UMC4"/>
      <c r="UME4"/>
      <c r="UMG4"/>
      <c r="UMI4"/>
      <c r="UMK4"/>
      <c r="UMM4"/>
      <c r="UMO4"/>
      <c r="UMQ4"/>
      <c r="UMS4"/>
      <c r="UMU4"/>
      <c r="UMW4"/>
      <c r="UMY4"/>
      <c r="UNA4"/>
      <c r="UNC4"/>
      <c r="UNE4"/>
      <c r="UNG4"/>
      <c r="UNI4"/>
      <c r="UNK4"/>
      <c r="UNM4"/>
      <c r="UNO4"/>
      <c r="UNQ4"/>
      <c r="UNS4"/>
      <c r="UNU4"/>
      <c r="UNW4"/>
      <c r="UNY4"/>
      <c r="UOA4"/>
      <c r="UOC4"/>
      <c r="UOE4"/>
      <c r="UOG4"/>
      <c r="UOI4"/>
      <c r="UOK4"/>
      <c r="UOM4"/>
      <c r="UOO4"/>
      <c r="UOQ4"/>
      <c r="UOS4"/>
      <c r="UOU4"/>
      <c r="UOW4"/>
      <c r="UOY4"/>
      <c r="UPA4"/>
      <c r="UPC4"/>
      <c r="UPE4"/>
      <c r="UPG4"/>
      <c r="UPI4"/>
      <c r="UPK4"/>
      <c r="UPM4"/>
      <c r="UPO4"/>
      <c r="UPQ4"/>
      <c r="UPS4"/>
      <c r="UPU4"/>
      <c r="UPW4"/>
      <c r="UPY4"/>
      <c r="UQA4"/>
      <c r="UQC4"/>
      <c r="UQE4"/>
      <c r="UQG4"/>
      <c r="UQI4"/>
      <c r="UQK4"/>
      <c r="UQM4"/>
      <c r="UQO4"/>
      <c r="UQQ4"/>
      <c r="UQS4"/>
      <c r="UQU4"/>
      <c r="UQW4"/>
      <c r="UQY4"/>
      <c r="URA4"/>
      <c r="URC4"/>
      <c r="URE4"/>
      <c r="URG4"/>
      <c r="URI4"/>
      <c r="URK4"/>
      <c r="URM4"/>
      <c r="URO4"/>
      <c r="URQ4"/>
      <c r="URS4"/>
      <c r="URU4"/>
      <c r="URW4"/>
      <c r="URY4"/>
      <c r="USA4"/>
      <c r="USC4"/>
      <c r="USE4"/>
      <c r="USG4"/>
      <c r="USI4"/>
      <c r="USK4"/>
      <c r="USM4"/>
      <c r="USO4"/>
      <c r="USQ4"/>
      <c r="USS4"/>
      <c r="USU4"/>
      <c r="USW4"/>
      <c r="USY4"/>
      <c r="UTA4"/>
      <c r="UTC4"/>
      <c r="UTE4"/>
      <c r="UTG4"/>
      <c r="UTI4"/>
      <c r="UTK4"/>
      <c r="UTM4"/>
      <c r="UTO4"/>
      <c r="UTQ4"/>
      <c r="UTS4"/>
      <c r="UTU4"/>
      <c r="UTW4"/>
      <c r="UTY4"/>
      <c r="UUA4"/>
      <c r="UUC4"/>
      <c r="UUE4"/>
      <c r="UUG4"/>
      <c r="UUI4"/>
      <c r="UUK4"/>
      <c r="UUM4"/>
      <c r="UUO4"/>
      <c r="UUQ4"/>
      <c r="UUS4"/>
      <c r="UUU4"/>
      <c r="UUW4"/>
      <c r="UUY4"/>
      <c r="UVA4"/>
      <c r="UVC4"/>
      <c r="UVE4"/>
      <c r="UVG4"/>
      <c r="UVI4"/>
      <c r="UVK4"/>
      <c r="UVM4"/>
      <c r="UVO4"/>
      <c r="UVQ4"/>
      <c r="UVS4"/>
      <c r="UVU4"/>
      <c r="UVW4"/>
      <c r="UVY4"/>
      <c r="UWA4"/>
      <c r="UWC4"/>
      <c r="UWE4"/>
      <c r="UWG4"/>
      <c r="UWI4"/>
      <c r="UWK4"/>
      <c r="UWM4"/>
      <c r="UWO4"/>
      <c r="UWQ4"/>
      <c r="UWS4"/>
      <c r="UWU4"/>
      <c r="UWW4"/>
      <c r="UWY4"/>
      <c r="UXA4"/>
      <c r="UXC4"/>
      <c r="UXE4"/>
      <c r="UXG4"/>
      <c r="UXI4"/>
      <c r="UXK4"/>
      <c r="UXM4"/>
      <c r="UXO4"/>
      <c r="UXQ4"/>
      <c r="UXS4"/>
      <c r="UXU4"/>
      <c r="UXW4"/>
      <c r="UXY4"/>
      <c r="UYA4"/>
      <c r="UYC4"/>
      <c r="UYE4"/>
      <c r="UYG4"/>
      <c r="UYI4"/>
      <c r="UYK4"/>
      <c r="UYM4"/>
      <c r="UYO4"/>
      <c r="UYQ4"/>
      <c r="UYS4"/>
      <c r="UYU4"/>
      <c r="UYW4"/>
      <c r="UYY4"/>
      <c r="UZA4"/>
      <c r="UZC4"/>
      <c r="UZE4"/>
      <c r="UZG4"/>
      <c r="UZI4"/>
      <c r="UZK4"/>
      <c r="UZM4"/>
      <c r="UZO4"/>
      <c r="UZQ4"/>
      <c r="UZS4"/>
      <c r="UZU4"/>
      <c r="UZW4"/>
      <c r="UZY4"/>
      <c r="VAA4"/>
      <c r="VAC4"/>
      <c r="VAE4"/>
      <c r="VAG4"/>
      <c r="VAI4"/>
      <c r="VAK4"/>
      <c r="VAM4"/>
      <c r="VAO4"/>
      <c r="VAQ4"/>
      <c r="VAS4"/>
      <c r="VAU4"/>
      <c r="VAW4"/>
      <c r="VAY4"/>
      <c r="VBA4"/>
      <c r="VBC4"/>
      <c r="VBE4"/>
      <c r="VBG4"/>
      <c r="VBI4"/>
      <c r="VBK4"/>
      <c r="VBM4"/>
      <c r="VBO4"/>
      <c r="VBQ4"/>
      <c r="VBS4"/>
      <c r="VBU4"/>
      <c r="VBW4"/>
      <c r="VBY4"/>
      <c r="VCA4"/>
      <c r="VCC4"/>
      <c r="VCE4"/>
      <c r="VCG4"/>
      <c r="VCI4"/>
      <c r="VCK4"/>
      <c r="VCM4"/>
      <c r="VCO4"/>
      <c r="VCQ4"/>
      <c r="VCS4"/>
      <c r="VCU4"/>
      <c r="VCW4"/>
      <c r="VCY4"/>
      <c r="VDA4"/>
      <c r="VDC4"/>
      <c r="VDE4"/>
      <c r="VDG4"/>
      <c r="VDI4"/>
      <c r="VDK4"/>
      <c r="VDM4"/>
      <c r="VDO4"/>
      <c r="VDQ4"/>
      <c r="VDS4"/>
      <c r="VDU4"/>
      <c r="VDW4"/>
      <c r="VDY4"/>
      <c r="VEA4"/>
      <c r="VEC4"/>
      <c r="VEE4"/>
      <c r="VEG4"/>
      <c r="VEI4"/>
      <c r="VEK4"/>
      <c r="VEM4"/>
      <c r="VEO4"/>
      <c r="VEQ4"/>
      <c r="VES4"/>
      <c r="VEU4"/>
      <c r="VEW4"/>
      <c r="VEY4"/>
      <c r="VFA4"/>
      <c r="VFC4"/>
      <c r="VFE4"/>
      <c r="VFG4"/>
      <c r="VFI4"/>
      <c r="VFK4"/>
      <c r="VFM4"/>
      <c r="VFO4"/>
      <c r="VFQ4"/>
      <c r="VFS4"/>
      <c r="VFU4"/>
      <c r="VFW4"/>
      <c r="VFY4"/>
      <c r="VGA4"/>
      <c r="VGC4"/>
      <c r="VGE4"/>
      <c r="VGG4"/>
      <c r="VGI4"/>
      <c r="VGK4"/>
      <c r="VGM4"/>
      <c r="VGO4"/>
      <c r="VGQ4"/>
      <c r="VGS4"/>
      <c r="VGU4"/>
      <c r="VGW4"/>
      <c r="VGY4"/>
      <c r="VHA4"/>
      <c r="VHC4"/>
      <c r="VHE4"/>
      <c r="VHG4"/>
      <c r="VHI4"/>
      <c r="VHK4"/>
      <c r="VHM4"/>
      <c r="VHO4"/>
      <c r="VHQ4"/>
      <c r="VHS4"/>
      <c r="VHU4"/>
      <c r="VHW4"/>
      <c r="VHY4"/>
      <c r="VIA4"/>
      <c r="VIC4"/>
      <c r="VIE4"/>
      <c r="VIG4"/>
      <c r="VII4"/>
      <c r="VIK4"/>
      <c r="VIM4"/>
      <c r="VIO4"/>
      <c r="VIQ4"/>
      <c r="VIS4"/>
      <c r="VIU4"/>
      <c r="VIW4"/>
      <c r="VIY4"/>
      <c r="VJA4"/>
      <c r="VJC4"/>
      <c r="VJE4"/>
      <c r="VJG4"/>
      <c r="VJI4"/>
      <c r="VJK4"/>
      <c r="VJM4"/>
      <c r="VJO4"/>
      <c r="VJQ4"/>
      <c r="VJS4"/>
      <c r="VJU4"/>
      <c r="VJW4"/>
      <c r="VJY4"/>
      <c r="VKA4"/>
      <c r="VKC4"/>
      <c r="VKE4"/>
      <c r="VKG4"/>
      <c r="VKI4"/>
      <c r="VKK4"/>
      <c r="VKM4"/>
      <c r="VKO4"/>
      <c r="VKQ4"/>
      <c r="VKS4"/>
      <c r="VKU4"/>
      <c r="VKW4"/>
      <c r="VKY4"/>
      <c r="VLA4"/>
      <c r="VLC4"/>
      <c r="VLE4"/>
      <c r="VLG4"/>
      <c r="VLI4"/>
      <c r="VLK4"/>
      <c r="VLM4"/>
      <c r="VLO4"/>
      <c r="VLQ4"/>
      <c r="VLS4"/>
      <c r="VLU4"/>
      <c r="VLW4"/>
      <c r="VLY4"/>
      <c r="VMA4"/>
      <c r="VMC4"/>
      <c r="VME4"/>
      <c r="VMG4"/>
      <c r="VMI4"/>
      <c r="VMK4"/>
      <c r="VMM4"/>
      <c r="VMO4"/>
      <c r="VMQ4"/>
      <c r="VMS4"/>
      <c r="VMU4"/>
      <c r="VMW4"/>
      <c r="VMY4"/>
      <c r="VNA4"/>
      <c r="VNC4"/>
      <c r="VNE4"/>
      <c r="VNG4"/>
      <c r="VNI4"/>
      <c r="VNK4"/>
      <c r="VNM4"/>
      <c r="VNO4"/>
      <c r="VNQ4"/>
      <c r="VNS4"/>
      <c r="VNU4"/>
      <c r="VNW4"/>
      <c r="VNY4"/>
      <c r="VOA4"/>
      <c r="VOC4"/>
      <c r="VOE4"/>
      <c r="VOG4"/>
      <c r="VOI4"/>
      <c r="VOK4"/>
      <c r="VOM4"/>
      <c r="VOO4"/>
      <c r="VOQ4"/>
      <c r="VOS4"/>
      <c r="VOU4"/>
      <c r="VOW4"/>
      <c r="VOY4"/>
      <c r="VPA4"/>
      <c r="VPC4"/>
      <c r="VPE4"/>
      <c r="VPG4"/>
      <c r="VPI4"/>
      <c r="VPK4"/>
      <c r="VPM4"/>
      <c r="VPO4"/>
      <c r="VPQ4"/>
      <c r="VPS4"/>
      <c r="VPU4"/>
      <c r="VPW4"/>
      <c r="VPY4"/>
      <c r="VQA4"/>
      <c r="VQC4"/>
      <c r="VQE4"/>
      <c r="VQG4"/>
      <c r="VQI4"/>
      <c r="VQK4"/>
      <c r="VQM4"/>
      <c r="VQO4"/>
      <c r="VQQ4"/>
      <c r="VQS4"/>
      <c r="VQU4"/>
      <c r="VQW4"/>
      <c r="VQY4"/>
      <c r="VRA4"/>
      <c r="VRC4"/>
      <c r="VRE4"/>
      <c r="VRG4"/>
      <c r="VRI4"/>
      <c r="VRK4"/>
      <c r="VRM4"/>
      <c r="VRO4"/>
      <c r="VRQ4"/>
      <c r="VRS4"/>
      <c r="VRU4"/>
      <c r="VRW4"/>
      <c r="VRY4"/>
      <c r="VSA4"/>
      <c r="VSC4"/>
      <c r="VSE4"/>
      <c r="VSG4"/>
      <c r="VSI4"/>
      <c r="VSK4"/>
      <c r="VSM4"/>
      <c r="VSO4"/>
      <c r="VSQ4"/>
      <c r="VSS4"/>
      <c r="VSU4"/>
      <c r="VSW4"/>
      <c r="VSY4"/>
      <c r="VTA4"/>
      <c r="VTC4"/>
      <c r="VTE4"/>
      <c r="VTG4"/>
      <c r="VTI4"/>
      <c r="VTK4"/>
      <c r="VTM4"/>
      <c r="VTO4"/>
      <c r="VTQ4"/>
      <c r="VTS4"/>
      <c r="VTU4"/>
      <c r="VTW4"/>
      <c r="VTY4"/>
      <c r="VUA4"/>
      <c r="VUC4"/>
      <c r="VUE4"/>
      <c r="VUG4"/>
      <c r="VUI4"/>
      <c r="VUK4"/>
      <c r="VUM4"/>
      <c r="VUO4"/>
      <c r="VUQ4"/>
      <c r="VUS4"/>
      <c r="VUU4"/>
      <c r="VUW4"/>
      <c r="VUY4"/>
      <c r="VVA4"/>
      <c r="VVC4"/>
      <c r="VVE4"/>
      <c r="VVG4"/>
      <c r="VVI4"/>
      <c r="VVK4"/>
      <c r="VVM4"/>
      <c r="VVO4"/>
      <c r="VVQ4"/>
      <c r="VVS4"/>
      <c r="VVU4"/>
      <c r="VVW4"/>
      <c r="VVY4"/>
      <c r="VWA4"/>
      <c r="VWC4"/>
      <c r="VWE4"/>
      <c r="VWG4"/>
      <c r="VWI4"/>
      <c r="VWK4"/>
      <c r="VWM4"/>
      <c r="VWO4"/>
      <c r="VWQ4"/>
      <c r="VWS4"/>
      <c r="VWU4"/>
      <c r="VWW4"/>
      <c r="VWY4"/>
      <c r="VXA4"/>
      <c r="VXC4"/>
      <c r="VXE4"/>
      <c r="VXG4"/>
      <c r="VXI4"/>
      <c r="VXK4"/>
      <c r="VXM4"/>
      <c r="VXO4"/>
      <c r="VXQ4"/>
      <c r="VXS4"/>
      <c r="VXU4"/>
      <c r="VXW4"/>
      <c r="VXY4"/>
      <c r="VYA4"/>
      <c r="VYC4"/>
      <c r="VYE4"/>
      <c r="VYG4"/>
      <c r="VYI4"/>
      <c r="VYK4"/>
      <c r="VYM4"/>
      <c r="VYO4"/>
      <c r="VYQ4"/>
      <c r="VYS4"/>
      <c r="VYU4"/>
      <c r="VYW4"/>
      <c r="VYY4"/>
      <c r="VZA4"/>
      <c r="VZC4"/>
      <c r="VZE4"/>
      <c r="VZG4"/>
      <c r="VZI4"/>
      <c r="VZK4"/>
      <c r="VZM4"/>
      <c r="VZO4"/>
      <c r="VZQ4"/>
      <c r="VZS4"/>
      <c r="VZU4"/>
      <c r="VZW4"/>
      <c r="VZY4"/>
      <c r="WAA4"/>
      <c r="WAC4"/>
      <c r="WAE4"/>
      <c r="WAG4"/>
      <c r="WAI4"/>
      <c r="WAK4"/>
      <c r="WAM4"/>
      <c r="WAO4"/>
      <c r="WAQ4"/>
      <c r="WAS4"/>
      <c r="WAU4"/>
      <c r="WAW4"/>
      <c r="WAY4"/>
      <c r="WBA4"/>
      <c r="WBC4"/>
      <c r="WBE4"/>
      <c r="WBG4"/>
      <c r="WBI4"/>
      <c r="WBK4"/>
      <c r="WBM4"/>
      <c r="WBO4"/>
      <c r="WBQ4"/>
      <c r="WBS4"/>
      <c r="WBU4"/>
      <c r="WBW4"/>
      <c r="WBY4"/>
      <c r="WCA4"/>
      <c r="WCC4"/>
      <c r="WCE4"/>
      <c r="WCG4"/>
      <c r="WCI4"/>
      <c r="WCK4"/>
      <c r="WCM4"/>
      <c r="WCO4"/>
      <c r="WCQ4"/>
      <c r="WCS4"/>
      <c r="WCU4"/>
      <c r="WCW4"/>
      <c r="WCY4"/>
      <c r="WDA4"/>
      <c r="WDC4"/>
      <c r="WDE4"/>
      <c r="WDG4"/>
      <c r="WDI4"/>
      <c r="WDK4"/>
      <c r="WDM4"/>
      <c r="WDO4"/>
      <c r="WDQ4"/>
      <c r="WDS4"/>
      <c r="WDU4"/>
      <c r="WDW4"/>
      <c r="WDY4"/>
      <c r="WEA4"/>
      <c r="WEC4"/>
      <c r="WEE4"/>
      <c r="WEG4"/>
      <c r="WEI4"/>
      <c r="WEK4"/>
      <c r="WEM4"/>
      <c r="WEO4"/>
      <c r="WEQ4"/>
      <c r="WES4"/>
      <c r="WEU4"/>
      <c r="WEW4"/>
      <c r="WEY4"/>
      <c r="WFA4"/>
      <c r="WFC4"/>
      <c r="WFE4"/>
      <c r="WFG4"/>
      <c r="WFI4"/>
      <c r="WFK4"/>
      <c r="WFM4"/>
      <c r="WFO4"/>
      <c r="WFQ4"/>
      <c r="WFS4"/>
      <c r="WFU4"/>
      <c r="WFW4"/>
      <c r="WFY4"/>
      <c r="WGA4"/>
      <c r="WGC4"/>
      <c r="WGE4"/>
      <c r="WGG4"/>
      <c r="WGI4"/>
      <c r="WGK4"/>
      <c r="WGM4"/>
      <c r="WGO4"/>
      <c r="WGQ4"/>
      <c r="WGS4"/>
      <c r="WGU4"/>
      <c r="WGW4"/>
      <c r="WGY4"/>
      <c r="WHA4"/>
      <c r="WHC4"/>
      <c r="WHE4"/>
      <c r="WHG4"/>
      <c r="WHI4"/>
      <c r="WHK4"/>
      <c r="WHM4"/>
      <c r="WHO4"/>
      <c r="WHQ4"/>
      <c r="WHS4"/>
      <c r="WHU4"/>
      <c r="WHW4"/>
      <c r="WHY4"/>
      <c r="WIA4"/>
      <c r="WIC4"/>
      <c r="WIE4"/>
      <c r="WIG4"/>
      <c r="WII4"/>
      <c r="WIK4"/>
      <c r="WIM4"/>
      <c r="WIO4"/>
      <c r="WIQ4"/>
      <c r="WIS4"/>
      <c r="WIU4"/>
      <c r="WIW4"/>
      <c r="WIY4"/>
      <c r="WJA4"/>
      <c r="WJC4"/>
      <c r="WJE4"/>
      <c r="WJG4"/>
      <c r="WJI4"/>
      <c r="WJK4"/>
      <c r="WJM4"/>
      <c r="WJO4"/>
      <c r="WJQ4"/>
      <c r="WJS4"/>
      <c r="WJU4"/>
      <c r="WJW4"/>
      <c r="WJY4"/>
      <c r="WKA4"/>
      <c r="WKC4"/>
      <c r="WKE4"/>
      <c r="WKG4"/>
      <c r="WKI4"/>
      <c r="WKK4"/>
      <c r="WKM4"/>
      <c r="WKO4"/>
      <c r="WKQ4"/>
      <c r="WKS4"/>
      <c r="WKU4"/>
      <c r="WKW4"/>
      <c r="WKY4"/>
      <c r="WLA4"/>
      <c r="WLC4"/>
      <c r="WLE4"/>
      <c r="WLG4"/>
      <c r="WLI4"/>
      <c r="WLK4"/>
      <c r="WLM4"/>
      <c r="WLO4"/>
      <c r="WLQ4"/>
      <c r="WLS4"/>
      <c r="WLU4"/>
      <c r="WLW4"/>
      <c r="WLY4"/>
      <c r="WMA4"/>
      <c r="WMC4"/>
      <c r="WME4"/>
      <c r="WMG4"/>
      <c r="WMI4"/>
      <c r="WMK4"/>
      <c r="WMM4"/>
      <c r="WMO4"/>
      <c r="WMQ4"/>
      <c r="WMS4"/>
      <c r="WMU4"/>
      <c r="WMW4"/>
      <c r="WMY4"/>
      <c r="WNA4"/>
      <c r="WNC4"/>
      <c r="WNE4"/>
      <c r="WNG4"/>
      <c r="WNI4"/>
      <c r="WNK4"/>
      <c r="WNM4"/>
      <c r="WNO4"/>
      <c r="WNQ4"/>
      <c r="WNS4"/>
      <c r="WNU4"/>
      <c r="WNW4"/>
      <c r="WNY4"/>
      <c r="WOA4"/>
      <c r="WOC4"/>
      <c r="WOE4"/>
      <c r="WOG4"/>
      <c r="WOI4"/>
      <c r="WOK4"/>
      <c r="WOM4"/>
      <c r="WOO4"/>
      <c r="WOQ4"/>
      <c r="WOS4"/>
      <c r="WOU4"/>
      <c r="WOW4"/>
      <c r="WOY4"/>
      <c r="WPA4"/>
      <c r="WPC4"/>
      <c r="WPE4"/>
      <c r="WPG4"/>
      <c r="WPI4"/>
      <c r="WPK4"/>
      <c r="WPM4"/>
      <c r="WPO4"/>
      <c r="WPQ4"/>
      <c r="WPS4"/>
      <c r="WPU4"/>
      <c r="WPW4"/>
      <c r="WPY4"/>
      <c r="WQA4"/>
      <c r="WQC4"/>
      <c r="WQE4"/>
      <c r="WQG4"/>
      <c r="WQI4"/>
      <c r="WQK4"/>
      <c r="WQM4"/>
      <c r="WQO4"/>
      <c r="WQQ4"/>
      <c r="WQS4"/>
      <c r="WQU4"/>
      <c r="WQW4"/>
      <c r="WQY4"/>
      <c r="WRA4"/>
      <c r="WRC4"/>
      <c r="WRE4"/>
      <c r="WRG4"/>
      <c r="WRI4"/>
      <c r="WRK4"/>
      <c r="WRM4"/>
      <c r="WRO4"/>
      <c r="WRQ4"/>
      <c r="WRS4"/>
      <c r="WRU4"/>
      <c r="WRW4"/>
      <c r="WRY4"/>
      <c r="WSA4"/>
      <c r="WSC4"/>
      <c r="WSE4"/>
      <c r="WSG4"/>
      <c r="WSI4"/>
      <c r="WSK4"/>
      <c r="WSM4"/>
      <c r="WSO4"/>
      <c r="WSQ4"/>
      <c r="WSS4"/>
      <c r="WSU4"/>
      <c r="WSW4"/>
      <c r="WSY4"/>
      <c r="WTA4"/>
      <c r="WTC4"/>
      <c r="WTE4"/>
      <c r="WTG4"/>
      <c r="WTI4"/>
      <c r="WTK4"/>
      <c r="WTM4"/>
      <c r="WTO4"/>
      <c r="WTQ4"/>
      <c r="WTS4"/>
      <c r="WTU4"/>
      <c r="WTW4"/>
      <c r="WTY4"/>
      <c r="WUA4"/>
      <c r="WUC4"/>
      <c r="WUE4"/>
      <c r="WUG4"/>
      <c r="WUI4"/>
      <c r="WUK4"/>
      <c r="WUM4"/>
      <c r="WUO4"/>
      <c r="WUQ4"/>
      <c r="WUS4"/>
      <c r="WUU4"/>
      <c r="WUW4"/>
      <c r="WUY4"/>
      <c r="WVA4"/>
      <c r="WVC4"/>
      <c r="WVE4"/>
      <c r="WVG4"/>
      <c r="WVI4"/>
      <c r="WVK4"/>
      <c r="WVM4"/>
      <c r="WVO4"/>
      <c r="WVQ4"/>
      <c r="WVS4"/>
      <c r="WVU4"/>
      <c r="WVW4"/>
      <c r="WVY4"/>
      <c r="WWA4"/>
      <c r="WWC4"/>
      <c r="WWE4"/>
      <c r="WWG4"/>
      <c r="WWI4"/>
      <c r="WWK4"/>
      <c r="WWM4"/>
      <c r="WWO4"/>
      <c r="WWQ4"/>
      <c r="WWS4"/>
      <c r="WWU4"/>
      <c r="WWW4"/>
      <c r="WWY4"/>
      <c r="WXA4"/>
      <c r="WXC4"/>
      <c r="WXE4"/>
      <c r="WXG4"/>
      <c r="WXI4"/>
      <c r="WXK4"/>
      <c r="WXM4"/>
      <c r="WXO4"/>
      <c r="WXQ4"/>
      <c r="WXS4"/>
      <c r="WXU4"/>
      <c r="WXW4"/>
      <c r="WXY4"/>
      <c r="WYA4"/>
      <c r="WYC4"/>
      <c r="WYE4"/>
      <c r="WYG4"/>
      <c r="WYI4"/>
      <c r="WYK4"/>
      <c r="WYM4"/>
      <c r="WYO4"/>
      <c r="WYQ4"/>
      <c r="WYS4"/>
      <c r="WYU4"/>
      <c r="WYW4"/>
      <c r="WYY4"/>
      <c r="WZA4"/>
      <c r="WZC4"/>
      <c r="WZE4"/>
      <c r="WZG4"/>
      <c r="WZI4"/>
      <c r="WZK4"/>
      <c r="WZM4"/>
      <c r="WZO4"/>
      <c r="WZQ4"/>
      <c r="WZS4"/>
      <c r="WZU4"/>
      <c r="WZW4"/>
      <c r="WZY4"/>
      <c r="XAA4"/>
      <c r="XAC4"/>
      <c r="XAE4"/>
      <c r="XAG4"/>
      <c r="XAI4"/>
      <c r="XAK4"/>
      <c r="XAM4"/>
      <c r="XAO4"/>
      <c r="XAQ4"/>
      <c r="XAS4"/>
      <c r="XAU4"/>
      <c r="XAW4"/>
      <c r="XAY4"/>
      <c r="XBA4"/>
      <c r="XBC4"/>
      <c r="XBE4"/>
      <c r="XBG4"/>
      <c r="XBI4"/>
      <c r="XBK4"/>
      <c r="XBM4"/>
      <c r="XBO4"/>
      <c r="XBQ4"/>
      <c r="XBS4"/>
      <c r="XBU4"/>
      <c r="XBW4"/>
      <c r="XBY4"/>
      <c r="XCA4"/>
      <c r="XCC4"/>
      <c r="XCE4"/>
      <c r="XCG4"/>
      <c r="XCI4"/>
      <c r="XCK4"/>
      <c r="XCM4"/>
      <c r="XCO4"/>
      <c r="XCQ4"/>
      <c r="XCS4"/>
      <c r="XCU4"/>
      <c r="XCW4"/>
      <c r="XCY4"/>
      <c r="XDA4"/>
      <c r="XDC4"/>
      <c r="XDE4"/>
      <c r="XDG4"/>
      <c r="XDI4"/>
      <c r="XDK4"/>
      <c r="XDM4"/>
      <c r="XDO4"/>
      <c r="XDQ4"/>
      <c r="XDS4"/>
      <c r="XDU4"/>
      <c r="XDW4"/>
      <c r="XDY4"/>
      <c r="XEA4"/>
      <c r="XEC4"/>
      <c r="XEE4"/>
      <c r="XEG4"/>
      <c r="XEI4"/>
      <c r="XEK4"/>
      <c r="XEM4"/>
      <c r="XEO4"/>
      <c r="XEQ4"/>
      <c r="XES4"/>
      <c r="XEU4"/>
      <c r="XEW4"/>
      <c r="XEY4"/>
      <c r="XFA4"/>
      <c r="XFC4"/>
    </row>
    <row r="5" spans="1:16384" s="474" customFormat="1" x14ac:dyDescent="0.2">
      <c r="A5" s="7"/>
      <c r="B5" s="538" t="s">
        <v>211</v>
      </c>
      <c r="C5" s="534" t="s">
        <v>212</v>
      </c>
      <c r="D5" s="535">
        <v>1.3</v>
      </c>
      <c r="E5" s="548">
        <v>484</v>
      </c>
      <c r="F5" s="548">
        <v>3663</v>
      </c>
      <c r="G5" s="536">
        <v>0.22</v>
      </c>
      <c r="H5" s="537">
        <f t="shared" si="0"/>
        <v>1.1785364260045736</v>
      </c>
      <c r="I5" s="641"/>
      <c r="J5" s="645" t="s">
        <v>440</v>
      </c>
      <c r="K5" s="441">
        <v>1.03E-2</v>
      </c>
      <c r="L5" s="642"/>
      <c r="M5" s="508" t="s">
        <v>430</v>
      </c>
      <c r="N5" s="509">
        <f>N3/(1+(1-K7)*(1-N4))</f>
        <v>1.1155480658641261</v>
      </c>
      <c r="O5"/>
      <c r="Q5"/>
      <c r="S5"/>
      <c r="U5"/>
      <c r="W5"/>
      <c r="Y5"/>
      <c r="AA5"/>
      <c r="AC5"/>
      <c r="AE5"/>
      <c r="AG5"/>
      <c r="AI5"/>
      <c r="AK5"/>
      <c r="AM5"/>
      <c r="AO5"/>
      <c r="AQ5"/>
      <c r="AS5"/>
      <c r="AU5"/>
      <c r="AW5"/>
      <c r="AY5"/>
      <c r="BA5"/>
      <c r="BC5"/>
      <c r="BE5"/>
      <c r="BG5"/>
      <c r="BI5"/>
      <c r="BK5"/>
      <c r="BM5"/>
      <c r="BO5"/>
      <c r="BQ5"/>
      <c r="BS5"/>
      <c r="BU5"/>
      <c r="BW5"/>
      <c r="BY5"/>
      <c r="CA5"/>
      <c r="CC5"/>
      <c r="CE5"/>
      <c r="CG5"/>
      <c r="CI5"/>
      <c r="CK5"/>
      <c r="CM5"/>
      <c r="CO5"/>
      <c r="CQ5"/>
      <c r="CS5"/>
      <c r="CU5"/>
      <c r="CW5"/>
      <c r="CY5"/>
      <c r="DA5"/>
      <c r="DC5"/>
      <c r="DE5"/>
      <c r="DG5"/>
      <c r="DI5"/>
      <c r="DK5"/>
      <c r="DM5"/>
      <c r="DO5"/>
      <c r="DQ5"/>
      <c r="DS5"/>
      <c r="DU5"/>
      <c r="DW5"/>
      <c r="DY5"/>
      <c r="EA5"/>
      <c r="EC5"/>
      <c r="EE5"/>
      <c r="EG5"/>
      <c r="EI5"/>
      <c r="EK5"/>
      <c r="EM5"/>
      <c r="EO5"/>
      <c r="EQ5"/>
      <c r="ES5"/>
      <c r="EU5"/>
      <c r="EW5"/>
      <c r="EY5"/>
      <c r="FA5"/>
      <c r="FC5"/>
      <c r="FE5"/>
      <c r="FG5"/>
      <c r="FI5"/>
      <c r="FK5"/>
      <c r="FM5"/>
      <c r="FO5"/>
      <c r="FQ5"/>
      <c r="FS5"/>
      <c r="FU5"/>
      <c r="FW5"/>
      <c r="FY5"/>
      <c r="GA5"/>
      <c r="GC5"/>
      <c r="GE5"/>
      <c r="GG5"/>
      <c r="GI5"/>
      <c r="GK5"/>
      <c r="GM5"/>
      <c r="GO5"/>
      <c r="GQ5"/>
      <c r="GS5"/>
      <c r="GU5"/>
      <c r="GW5"/>
      <c r="GY5"/>
      <c r="HA5"/>
      <c r="HC5"/>
      <c r="HE5"/>
      <c r="HG5"/>
      <c r="HI5"/>
      <c r="HK5"/>
      <c r="HM5"/>
      <c r="HO5"/>
      <c r="HQ5"/>
      <c r="HS5"/>
      <c r="HU5"/>
      <c r="HW5"/>
      <c r="HY5"/>
      <c r="IA5"/>
      <c r="IC5"/>
      <c r="IE5"/>
      <c r="IG5"/>
      <c r="II5"/>
      <c r="IK5"/>
      <c r="IM5"/>
      <c r="IO5"/>
      <c r="IQ5"/>
      <c r="IS5"/>
      <c r="IU5"/>
      <c r="IW5"/>
      <c r="IY5"/>
      <c r="JA5"/>
      <c r="JC5"/>
      <c r="JE5"/>
      <c r="JG5"/>
      <c r="JI5"/>
      <c r="JK5"/>
      <c r="JM5"/>
      <c r="JO5"/>
      <c r="JQ5"/>
      <c r="JS5"/>
      <c r="JU5"/>
      <c r="JW5"/>
      <c r="JY5"/>
      <c r="KA5"/>
      <c r="KC5"/>
      <c r="KE5"/>
      <c r="KG5"/>
      <c r="KI5"/>
      <c r="KK5"/>
      <c r="KM5"/>
      <c r="KO5"/>
      <c r="KQ5"/>
      <c r="KS5"/>
      <c r="KU5"/>
      <c r="KW5"/>
      <c r="KY5"/>
      <c r="LA5"/>
      <c r="LC5"/>
      <c r="LE5"/>
      <c r="LG5"/>
      <c r="LI5"/>
      <c r="LK5"/>
      <c r="LM5"/>
      <c r="LO5"/>
      <c r="LQ5"/>
      <c r="LS5"/>
      <c r="LU5"/>
      <c r="LW5"/>
      <c r="LY5"/>
      <c r="MA5"/>
      <c r="MC5"/>
      <c r="ME5"/>
      <c r="MG5"/>
      <c r="MI5"/>
      <c r="MK5"/>
      <c r="MM5"/>
      <c r="MO5"/>
      <c r="MQ5"/>
      <c r="MS5"/>
      <c r="MU5"/>
      <c r="MW5"/>
      <c r="MY5"/>
      <c r="NA5"/>
      <c r="NC5"/>
      <c r="NE5"/>
      <c r="NG5"/>
      <c r="NI5"/>
      <c r="NK5"/>
      <c r="NM5"/>
      <c r="NO5"/>
      <c r="NQ5"/>
      <c r="NS5"/>
      <c r="NU5"/>
      <c r="NW5"/>
      <c r="NY5"/>
      <c r="OA5"/>
      <c r="OC5"/>
      <c r="OE5"/>
      <c r="OG5"/>
      <c r="OI5"/>
      <c r="OK5"/>
      <c r="OM5"/>
      <c r="OO5"/>
      <c r="OQ5"/>
      <c r="OS5"/>
      <c r="OU5"/>
      <c r="OW5"/>
      <c r="OY5"/>
      <c r="PA5"/>
      <c r="PC5"/>
      <c r="PE5"/>
      <c r="PG5"/>
      <c r="PI5"/>
      <c r="PK5"/>
      <c r="PM5"/>
      <c r="PO5"/>
      <c r="PQ5"/>
      <c r="PS5"/>
      <c r="PU5"/>
      <c r="PW5"/>
      <c r="PY5"/>
      <c r="QA5"/>
      <c r="QC5"/>
      <c r="QE5"/>
      <c r="QG5"/>
      <c r="QI5"/>
      <c r="QK5"/>
      <c r="QM5"/>
      <c r="QO5"/>
      <c r="QQ5"/>
      <c r="QS5"/>
      <c r="QU5"/>
      <c r="QW5"/>
      <c r="QY5"/>
      <c r="RA5"/>
      <c r="RC5"/>
      <c r="RE5"/>
      <c r="RG5"/>
      <c r="RI5"/>
      <c r="RK5"/>
      <c r="RM5"/>
      <c r="RO5"/>
      <c r="RQ5"/>
      <c r="RS5"/>
      <c r="RU5"/>
      <c r="RW5"/>
      <c r="RY5"/>
      <c r="SA5"/>
      <c r="SC5"/>
      <c r="SE5"/>
      <c r="SG5"/>
      <c r="SI5"/>
      <c r="SK5"/>
      <c r="SM5"/>
      <c r="SO5"/>
      <c r="SQ5"/>
      <c r="SS5"/>
      <c r="SU5"/>
      <c r="SW5"/>
      <c r="SY5"/>
      <c r="TA5"/>
      <c r="TC5"/>
      <c r="TE5"/>
      <c r="TG5"/>
      <c r="TI5"/>
      <c r="TK5"/>
      <c r="TM5"/>
      <c r="TO5"/>
      <c r="TQ5"/>
      <c r="TS5"/>
      <c r="TU5"/>
      <c r="TW5"/>
      <c r="TY5"/>
      <c r="UA5"/>
      <c r="UC5"/>
      <c r="UE5"/>
      <c r="UG5"/>
      <c r="UI5"/>
      <c r="UK5"/>
      <c r="UM5"/>
      <c r="UO5"/>
      <c r="UQ5"/>
      <c r="US5"/>
      <c r="UU5"/>
      <c r="UW5"/>
      <c r="UY5"/>
      <c r="VA5"/>
      <c r="VC5"/>
      <c r="VE5"/>
      <c r="VG5"/>
      <c r="VI5"/>
      <c r="VK5"/>
      <c r="VM5"/>
      <c r="VO5"/>
      <c r="VQ5"/>
      <c r="VS5"/>
      <c r="VU5"/>
      <c r="VW5"/>
      <c r="VY5"/>
      <c r="WA5"/>
      <c r="WC5"/>
      <c r="WE5"/>
      <c r="WG5"/>
      <c r="WI5"/>
      <c r="WK5"/>
      <c r="WM5"/>
      <c r="WO5"/>
      <c r="WQ5"/>
      <c r="WS5"/>
      <c r="WU5"/>
      <c r="WW5"/>
      <c r="WY5"/>
      <c r="XA5"/>
      <c r="XC5"/>
      <c r="XE5"/>
      <c r="XG5"/>
      <c r="XI5"/>
      <c r="XK5"/>
      <c r="XM5"/>
      <c r="XO5"/>
      <c r="XQ5"/>
      <c r="XS5"/>
      <c r="XU5"/>
      <c r="XW5"/>
      <c r="XY5"/>
      <c r="YA5"/>
      <c r="YC5"/>
      <c r="YE5"/>
      <c r="YG5"/>
      <c r="YI5"/>
      <c r="YK5"/>
      <c r="YM5"/>
      <c r="YO5"/>
      <c r="YQ5"/>
      <c r="YS5"/>
      <c r="YU5"/>
      <c r="YW5"/>
      <c r="YY5"/>
      <c r="ZA5"/>
      <c r="ZC5"/>
      <c r="ZE5"/>
      <c r="ZG5"/>
      <c r="ZI5"/>
      <c r="ZK5"/>
      <c r="ZM5"/>
      <c r="ZO5"/>
      <c r="ZQ5"/>
      <c r="ZS5"/>
      <c r="ZU5"/>
      <c r="ZW5"/>
      <c r="ZY5"/>
      <c r="AAA5"/>
      <c r="AAC5"/>
      <c r="AAE5"/>
      <c r="AAG5"/>
      <c r="AAI5"/>
      <c r="AAK5"/>
      <c r="AAM5"/>
      <c r="AAO5"/>
      <c r="AAQ5"/>
      <c r="AAS5"/>
      <c r="AAU5"/>
      <c r="AAW5"/>
      <c r="AAY5"/>
      <c r="ABA5"/>
      <c r="ABC5"/>
      <c r="ABE5"/>
      <c r="ABG5"/>
      <c r="ABI5"/>
      <c r="ABK5"/>
      <c r="ABM5"/>
      <c r="ABO5"/>
      <c r="ABQ5"/>
      <c r="ABS5"/>
      <c r="ABU5"/>
      <c r="ABW5"/>
      <c r="ABY5"/>
      <c r="ACA5"/>
      <c r="ACC5"/>
      <c r="ACE5"/>
      <c r="ACG5"/>
      <c r="ACI5"/>
      <c r="ACK5"/>
      <c r="ACM5"/>
      <c r="ACO5"/>
      <c r="ACQ5"/>
      <c r="ACS5"/>
      <c r="ACU5"/>
      <c r="ACW5"/>
      <c r="ACY5"/>
      <c r="ADA5"/>
      <c r="ADC5"/>
      <c r="ADE5"/>
      <c r="ADG5"/>
      <c r="ADI5"/>
      <c r="ADK5"/>
      <c r="ADM5"/>
      <c r="ADO5"/>
      <c r="ADQ5"/>
      <c r="ADS5"/>
      <c r="ADU5"/>
      <c r="ADW5"/>
      <c r="ADY5"/>
      <c r="AEA5"/>
      <c r="AEC5"/>
      <c r="AEE5"/>
      <c r="AEG5"/>
      <c r="AEI5"/>
      <c r="AEK5"/>
      <c r="AEM5"/>
      <c r="AEO5"/>
      <c r="AEQ5"/>
      <c r="AES5"/>
      <c r="AEU5"/>
      <c r="AEW5"/>
      <c r="AEY5"/>
      <c r="AFA5"/>
      <c r="AFC5"/>
      <c r="AFE5"/>
      <c r="AFG5"/>
      <c r="AFI5"/>
      <c r="AFK5"/>
      <c r="AFM5"/>
      <c r="AFO5"/>
      <c r="AFQ5"/>
      <c r="AFS5"/>
      <c r="AFU5"/>
      <c r="AFW5"/>
      <c r="AFY5"/>
      <c r="AGA5"/>
      <c r="AGC5"/>
      <c r="AGE5"/>
      <c r="AGG5"/>
      <c r="AGI5"/>
      <c r="AGK5"/>
      <c r="AGM5"/>
      <c r="AGO5"/>
      <c r="AGQ5"/>
      <c r="AGS5"/>
      <c r="AGU5"/>
      <c r="AGW5"/>
      <c r="AGY5"/>
      <c r="AHA5"/>
      <c r="AHC5"/>
      <c r="AHE5"/>
      <c r="AHG5"/>
      <c r="AHI5"/>
      <c r="AHK5"/>
      <c r="AHM5"/>
      <c r="AHO5"/>
      <c r="AHQ5"/>
      <c r="AHS5"/>
      <c r="AHU5"/>
      <c r="AHW5"/>
      <c r="AHY5"/>
      <c r="AIA5"/>
      <c r="AIC5"/>
      <c r="AIE5"/>
      <c r="AIG5"/>
      <c r="AII5"/>
      <c r="AIK5"/>
      <c r="AIM5"/>
      <c r="AIO5"/>
      <c r="AIQ5"/>
      <c r="AIS5"/>
      <c r="AIU5"/>
      <c r="AIW5"/>
      <c r="AIY5"/>
      <c r="AJA5"/>
      <c r="AJC5"/>
      <c r="AJE5"/>
      <c r="AJG5"/>
      <c r="AJI5"/>
      <c r="AJK5"/>
      <c r="AJM5"/>
      <c r="AJO5"/>
      <c r="AJQ5"/>
      <c r="AJS5"/>
      <c r="AJU5"/>
      <c r="AJW5"/>
      <c r="AJY5"/>
      <c r="AKA5"/>
      <c r="AKC5"/>
      <c r="AKE5"/>
      <c r="AKG5"/>
      <c r="AKI5"/>
      <c r="AKK5"/>
      <c r="AKM5"/>
      <c r="AKO5"/>
      <c r="AKQ5"/>
      <c r="AKS5"/>
      <c r="AKU5"/>
      <c r="AKW5"/>
      <c r="AKY5"/>
      <c r="ALA5"/>
      <c r="ALC5"/>
      <c r="ALE5"/>
      <c r="ALG5"/>
      <c r="ALI5"/>
      <c r="ALK5"/>
      <c r="ALM5"/>
      <c r="ALO5"/>
      <c r="ALQ5"/>
      <c r="ALS5"/>
      <c r="ALU5"/>
      <c r="ALW5"/>
      <c r="ALY5"/>
      <c r="AMA5"/>
      <c r="AMC5"/>
      <c r="AME5"/>
      <c r="AMG5"/>
      <c r="AMI5"/>
      <c r="AMK5"/>
      <c r="AMM5"/>
      <c r="AMO5"/>
      <c r="AMQ5"/>
      <c r="AMS5"/>
      <c r="AMU5"/>
      <c r="AMW5"/>
      <c r="AMY5"/>
      <c r="ANA5"/>
      <c r="ANC5"/>
      <c r="ANE5"/>
      <c r="ANG5"/>
      <c r="ANI5"/>
      <c r="ANK5"/>
      <c r="ANM5"/>
      <c r="ANO5"/>
      <c r="ANQ5"/>
      <c r="ANS5"/>
      <c r="ANU5"/>
      <c r="ANW5"/>
      <c r="ANY5"/>
      <c r="AOA5"/>
      <c r="AOC5"/>
      <c r="AOE5"/>
      <c r="AOG5"/>
      <c r="AOI5"/>
      <c r="AOK5"/>
      <c r="AOM5"/>
      <c r="AOO5"/>
      <c r="AOQ5"/>
      <c r="AOS5"/>
      <c r="AOU5"/>
      <c r="AOW5"/>
      <c r="AOY5"/>
      <c r="APA5"/>
      <c r="APC5"/>
      <c r="APE5"/>
      <c r="APG5"/>
      <c r="API5"/>
      <c r="APK5"/>
      <c r="APM5"/>
      <c r="APO5"/>
      <c r="APQ5"/>
      <c r="APS5"/>
      <c r="APU5"/>
      <c r="APW5"/>
      <c r="APY5"/>
      <c r="AQA5"/>
      <c r="AQC5"/>
      <c r="AQE5"/>
      <c r="AQG5"/>
      <c r="AQI5"/>
      <c r="AQK5"/>
      <c r="AQM5"/>
      <c r="AQO5"/>
      <c r="AQQ5"/>
      <c r="AQS5"/>
      <c r="AQU5"/>
      <c r="AQW5"/>
      <c r="AQY5"/>
      <c r="ARA5"/>
      <c r="ARC5"/>
      <c r="ARE5"/>
      <c r="ARG5"/>
      <c r="ARI5"/>
      <c r="ARK5"/>
      <c r="ARM5"/>
      <c r="ARO5"/>
      <c r="ARQ5"/>
      <c r="ARS5"/>
      <c r="ARU5"/>
      <c r="ARW5"/>
      <c r="ARY5"/>
      <c r="ASA5"/>
      <c r="ASC5"/>
      <c r="ASE5"/>
      <c r="ASG5"/>
      <c r="ASI5"/>
      <c r="ASK5"/>
      <c r="ASM5"/>
      <c r="ASO5"/>
      <c r="ASQ5"/>
      <c r="ASS5"/>
      <c r="ASU5"/>
      <c r="ASW5"/>
      <c r="ASY5"/>
      <c r="ATA5"/>
      <c r="ATC5"/>
      <c r="ATE5"/>
      <c r="ATG5"/>
      <c r="ATI5"/>
      <c r="ATK5"/>
      <c r="ATM5"/>
      <c r="ATO5"/>
      <c r="ATQ5"/>
      <c r="ATS5"/>
      <c r="ATU5"/>
      <c r="ATW5"/>
      <c r="ATY5"/>
      <c r="AUA5"/>
      <c r="AUC5"/>
      <c r="AUE5"/>
      <c r="AUG5"/>
      <c r="AUI5"/>
      <c r="AUK5"/>
      <c r="AUM5"/>
      <c r="AUO5"/>
      <c r="AUQ5"/>
      <c r="AUS5"/>
      <c r="AUU5"/>
      <c r="AUW5"/>
      <c r="AUY5"/>
      <c r="AVA5"/>
      <c r="AVC5"/>
      <c r="AVE5"/>
      <c r="AVG5"/>
      <c r="AVI5"/>
      <c r="AVK5"/>
      <c r="AVM5"/>
      <c r="AVO5"/>
      <c r="AVQ5"/>
      <c r="AVS5"/>
      <c r="AVU5"/>
      <c r="AVW5"/>
      <c r="AVY5"/>
      <c r="AWA5"/>
      <c r="AWC5"/>
      <c r="AWE5"/>
      <c r="AWG5"/>
      <c r="AWI5"/>
      <c r="AWK5"/>
      <c r="AWM5"/>
      <c r="AWO5"/>
      <c r="AWQ5"/>
      <c r="AWS5"/>
      <c r="AWU5"/>
      <c r="AWW5"/>
      <c r="AWY5"/>
      <c r="AXA5"/>
      <c r="AXC5"/>
      <c r="AXE5"/>
      <c r="AXG5"/>
      <c r="AXI5"/>
      <c r="AXK5"/>
      <c r="AXM5"/>
      <c r="AXO5"/>
      <c r="AXQ5"/>
      <c r="AXS5"/>
      <c r="AXU5"/>
      <c r="AXW5"/>
      <c r="AXY5"/>
      <c r="AYA5"/>
      <c r="AYC5"/>
      <c r="AYE5"/>
      <c r="AYG5"/>
      <c r="AYI5"/>
      <c r="AYK5"/>
      <c r="AYM5"/>
      <c r="AYO5"/>
      <c r="AYQ5"/>
      <c r="AYS5"/>
      <c r="AYU5"/>
      <c r="AYW5"/>
      <c r="AYY5"/>
      <c r="AZA5"/>
      <c r="AZC5"/>
      <c r="AZE5"/>
      <c r="AZG5"/>
      <c r="AZI5"/>
      <c r="AZK5"/>
      <c r="AZM5"/>
      <c r="AZO5"/>
      <c r="AZQ5"/>
      <c r="AZS5"/>
      <c r="AZU5"/>
      <c r="AZW5"/>
      <c r="AZY5"/>
      <c r="BAA5"/>
      <c r="BAC5"/>
      <c r="BAE5"/>
      <c r="BAG5"/>
      <c r="BAI5"/>
      <c r="BAK5"/>
      <c r="BAM5"/>
      <c r="BAO5"/>
      <c r="BAQ5"/>
      <c r="BAS5"/>
      <c r="BAU5"/>
      <c r="BAW5"/>
      <c r="BAY5"/>
      <c r="BBA5"/>
      <c r="BBC5"/>
      <c r="BBE5"/>
      <c r="BBG5"/>
      <c r="BBI5"/>
      <c r="BBK5"/>
      <c r="BBM5"/>
      <c r="BBO5"/>
      <c r="BBQ5"/>
      <c r="BBS5"/>
      <c r="BBU5"/>
      <c r="BBW5"/>
      <c r="BBY5"/>
      <c r="BCA5"/>
      <c r="BCC5"/>
      <c r="BCE5"/>
      <c r="BCG5"/>
      <c r="BCI5"/>
      <c r="BCK5"/>
      <c r="BCM5"/>
      <c r="BCO5"/>
      <c r="BCQ5"/>
      <c r="BCS5"/>
      <c r="BCU5"/>
      <c r="BCW5"/>
      <c r="BCY5"/>
      <c r="BDA5"/>
      <c r="BDC5"/>
      <c r="BDE5"/>
      <c r="BDG5"/>
      <c r="BDI5"/>
      <c r="BDK5"/>
      <c r="BDM5"/>
      <c r="BDO5"/>
      <c r="BDQ5"/>
      <c r="BDS5"/>
      <c r="BDU5"/>
      <c r="BDW5"/>
      <c r="BDY5"/>
      <c r="BEA5"/>
      <c r="BEC5"/>
      <c r="BEE5"/>
      <c r="BEG5"/>
      <c r="BEI5"/>
      <c r="BEK5"/>
      <c r="BEM5"/>
      <c r="BEO5"/>
      <c r="BEQ5"/>
      <c r="BES5"/>
      <c r="BEU5"/>
      <c r="BEW5"/>
      <c r="BEY5"/>
      <c r="BFA5"/>
      <c r="BFC5"/>
      <c r="BFE5"/>
      <c r="BFG5"/>
      <c r="BFI5"/>
      <c r="BFK5"/>
      <c r="BFM5"/>
      <c r="BFO5"/>
      <c r="BFQ5"/>
      <c r="BFS5"/>
      <c r="BFU5"/>
      <c r="BFW5"/>
      <c r="BFY5"/>
      <c r="BGA5"/>
      <c r="BGC5"/>
      <c r="BGE5"/>
      <c r="BGG5"/>
      <c r="BGI5"/>
      <c r="BGK5"/>
      <c r="BGM5"/>
      <c r="BGO5"/>
      <c r="BGQ5"/>
      <c r="BGS5"/>
      <c r="BGU5"/>
      <c r="BGW5"/>
      <c r="BGY5"/>
      <c r="BHA5"/>
      <c r="BHC5"/>
      <c r="BHE5"/>
      <c r="BHG5"/>
      <c r="BHI5"/>
      <c r="BHK5"/>
      <c r="BHM5"/>
      <c r="BHO5"/>
      <c r="BHQ5"/>
      <c r="BHS5"/>
      <c r="BHU5"/>
      <c r="BHW5"/>
      <c r="BHY5"/>
      <c r="BIA5"/>
      <c r="BIC5"/>
      <c r="BIE5"/>
      <c r="BIG5"/>
      <c r="BII5"/>
      <c r="BIK5"/>
      <c r="BIM5"/>
      <c r="BIO5"/>
      <c r="BIQ5"/>
      <c r="BIS5"/>
      <c r="BIU5"/>
      <c r="BIW5"/>
      <c r="BIY5"/>
      <c r="BJA5"/>
      <c r="BJC5"/>
      <c r="BJE5"/>
      <c r="BJG5"/>
      <c r="BJI5"/>
      <c r="BJK5"/>
      <c r="BJM5"/>
      <c r="BJO5"/>
      <c r="BJQ5"/>
      <c r="BJS5"/>
      <c r="BJU5"/>
      <c r="BJW5"/>
      <c r="BJY5"/>
      <c r="BKA5"/>
      <c r="BKC5"/>
      <c r="BKE5"/>
      <c r="BKG5"/>
      <c r="BKI5"/>
      <c r="BKK5"/>
      <c r="BKM5"/>
      <c r="BKO5"/>
      <c r="BKQ5"/>
      <c r="BKS5"/>
      <c r="BKU5"/>
      <c r="BKW5"/>
      <c r="BKY5"/>
      <c r="BLA5"/>
      <c r="BLC5"/>
      <c r="BLE5"/>
      <c r="BLG5"/>
      <c r="BLI5"/>
      <c r="BLK5"/>
      <c r="BLM5"/>
      <c r="BLO5"/>
      <c r="BLQ5"/>
      <c r="BLS5"/>
      <c r="BLU5"/>
      <c r="BLW5"/>
      <c r="BLY5"/>
      <c r="BMA5"/>
      <c r="BMC5"/>
      <c r="BME5"/>
      <c r="BMG5"/>
      <c r="BMI5"/>
      <c r="BMK5"/>
      <c r="BMM5"/>
      <c r="BMO5"/>
      <c r="BMQ5"/>
      <c r="BMS5"/>
      <c r="BMU5"/>
      <c r="BMW5"/>
      <c r="BMY5"/>
      <c r="BNA5"/>
      <c r="BNC5"/>
      <c r="BNE5"/>
      <c r="BNG5"/>
      <c r="BNI5"/>
      <c r="BNK5"/>
      <c r="BNM5"/>
      <c r="BNO5"/>
      <c r="BNQ5"/>
      <c r="BNS5"/>
      <c r="BNU5"/>
      <c r="BNW5"/>
      <c r="BNY5"/>
      <c r="BOA5"/>
      <c r="BOC5"/>
      <c r="BOE5"/>
      <c r="BOG5"/>
      <c r="BOI5"/>
      <c r="BOK5"/>
      <c r="BOM5"/>
      <c r="BOO5"/>
      <c r="BOQ5"/>
      <c r="BOS5"/>
      <c r="BOU5"/>
      <c r="BOW5"/>
      <c r="BOY5"/>
      <c r="BPA5"/>
      <c r="BPC5"/>
      <c r="BPE5"/>
      <c r="BPG5"/>
      <c r="BPI5"/>
      <c r="BPK5"/>
      <c r="BPM5"/>
      <c r="BPO5"/>
      <c r="BPQ5"/>
      <c r="BPS5"/>
      <c r="BPU5"/>
      <c r="BPW5"/>
      <c r="BPY5"/>
      <c r="BQA5"/>
      <c r="BQC5"/>
      <c r="BQE5"/>
      <c r="BQG5"/>
      <c r="BQI5"/>
      <c r="BQK5"/>
      <c r="BQM5"/>
      <c r="BQO5"/>
      <c r="BQQ5"/>
      <c r="BQS5"/>
      <c r="BQU5"/>
      <c r="BQW5"/>
      <c r="BQY5"/>
      <c r="BRA5"/>
      <c r="BRC5"/>
      <c r="BRE5"/>
      <c r="BRG5"/>
      <c r="BRI5"/>
      <c r="BRK5"/>
      <c r="BRM5"/>
      <c r="BRO5"/>
      <c r="BRQ5"/>
      <c r="BRS5"/>
      <c r="BRU5"/>
      <c r="BRW5"/>
      <c r="BRY5"/>
      <c r="BSA5"/>
      <c r="BSC5"/>
      <c r="BSE5"/>
      <c r="BSG5"/>
      <c r="BSI5"/>
      <c r="BSK5"/>
      <c r="BSM5"/>
      <c r="BSO5"/>
      <c r="BSQ5"/>
      <c r="BSS5"/>
      <c r="BSU5"/>
      <c r="BSW5"/>
      <c r="BSY5"/>
      <c r="BTA5"/>
      <c r="BTC5"/>
      <c r="BTE5"/>
      <c r="BTG5"/>
      <c r="BTI5"/>
      <c r="BTK5"/>
      <c r="BTM5"/>
      <c r="BTO5"/>
      <c r="BTQ5"/>
      <c r="BTS5"/>
      <c r="BTU5"/>
      <c r="BTW5"/>
      <c r="BTY5"/>
      <c r="BUA5"/>
      <c r="BUC5"/>
      <c r="BUE5"/>
      <c r="BUG5"/>
      <c r="BUI5"/>
      <c r="BUK5"/>
      <c r="BUM5"/>
      <c r="BUO5"/>
      <c r="BUQ5"/>
      <c r="BUS5"/>
      <c r="BUU5"/>
      <c r="BUW5"/>
      <c r="BUY5"/>
      <c r="BVA5"/>
      <c r="BVC5"/>
      <c r="BVE5"/>
      <c r="BVG5"/>
      <c r="BVI5"/>
      <c r="BVK5"/>
      <c r="BVM5"/>
      <c r="BVO5"/>
      <c r="BVQ5"/>
      <c r="BVS5"/>
      <c r="BVU5"/>
      <c r="BVW5"/>
      <c r="BVY5"/>
      <c r="BWA5"/>
      <c r="BWC5"/>
      <c r="BWE5"/>
      <c r="BWG5"/>
      <c r="BWI5"/>
      <c r="BWK5"/>
      <c r="BWM5"/>
      <c r="BWO5"/>
      <c r="BWQ5"/>
      <c r="BWS5"/>
      <c r="BWU5"/>
      <c r="BWW5"/>
      <c r="BWY5"/>
      <c r="BXA5"/>
      <c r="BXC5"/>
      <c r="BXE5"/>
      <c r="BXG5"/>
      <c r="BXI5"/>
      <c r="BXK5"/>
      <c r="BXM5"/>
      <c r="BXO5"/>
      <c r="BXQ5"/>
      <c r="BXS5"/>
      <c r="BXU5"/>
      <c r="BXW5"/>
      <c r="BXY5"/>
      <c r="BYA5"/>
      <c r="BYC5"/>
      <c r="BYE5"/>
      <c r="BYG5"/>
      <c r="BYI5"/>
      <c r="BYK5"/>
      <c r="BYM5"/>
      <c r="BYO5"/>
      <c r="BYQ5"/>
      <c r="BYS5"/>
      <c r="BYU5"/>
      <c r="BYW5"/>
      <c r="BYY5"/>
      <c r="BZA5"/>
      <c r="BZC5"/>
      <c r="BZE5"/>
      <c r="BZG5"/>
      <c r="BZI5"/>
      <c r="BZK5"/>
      <c r="BZM5"/>
      <c r="BZO5"/>
      <c r="BZQ5"/>
      <c r="BZS5"/>
      <c r="BZU5"/>
      <c r="BZW5"/>
      <c r="BZY5"/>
      <c r="CAA5"/>
      <c r="CAC5"/>
      <c r="CAE5"/>
      <c r="CAG5"/>
      <c r="CAI5"/>
      <c r="CAK5"/>
      <c r="CAM5"/>
      <c r="CAO5"/>
      <c r="CAQ5"/>
      <c r="CAS5"/>
      <c r="CAU5"/>
      <c r="CAW5"/>
      <c r="CAY5"/>
      <c r="CBA5"/>
      <c r="CBC5"/>
      <c r="CBE5"/>
      <c r="CBG5"/>
      <c r="CBI5"/>
      <c r="CBK5"/>
      <c r="CBM5"/>
      <c r="CBO5"/>
      <c r="CBQ5"/>
      <c r="CBS5"/>
      <c r="CBU5"/>
      <c r="CBW5"/>
      <c r="CBY5"/>
      <c r="CCA5"/>
      <c r="CCC5"/>
      <c r="CCE5"/>
      <c r="CCG5"/>
      <c r="CCI5"/>
      <c r="CCK5"/>
      <c r="CCM5"/>
      <c r="CCO5"/>
      <c r="CCQ5"/>
      <c r="CCS5"/>
      <c r="CCU5"/>
      <c r="CCW5"/>
      <c r="CCY5"/>
      <c r="CDA5"/>
      <c r="CDC5"/>
      <c r="CDE5"/>
      <c r="CDG5"/>
      <c r="CDI5"/>
      <c r="CDK5"/>
      <c r="CDM5"/>
      <c r="CDO5"/>
      <c r="CDQ5"/>
      <c r="CDS5"/>
      <c r="CDU5"/>
      <c r="CDW5"/>
      <c r="CDY5"/>
      <c r="CEA5"/>
      <c r="CEC5"/>
      <c r="CEE5"/>
      <c r="CEG5"/>
      <c r="CEI5"/>
      <c r="CEK5"/>
      <c r="CEM5"/>
      <c r="CEO5"/>
      <c r="CEQ5"/>
      <c r="CES5"/>
      <c r="CEU5"/>
      <c r="CEW5"/>
      <c r="CEY5"/>
      <c r="CFA5"/>
      <c r="CFC5"/>
      <c r="CFE5"/>
      <c r="CFG5"/>
      <c r="CFI5"/>
      <c r="CFK5"/>
      <c r="CFM5"/>
      <c r="CFO5"/>
      <c r="CFQ5"/>
      <c r="CFS5"/>
      <c r="CFU5"/>
      <c r="CFW5"/>
      <c r="CFY5"/>
      <c r="CGA5"/>
      <c r="CGC5"/>
      <c r="CGE5"/>
      <c r="CGG5"/>
      <c r="CGI5"/>
      <c r="CGK5"/>
      <c r="CGM5"/>
      <c r="CGO5"/>
      <c r="CGQ5"/>
      <c r="CGS5"/>
      <c r="CGU5"/>
      <c r="CGW5"/>
      <c r="CGY5"/>
      <c r="CHA5"/>
      <c r="CHC5"/>
      <c r="CHE5"/>
      <c r="CHG5"/>
      <c r="CHI5"/>
      <c r="CHK5"/>
      <c r="CHM5"/>
      <c r="CHO5"/>
      <c r="CHQ5"/>
      <c r="CHS5"/>
      <c r="CHU5"/>
      <c r="CHW5"/>
      <c r="CHY5"/>
      <c r="CIA5"/>
      <c r="CIC5"/>
      <c r="CIE5"/>
      <c r="CIG5"/>
      <c r="CII5"/>
      <c r="CIK5"/>
      <c r="CIM5"/>
      <c r="CIO5"/>
      <c r="CIQ5"/>
      <c r="CIS5"/>
      <c r="CIU5"/>
      <c r="CIW5"/>
      <c r="CIY5"/>
      <c r="CJA5"/>
      <c r="CJC5"/>
      <c r="CJE5"/>
      <c r="CJG5"/>
      <c r="CJI5"/>
      <c r="CJK5"/>
      <c r="CJM5"/>
      <c r="CJO5"/>
      <c r="CJQ5"/>
      <c r="CJS5"/>
      <c r="CJU5"/>
      <c r="CJW5"/>
      <c r="CJY5"/>
      <c r="CKA5"/>
      <c r="CKC5"/>
      <c r="CKE5"/>
      <c r="CKG5"/>
      <c r="CKI5"/>
      <c r="CKK5"/>
      <c r="CKM5"/>
      <c r="CKO5"/>
      <c r="CKQ5"/>
      <c r="CKS5"/>
      <c r="CKU5"/>
      <c r="CKW5"/>
      <c r="CKY5"/>
      <c r="CLA5"/>
      <c r="CLC5"/>
      <c r="CLE5"/>
      <c r="CLG5"/>
      <c r="CLI5"/>
      <c r="CLK5"/>
      <c r="CLM5"/>
      <c r="CLO5"/>
      <c r="CLQ5"/>
      <c r="CLS5"/>
      <c r="CLU5"/>
      <c r="CLW5"/>
      <c r="CLY5"/>
      <c r="CMA5"/>
      <c r="CMC5"/>
      <c r="CME5"/>
      <c r="CMG5"/>
      <c r="CMI5"/>
      <c r="CMK5"/>
      <c r="CMM5"/>
      <c r="CMO5"/>
      <c r="CMQ5"/>
      <c r="CMS5"/>
      <c r="CMU5"/>
      <c r="CMW5"/>
      <c r="CMY5"/>
      <c r="CNA5"/>
      <c r="CNC5"/>
      <c r="CNE5"/>
      <c r="CNG5"/>
      <c r="CNI5"/>
      <c r="CNK5"/>
      <c r="CNM5"/>
      <c r="CNO5"/>
      <c r="CNQ5"/>
      <c r="CNS5"/>
      <c r="CNU5"/>
      <c r="CNW5"/>
      <c r="CNY5"/>
      <c r="COA5"/>
      <c r="COC5"/>
      <c r="COE5"/>
      <c r="COG5"/>
      <c r="COI5"/>
      <c r="COK5"/>
      <c r="COM5"/>
      <c r="COO5"/>
      <c r="COQ5"/>
      <c r="COS5"/>
      <c r="COU5"/>
      <c r="COW5"/>
      <c r="COY5"/>
      <c r="CPA5"/>
      <c r="CPC5"/>
      <c r="CPE5"/>
      <c r="CPG5"/>
      <c r="CPI5"/>
      <c r="CPK5"/>
      <c r="CPM5"/>
      <c r="CPO5"/>
      <c r="CPQ5"/>
      <c r="CPS5"/>
      <c r="CPU5"/>
      <c r="CPW5"/>
      <c r="CPY5"/>
      <c r="CQA5"/>
      <c r="CQC5"/>
      <c r="CQE5"/>
      <c r="CQG5"/>
      <c r="CQI5"/>
      <c r="CQK5"/>
      <c r="CQM5"/>
      <c r="CQO5"/>
      <c r="CQQ5"/>
      <c r="CQS5"/>
      <c r="CQU5"/>
      <c r="CQW5"/>
      <c r="CQY5"/>
      <c r="CRA5"/>
      <c r="CRC5"/>
      <c r="CRE5"/>
      <c r="CRG5"/>
      <c r="CRI5"/>
      <c r="CRK5"/>
      <c r="CRM5"/>
      <c r="CRO5"/>
      <c r="CRQ5"/>
      <c r="CRS5"/>
      <c r="CRU5"/>
      <c r="CRW5"/>
      <c r="CRY5"/>
      <c r="CSA5"/>
      <c r="CSC5"/>
      <c r="CSE5"/>
      <c r="CSG5"/>
      <c r="CSI5"/>
      <c r="CSK5"/>
      <c r="CSM5"/>
      <c r="CSO5"/>
      <c r="CSQ5"/>
      <c r="CSS5"/>
      <c r="CSU5"/>
      <c r="CSW5"/>
      <c r="CSY5"/>
      <c r="CTA5"/>
      <c r="CTC5"/>
      <c r="CTE5"/>
      <c r="CTG5"/>
      <c r="CTI5"/>
      <c r="CTK5"/>
      <c r="CTM5"/>
      <c r="CTO5"/>
      <c r="CTQ5"/>
      <c r="CTS5"/>
      <c r="CTU5"/>
      <c r="CTW5"/>
      <c r="CTY5"/>
      <c r="CUA5"/>
      <c r="CUC5"/>
      <c r="CUE5"/>
      <c r="CUG5"/>
      <c r="CUI5"/>
      <c r="CUK5"/>
      <c r="CUM5"/>
      <c r="CUO5"/>
      <c r="CUQ5"/>
      <c r="CUS5"/>
      <c r="CUU5"/>
      <c r="CUW5"/>
      <c r="CUY5"/>
      <c r="CVA5"/>
      <c r="CVC5"/>
      <c r="CVE5"/>
      <c r="CVG5"/>
      <c r="CVI5"/>
      <c r="CVK5"/>
      <c r="CVM5"/>
      <c r="CVO5"/>
      <c r="CVQ5"/>
      <c r="CVS5"/>
      <c r="CVU5"/>
      <c r="CVW5"/>
      <c r="CVY5"/>
      <c r="CWA5"/>
      <c r="CWC5"/>
      <c r="CWE5"/>
      <c r="CWG5"/>
      <c r="CWI5"/>
      <c r="CWK5"/>
      <c r="CWM5"/>
      <c r="CWO5"/>
      <c r="CWQ5"/>
      <c r="CWS5"/>
      <c r="CWU5"/>
      <c r="CWW5"/>
      <c r="CWY5"/>
      <c r="CXA5"/>
      <c r="CXC5"/>
      <c r="CXE5"/>
      <c r="CXG5"/>
      <c r="CXI5"/>
      <c r="CXK5"/>
      <c r="CXM5"/>
      <c r="CXO5"/>
      <c r="CXQ5"/>
      <c r="CXS5"/>
      <c r="CXU5"/>
      <c r="CXW5"/>
      <c r="CXY5"/>
      <c r="CYA5"/>
      <c r="CYC5"/>
      <c r="CYE5"/>
      <c r="CYG5"/>
      <c r="CYI5"/>
      <c r="CYK5"/>
      <c r="CYM5"/>
      <c r="CYO5"/>
      <c r="CYQ5"/>
      <c r="CYS5"/>
      <c r="CYU5"/>
      <c r="CYW5"/>
      <c r="CYY5"/>
      <c r="CZA5"/>
      <c r="CZC5"/>
      <c r="CZE5"/>
      <c r="CZG5"/>
      <c r="CZI5"/>
      <c r="CZK5"/>
      <c r="CZM5"/>
      <c r="CZO5"/>
      <c r="CZQ5"/>
      <c r="CZS5"/>
      <c r="CZU5"/>
      <c r="CZW5"/>
      <c r="CZY5"/>
      <c r="DAA5"/>
      <c r="DAC5"/>
      <c r="DAE5"/>
      <c r="DAG5"/>
      <c r="DAI5"/>
      <c r="DAK5"/>
      <c r="DAM5"/>
      <c r="DAO5"/>
      <c r="DAQ5"/>
      <c r="DAS5"/>
      <c r="DAU5"/>
      <c r="DAW5"/>
      <c r="DAY5"/>
      <c r="DBA5"/>
      <c r="DBC5"/>
      <c r="DBE5"/>
      <c r="DBG5"/>
      <c r="DBI5"/>
      <c r="DBK5"/>
      <c r="DBM5"/>
      <c r="DBO5"/>
      <c r="DBQ5"/>
      <c r="DBS5"/>
      <c r="DBU5"/>
      <c r="DBW5"/>
      <c r="DBY5"/>
      <c r="DCA5"/>
      <c r="DCC5"/>
      <c r="DCE5"/>
      <c r="DCG5"/>
      <c r="DCI5"/>
      <c r="DCK5"/>
      <c r="DCM5"/>
      <c r="DCO5"/>
      <c r="DCQ5"/>
      <c r="DCS5"/>
      <c r="DCU5"/>
      <c r="DCW5"/>
      <c r="DCY5"/>
      <c r="DDA5"/>
      <c r="DDC5"/>
      <c r="DDE5"/>
      <c r="DDG5"/>
      <c r="DDI5"/>
      <c r="DDK5"/>
      <c r="DDM5"/>
      <c r="DDO5"/>
      <c r="DDQ5"/>
      <c r="DDS5"/>
      <c r="DDU5"/>
      <c r="DDW5"/>
      <c r="DDY5"/>
      <c r="DEA5"/>
      <c r="DEC5"/>
      <c r="DEE5"/>
      <c r="DEG5"/>
      <c r="DEI5"/>
      <c r="DEK5"/>
      <c r="DEM5"/>
      <c r="DEO5"/>
      <c r="DEQ5"/>
      <c r="DES5"/>
      <c r="DEU5"/>
      <c r="DEW5"/>
      <c r="DEY5"/>
      <c r="DFA5"/>
      <c r="DFC5"/>
      <c r="DFE5"/>
      <c r="DFG5"/>
      <c r="DFI5"/>
      <c r="DFK5"/>
      <c r="DFM5"/>
      <c r="DFO5"/>
      <c r="DFQ5"/>
      <c r="DFS5"/>
      <c r="DFU5"/>
      <c r="DFW5"/>
      <c r="DFY5"/>
      <c r="DGA5"/>
      <c r="DGC5"/>
      <c r="DGE5"/>
      <c r="DGG5"/>
      <c r="DGI5"/>
      <c r="DGK5"/>
      <c r="DGM5"/>
      <c r="DGO5"/>
      <c r="DGQ5"/>
      <c r="DGS5"/>
      <c r="DGU5"/>
      <c r="DGW5"/>
      <c r="DGY5"/>
      <c r="DHA5"/>
      <c r="DHC5"/>
      <c r="DHE5"/>
      <c r="DHG5"/>
      <c r="DHI5"/>
      <c r="DHK5"/>
      <c r="DHM5"/>
      <c r="DHO5"/>
      <c r="DHQ5"/>
      <c r="DHS5"/>
      <c r="DHU5"/>
      <c r="DHW5"/>
      <c r="DHY5"/>
      <c r="DIA5"/>
      <c r="DIC5"/>
      <c r="DIE5"/>
      <c r="DIG5"/>
      <c r="DII5"/>
      <c r="DIK5"/>
      <c r="DIM5"/>
      <c r="DIO5"/>
      <c r="DIQ5"/>
      <c r="DIS5"/>
      <c r="DIU5"/>
      <c r="DIW5"/>
      <c r="DIY5"/>
      <c r="DJA5"/>
      <c r="DJC5"/>
      <c r="DJE5"/>
      <c r="DJG5"/>
      <c r="DJI5"/>
      <c r="DJK5"/>
      <c r="DJM5"/>
      <c r="DJO5"/>
      <c r="DJQ5"/>
      <c r="DJS5"/>
      <c r="DJU5"/>
      <c r="DJW5"/>
      <c r="DJY5"/>
      <c r="DKA5"/>
      <c r="DKC5"/>
      <c r="DKE5"/>
      <c r="DKG5"/>
      <c r="DKI5"/>
      <c r="DKK5"/>
      <c r="DKM5"/>
      <c r="DKO5"/>
      <c r="DKQ5"/>
      <c r="DKS5"/>
      <c r="DKU5"/>
      <c r="DKW5"/>
      <c r="DKY5"/>
      <c r="DLA5"/>
      <c r="DLC5"/>
      <c r="DLE5"/>
      <c r="DLG5"/>
      <c r="DLI5"/>
      <c r="DLK5"/>
      <c r="DLM5"/>
      <c r="DLO5"/>
      <c r="DLQ5"/>
      <c r="DLS5"/>
      <c r="DLU5"/>
      <c r="DLW5"/>
      <c r="DLY5"/>
      <c r="DMA5"/>
      <c r="DMC5"/>
      <c r="DME5"/>
      <c r="DMG5"/>
      <c r="DMI5"/>
      <c r="DMK5"/>
      <c r="DMM5"/>
      <c r="DMO5"/>
      <c r="DMQ5"/>
      <c r="DMS5"/>
      <c r="DMU5"/>
      <c r="DMW5"/>
      <c r="DMY5"/>
      <c r="DNA5"/>
      <c r="DNC5"/>
      <c r="DNE5"/>
      <c r="DNG5"/>
      <c r="DNI5"/>
      <c r="DNK5"/>
      <c r="DNM5"/>
      <c r="DNO5"/>
      <c r="DNQ5"/>
      <c r="DNS5"/>
      <c r="DNU5"/>
      <c r="DNW5"/>
      <c r="DNY5"/>
      <c r="DOA5"/>
      <c r="DOC5"/>
      <c r="DOE5"/>
      <c r="DOG5"/>
      <c r="DOI5"/>
      <c r="DOK5"/>
      <c r="DOM5"/>
      <c r="DOO5"/>
      <c r="DOQ5"/>
      <c r="DOS5"/>
      <c r="DOU5"/>
      <c r="DOW5"/>
      <c r="DOY5"/>
      <c r="DPA5"/>
      <c r="DPC5"/>
      <c r="DPE5"/>
      <c r="DPG5"/>
      <c r="DPI5"/>
      <c r="DPK5"/>
      <c r="DPM5"/>
      <c r="DPO5"/>
      <c r="DPQ5"/>
      <c r="DPS5"/>
      <c r="DPU5"/>
      <c r="DPW5"/>
      <c r="DPY5"/>
      <c r="DQA5"/>
      <c r="DQC5"/>
      <c r="DQE5"/>
      <c r="DQG5"/>
      <c r="DQI5"/>
      <c r="DQK5"/>
      <c r="DQM5"/>
      <c r="DQO5"/>
      <c r="DQQ5"/>
      <c r="DQS5"/>
      <c r="DQU5"/>
      <c r="DQW5"/>
      <c r="DQY5"/>
      <c r="DRA5"/>
      <c r="DRC5"/>
      <c r="DRE5"/>
      <c r="DRG5"/>
      <c r="DRI5"/>
      <c r="DRK5"/>
      <c r="DRM5"/>
      <c r="DRO5"/>
      <c r="DRQ5"/>
      <c r="DRS5"/>
      <c r="DRU5"/>
      <c r="DRW5"/>
      <c r="DRY5"/>
      <c r="DSA5"/>
      <c r="DSC5"/>
      <c r="DSE5"/>
      <c r="DSG5"/>
      <c r="DSI5"/>
      <c r="DSK5"/>
      <c r="DSM5"/>
      <c r="DSO5"/>
      <c r="DSQ5"/>
      <c r="DSS5"/>
      <c r="DSU5"/>
      <c r="DSW5"/>
      <c r="DSY5"/>
      <c r="DTA5"/>
      <c r="DTC5"/>
      <c r="DTE5"/>
      <c r="DTG5"/>
      <c r="DTI5"/>
      <c r="DTK5"/>
      <c r="DTM5"/>
      <c r="DTO5"/>
      <c r="DTQ5"/>
      <c r="DTS5"/>
      <c r="DTU5"/>
      <c r="DTW5"/>
      <c r="DTY5"/>
      <c r="DUA5"/>
      <c r="DUC5"/>
      <c r="DUE5"/>
      <c r="DUG5"/>
      <c r="DUI5"/>
      <c r="DUK5"/>
      <c r="DUM5"/>
      <c r="DUO5"/>
      <c r="DUQ5"/>
      <c r="DUS5"/>
      <c r="DUU5"/>
      <c r="DUW5"/>
      <c r="DUY5"/>
      <c r="DVA5"/>
      <c r="DVC5"/>
      <c r="DVE5"/>
      <c r="DVG5"/>
      <c r="DVI5"/>
      <c r="DVK5"/>
      <c r="DVM5"/>
      <c r="DVO5"/>
      <c r="DVQ5"/>
      <c r="DVS5"/>
      <c r="DVU5"/>
      <c r="DVW5"/>
      <c r="DVY5"/>
      <c r="DWA5"/>
      <c r="DWC5"/>
      <c r="DWE5"/>
      <c r="DWG5"/>
      <c r="DWI5"/>
      <c r="DWK5"/>
      <c r="DWM5"/>
      <c r="DWO5"/>
      <c r="DWQ5"/>
      <c r="DWS5"/>
      <c r="DWU5"/>
      <c r="DWW5"/>
      <c r="DWY5"/>
      <c r="DXA5"/>
      <c r="DXC5"/>
      <c r="DXE5"/>
      <c r="DXG5"/>
      <c r="DXI5"/>
      <c r="DXK5"/>
      <c r="DXM5"/>
      <c r="DXO5"/>
      <c r="DXQ5"/>
      <c r="DXS5"/>
      <c r="DXU5"/>
      <c r="DXW5"/>
      <c r="DXY5"/>
      <c r="DYA5"/>
      <c r="DYC5"/>
      <c r="DYE5"/>
      <c r="DYG5"/>
      <c r="DYI5"/>
      <c r="DYK5"/>
      <c r="DYM5"/>
      <c r="DYO5"/>
      <c r="DYQ5"/>
      <c r="DYS5"/>
      <c r="DYU5"/>
      <c r="DYW5"/>
      <c r="DYY5"/>
      <c r="DZA5"/>
      <c r="DZC5"/>
      <c r="DZE5"/>
      <c r="DZG5"/>
      <c r="DZI5"/>
      <c r="DZK5"/>
      <c r="DZM5"/>
      <c r="DZO5"/>
      <c r="DZQ5"/>
      <c r="DZS5"/>
      <c r="DZU5"/>
      <c r="DZW5"/>
      <c r="DZY5"/>
      <c r="EAA5"/>
      <c r="EAC5"/>
      <c r="EAE5"/>
      <c r="EAG5"/>
      <c r="EAI5"/>
      <c r="EAK5"/>
      <c r="EAM5"/>
      <c r="EAO5"/>
      <c r="EAQ5"/>
      <c r="EAS5"/>
      <c r="EAU5"/>
      <c r="EAW5"/>
      <c r="EAY5"/>
      <c r="EBA5"/>
      <c r="EBC5"/>
      <c r="EBE5"/>
      <c r="EBG5"/>
      <c r="EBI5"/>
      <c r="EBK5"/>
      <c r="EBM5"/>
      <c r="EBO5"/>
      <c r="EBQ5"/>
      <c r="EBS5"/>
      <c r="EBU5"/>
      <c r="EBW5"/>
      <c r="EBY5"/>
      <c r="ECA5"/>
      <c r="ECC5"/>
      <c r="ECE5"/>
      <c r="ECG5"/>
      <c r="ECI5"/>
      <c r="ECK5"/>
      <c r="ECM5"/>
      <c r="ECO5"/>
      <c r="ECQ5"/>
      <c r="ECS5"/>
      <c r="ECU5"/>
      <c r="ECW5"/>
      <c r="ECY5"/>
      <c r="EDA5"/>
      <c r="EDC5"/>
      <c r="EDE5"/>
      <c r="EDG5"/>
      <c r="EDI5"/>
      <c r="EDK5"/>
      <c r="EDM5"/>
      <c r="EDO5"/>
      <c r="EDQ5"/>
      <c r="EDS5"/>
      <c r="EDU5"/>
      <c r="EDW5"/>
      <c r="EDY5"/>
      <c r="EEA5"/>
      <c r="EEC5"/>
      <c r="EEE5"/>
      <c r="EEG5"/>
      <c r="EEI5"/>
      <c r="EEK5"/>
      <c r="EEM5"/>
      <c r="EEO5"/>
      <c r="EEQ5"/>
      <c r="EES5"/>
      <c r="EEU5"/>
      <c r="EEW5"/>
      <c r="EEY5"/>
      <c r="EFA5"/>
      <c r="EFC5"/>
      <c r="EFE5"/>
      <c r="EFG5"/>
      <c r="EFI5"/>
      <c r="EFK5"/>
      <c r="EFM5"/>
      <c r="EFO5"/>
      <c r="EFQ5"/>
      <c r="EFS5"/>
      <c r="EFU5"/>
      <c r="EFW5"/>
      <c r="EFY5"/>
      <c r="EGA5"/>
      <c r="EGC5"/>
      <c r="EGE5"/>
      <c r="EGG5"/>
      <c r="EGI5"/>
      <c r="EGK5"/>
      <c r="EGM5"/>
      <c r="EGO5"/>
      <c r="EGQ5"/>
      <c r="EGS5"/>
      <c r="EGU5"/>
      <c r="EGW5"/>
      <c r="EGY5"/>
      <c r="EHA5"/>
      <c r="EHC5"/>
      <c r="EHE5"/>
      <c r="EHG5"/>
      <c r="EHI5"/>
      <c r="EHK5"/>
      <c r="EHM5"/>
      <c r="EHO5"/>
      <c r="EHQ5"/>
      <c r="EHS5"/>
      <c r="EHU5"/>
      <c r="EHW5"/>
      <c r="EHY5"/>
      <c r="EIA5"/>
      <c r="EIC5"/>
      <c r="EIE5"/>
      <c r="EIG5"/>
      <c r="EII5"/>
      <c r="EIK5"/>
      <c r="EIM5"/>
      <c r="EIO5"/>
      <c r="EIQ5"/>
      <c r="EIS5"/>
      <c r="EIU5"/>
      <c r="EIW5"/>
      <c r="EIY5"/>
      <c r="EJA5"/>
      <c r="EJC5"/>
      <c r="EJE5"/>
      <c r="EJG5"/>
      <c r="EJI5"/>
      <c r="EJK5"/>
      <c r="EJM5"/>
      <c r="EJO5"/>
      <c r="EJQ5"/>
      <c r="EJS5"/>
      <c r="EJU5"/>
      <c r="EJW5"/>
      <c r="EJY5"/>
      <c r="EKA5"/>
      <c r="EKC5"/>
      <c r="EKE5"/>
      <c r="EKG5"/>
      <c r="EKI5"/>
      <c r="EKK5"/>
      <c r="EKM5"/>
      <c r="EKO5"/>
      <c r="EKQ5"/>
      <c r="EKS5"/>
      <c r="EKU5"/>
      <c r="EKW5"/>
      <c r="EKY5"/>
      <c r="ELA5"/>
      <c r="ELC5"/>
      <c r="ELE5"/>
      <c r="ELG5"/>
      <c r="ELI5"/>
      <c r="ELK5"/>
      <c r="ELM5"/>
      <c r="ELO5"/>
      <c r="ELQ5"/>
      <c r="ELS5"/>
      <c r="ELU5"/>
      <c r="ELW5"/>
      <c r="ELY5"/>
      <c r="EMA5"/>
      <c r="EMC5"/>
      <c r="EME5"/>
      <c r="EMG5"/>
      <c r="EMI5"/>
      <c r="EMK5"/>
      <c r="EMM5"/>
      <c r="EMO5"/>
      <c r="EMQ5"/>
      <c r="EMS5"/>
      <c r="EMU5"/>
      <c r="EMW5"/>
      <c r="EMY5"/>
      <c r="ENA5"/>
      <c r="ENC5"/>
      <c r="ENE5"/>
      <c r="ENG5"/>
      <c r="ENI5"/>
      <c r="ENK5"/>
      <c r="ENM5"/>
      <c r="ENO5"/>
      <c r="ENQ5"/>
      <c r="ENS5"/>
      <c r="ENU5"/>
      <c r="ENW5"/>
      <c r="ENY5"/>
      <c r="EOA5"/>
      <c r="EOC5"/>
      <c r="EOE5"/>
      <c r="EOG5"/>
      <c r="EOI5"/>
      <c r="EOK5"/>
      <c r="EOM5"/>
      <c r="EOO5"/>
      <c r="EOQ5"/>
      <c r="EOS5"/>
      <c r="EOU5"/>
      <c r="EOW5"/>
      <c r="EOY5"/>
      <c r="EPA5"/>
      <c r="EPC5"/>
      <c r="EPE5"/>
      <c r="EPG5"/>
      <c r="EPI5"/>
      <c r="EPK5"/>
      <c r="EPM5"/>
      <c r="EPO5"/>
      <c r="EPQ5"/>
      <c r="EPS5"/>
      <c r="EPU5"/>
      <c r="EPW5"/>
      <c r="EPY5"/>
      <c r="EQA5"/>
      <c r="EQC5"/>
      <c r="EQE5"/>
      <c r="EQG5"/>
      <c r="EQI5"/>
      <c r="EQK5"/>
      <c r="EQM5"/>
      <c r="EQO5"/>
      <c r="EQQ5"/>
      <c r="EQS5"/>
      <c r="EQU5"/>
      <c r="EQW5"/>
      <c r="EQY5"/>
      <c r="ERA5"/>
      <c r="ERC5"/>
      <c r="ERE5"/>
      <c r="ERG5"/>
      <c r="ERI5"/>
      <c r="ERK5"/>
      <c r="ERM5"/>
      <c r="ERO5"/>
      <c r="ERQ5"/>
      <c r="ERS5"/>
      <c r="ERU5"/>
      <c r="ERW5"/>
      <c r="ERY5"/>
      <c r="ESA5"/>
      <c r="ESC5"/>
      <c r="ESE5"/>
      <c r="ESG5"/>
      <c r="ESI5"/>
      <c r="ESK5"/>
      <c r="ESM5"/>
      <c r="ESO5"/>
      <c r="ESQ5"/>
      <c r="ESS5"/>
      <c r="ESU5"/>
      <c r="ESW5"/>
      <c r="ESY5"/>
      <c r="ETA5"/>
      <c r="ETC5"/>
      <c r="ETE5"/>
      <c r="ETG5"/>
      <c r="ETI5"/>
      <c r="ETK5"/>
      <c r="ETM5"/>
      <c r="ETO5"/>
      <c r="ETQ5"/>
      <c r="ETS5"/>
      <c r="ETU5"/>
      <c r="ETW5"/>
      <c r="ETY5"/>
      <c r="EUA5"/>
      <c r="EUC5"/>
      <c r="EUE5"/>
      <c r="EUG5"/>
      <c r="EUI5"/>
      <c r="EUK5"/>
      <c r="EUM5"/>
      <c r="EUO5"/>
      <c r="EUQ5"/>
      <c r="EUS5"/>
      <c r="EUU5"/>
      <c r="EUW5"/>
      <c r="EUY5"/>
      <c r="EVA5"/>
      <c r="EVC5"/>
      <c r="EVE5"/>
      <c r="EVG5"/>
      <c r="EVI5"/>
      <c r="EVK5"/>
      <c r="EVM5"/>
      <c r="EVO5"/>
      <c r="EVQ5"/>
      <c r="EVS5"/>
      <c r="EVU5"/>
      <c r="EVW5"/>
      <c r="EVY5"/>
      <c r="EWA5"/>
      <c r="EWC5"/>
      <c r="EWE5"/>
      <c r="EWG5"/>
      <c r="EWI5"/>
      <c r="EWK5"/>
      <c r="EWM5"/>
      <c r="EWO5"/>
      <c r="EWQ5"/>
      <c r="EWS5"/>
      <c r="EWU5"/>
      <c r="EWW5"/>
      <c r="EWY5"/>
      <c r="EXA5"/>
      <c r="EXC5"/>
      <c r="EXE5"/>
      <c r="EXG5"/>
      <c r="EXI5"/>
      <c r="EXK5"/>
      <c r="EXM5"/>
      <c r="EXO5"/>
      <c r="EXQ5"/>
      <c r="EXS5"/>
      <c r="EXU5"/>
      <c r="EXW5"/>
      <c r="EXY5"/>
      <c r="EYA5"/>
      <c r="EYC5"/>
      <c r="EYE5"/>
      <c r="EYG5"/>
      <c r="EYI5"/>
      <c r="EYK5"/>
      <c r="EYM5"/>
      <c r="EYO5"/>
      <c r="EYQ5"/>
      <c r="EYS5"/>
      <c r="EYU5"/>
      <c r="EYW5"/>
      <c r="EYY5"/>
      <c r="EZA5"/>
      <c r="EZC5"/>
      <c r="EZE5"/>
      <c r="EZG5"/>
      <c r="EZI5"/>
      <c r="EZK5"/>
      <c r="EZM5"/>
      <c r="EZO5"/>
      <c r="EZQ5"/>
      <c r="EZS5"/>
      <c r="EZU5"/>
      <c r="EZW5"/>
      <c r="EZY5"/>
      <c r="FAA5"/>
      <c r="FAC5"/>
      <c r="FAE5"/>
      <c r="FAG5"/>
      <c r="FAI5"/>
      <c r="FAK5"/>
      <c r="FAM5"/>
      <c r="FAO5"/>
      <c r="FAQ5"/>
      <c r="FAS5"/>
      <c r="FAU5"/>
      <c r="FAW5"/>
      <c r="FAY5"/>
      <c r="FBA5"/>
      <c r="FBC5"/>
      <c r="FBE5"/>
      <c r="FBG5"/>
      <c r="FBI5"/>
      <c r="FBK5"/>
      <c r="FBM5"/>
      <c r="FBO5"/>
      <c r="FBQ5"/>
      <c r="FBS5"/>
      <c r="FBU5"/>
      <c r="FBW5"/>
      <c r="FBY5"/>
      <c r="FCA5"/>
      <c r="FCC5"/>
      <c r="FCE5"/>
      <c r="FCG5"/>
      <c r="FCI5"/>
      <c r="FCK5"/>
      <c r="FCM5"/>
      <c r="FCO5"/>
      <c r="FCQ5"/>
      <c r="FCS5"/>
      <c r="FCU5"/>
      <c r="FCW5"/>
      <c r="FCY5"/>
      <c r="FDA5"/>
      <c r="FDC5"/>
      <c r="FDE5"/>
      <c r="FDG5"/>
      <c r="FDI5"/>
      <c r="FDK5"/>
      <c r="FDM5"/>
      <c r="FDO5"/>
      <c r="FDQ5"/>
      <c r="FDS5"/>
      <c r="FDU5"/>
      <c r="FDW5"/>
      <c r="FDY5"/>
      <c r="FEA5"/>
      <c r="FEC5"/>
      <c r="FEE5"/>
      <c r="FEG5"/>
      <c r="FEI5"/>
      <c r="FEK5"/>
      <c r="FEM5"/>
      <c r="FEO5"/>
      <c r="FEQ5"/>
      <c r="FES5"/>
      <c r="FEU5"/>
      <c r="FEW5"/>
      <c r="FEY5"/>
      <c r="FFA5"/>
      <c r="FFC5"/>
      <c r="FFE5"/>
      <c r="FFG5"/>
      <c r="FFI5"/>
      <c r="FFK5"/>
      <c r="FFM5"/>
      <c r="FFO5"/>
      <c r="FFQ5"/>
      <c r="FFS5"/>
      <c r="FFU5"/>
      <c r="FFW5"/>
      <c r="FFY5"/>
      <c r="FGA5"/>
      <c r="FGC5"/>
      <c r="FGE5"/>
      <c r="FGG5"/>
      <c r="FGI5"/>
      <c r="FGK5"/>
      <c r="FGM5"/>
      <c r="FGO5"/>
      <c r="FGQ5"/>
      <c r="FGS5"/>
      <c r="FGU5"/>
      <c r="FGW5"/>
      <c r="FGY5"/>
      <c r="FHA5"/>
      <c r="FHC5"/>
      <c r="FHE5"/>
      <c r="FHG5"/>
      <c r="FHI5"/>
      <c r="FHK5"/>
      <c r="FHM5"/>
      <c r="FHO5"/>
      <c r="FHQ5"/>
      <c r="FHS5"/>
      <c r="FHU5"/>
      <c r="FHW5"/>
      <c r="FHY5"/>
      <c r="FIA5"/>
      <c r="FIC5"/>
      <c r="FIE5"/>
      <c r="FIG5"/>
      <c r="FII5"/>
      <c r="FIK5"/>
      <c r="FIM5"/>
      <c r="FIO5"/>
      <c r="FIQ5"/>
      <c r="FIS5"/>
      <c r="FIU5"/>
      <c r="FIW5"/>
      <c r="FIY5"/>
      <c r="FJA5"/>
      <c r="FJC5"/>
      <c r="FJE5"/>
      <c r="FJG5"/>
      <c r="FJI5"/>
      <c r="FJK5"/>
      <c r="FJM5"/>
      <c r="FJO5"/>
      <c r="FJQ5"/>
      <c r="FJS5"/>
      <c r="FJU5"/>
      <c r="FJW5"/>
      <c r="FJY5"/>
      <c r="FKA5"/>
      <c r="FKC5"/>
      <c r="FKE5"/>
      <c r="FKG5"/>
      <c r="FKI5"/>
      <c r="FKK5"/>
      <c r="FKM5"/>
      <c r="FKO5"/>
      <c r="FKQ5"/>
      <c r="FKS5"/>
      <c r="FKU5"/>
      <c r="FKW5"/>
      <c r="FKY5"/>
      <c r="FLA5"/>
      <c r="FLC5"/>
      <c r="FLE5"/>
      <c r="FLG5"/>
      <c r="FLI5"/>
      <c r="FLK5"/>
      <c r="FLM5"/>
      <c r="FLO5"/>
      <c r="FLQ5"/>
      <c r="FLS5"/>
      <c r="FLU5"/>
      <c r="FLW5"/>
      <c r="FLY5"/>
      <c r="FMA5"/>
      <c r="FMC5"/>
      <c r="FME5"/>
      <c r="FMG5"/>
      <c r="FMI5"/>
      <c r="FMK5"/>
      <c r="FMM5"/>
      <c r="FMO5"/>
      <c r="FMQ5"/>
      <c r="FMS5"/>
      <c r="FMU5"/>
      <c r="FMW5"/>
      <c r="FMY5"/>
      <c r="FNA5"/>
      <c r="FNC5"/>
      <c r="FNE5"/>
      <c r="FNG5"/>
      <c r="FNI5"/>
      <c r="FNK5"/>
      <c r="FNM5"/>
      <c r="FNO5"/>
      <c r="FNQ5"/>
      <c r="FNS5"/>
      <c r="FNU5"/>
      <c r="FNW5"/>
      <c r="FNY5"/>
      <c r="FOA5"/>
      <c r="FOC5"/>
      <c r="FOE5"/>
      <c r="FOG5"/>
      <c r="FOI5"/>
      <c r="FOK5"/>
      <c r="FOM5"/>
      <c r="FOO5"/>
      <c r="FOQ5"/>
      <c r="FOS5"/>
      <c r="FOU5"/>
      <c r="FOW5"/>
      <c r="FOY5"/>
      <c r="FPA5"/>
      <c r="FPC5"/>
      <c r="FPE5"/>
      <c r="FPG5"/>
      <c r="FPI5"/>
      <c r="FPK5"/>
      <c r="FPM5"/>
      <c r="FPO5"/>
      <c r="FPQ5"/>
      <c r="FPS5"/>
      <c r="FPU5"/>
      <c r="FPW5"/>
      <c r="FPY5"/>
      <c r="FQA5"/>
      <c r="FQC5"/>
      <c r="FQE5"/>
      <c r="FQG5"/>
      <c r="FQI5"/>
      <c r="FQK5"/>
      <c r="FQM5"/>
      <c r="FQO5"/>
      <c r="FQQ5"/>
      <c r="FQS5"/>
      <c r="FQU5"/>
      <c r="FQW5"/>
      <c r="FQY5"/>
      <c r="FRA5"/>
      <c r="FRC5"/>
      <c r="FRE5"/>
      <c r="FRG5"/>
      <c r="FRI5"/>
      <c r="FRK5"/>
      <c r="FRM5"/>
      <c r="FRO5"/>
      <c r="FRQ5"/>
      <c r="FRS5"/>
      <c r="FRU5"/>
      <c r="FRW5"/>
      <c r="FRY5"/>
      <c r="FSA5"/>
      <c r="FSC5"/>
      <c r="FSE5"/>
      <c r="FSG5"/>
      <c r="FSI5"/>
      <c r="FSK5"/>
      <c r="FSM5"/>
      <c r="FSO5"/>
      <c r="FSQ5"/>
      <c r="FSS5"/>
      <c r="FSU5"/>
      <c r="FSW5"/>
      <c r="FSY5"/>
      <c r="FTA5"/>
      <c r="FTC5"/>
      <c r="FTE5"/>
      <c r="FTG5"/>
      <c r="FTI5"/>
      <c r="FTK5"/>
      <c r="FTM5"/>
      <c r="FTO5"/>
      <c r="FTQ5"/>
      <c r="FTS5"/>
      <c r="FTU5"/>
      <c r="FTW5"/>
      <c r="FTY5"/>
      <c r="FUA5"/>
      <c r="FUC5"/>
      <c r="FUE5"/>
      <c r="FUG5"/>
      <c r="FUI5"/>
      <c r="FUK5"/>
      <c r="FUM5"/>
      <c r="FUO5"/>
      <c r="FUQ5"/>
      <c r="FUS5"/>
      <c r="FUU5"/>
      <c r="FUW5"/>
      <c r="FUY5"/>
      <c r="FVA5"/>
      <c r="FVC5"/>
      <c r="FVE5"/>
      <c r="FVG5"/>
      <c r="FVI5"/>
      <c r="FVK5"/>
      <c r="FVM5"/>
      <c r="FVO5"/>
      <c r="FVQ5"/>
      <c r="FVS5"/>
      <c r="FVU5"/>
      <c r="FVW5"/>
      <c r="FVY5"/>
      <c r="FWA5"/>
      <c r="FWC5"/>
      <c r="FWE5"/>
      <c r="FWG5"/>
      <c r="FWI5"/>
      <c r="FWK5"/>
      <c r="FWM5"/>
      <c r="FWO5"/>
      <c r="FWQ5"/>
      <c r="FWS5"/>
      <c r="FWU5"/>
      <c r="FWW5"/>
      <c r="FWY5"/>
      <c r="FXA5"/>
      <c r="FXC5"/>
      <c r="FXE5"/>
      <c r="FXG5"/>
      <c r="FXI5"/>
      <c r="FXK5"/>
      <c r="FXM5"/>
      <c r="FXO5"/>
      <c r="FXQ5"/>
      <c r="FXS5"/>
      <c r="FXU5"/>
      <c r="FXW5"/>
      <c r="FXY5"/>
      <c r="FYA5"/>
      <c r="FYC5"/>
      <c r="FYE5"/>
      <c r="FYG5"/>
      <c r="FYI5"/>
      <c r="FYK5"/>
      <c r="FYM5"/>
      <c r="FYO5"/>
      <c r="FYQ5"/>
      <c r="FYS5"/>
      <c r="FYU5"/>
      <c r="FYW5"/>
      <c r="FYY5"/>
      <c r="FZA5"/>
      <c r="FZC5"/>
      <c r="FZE5"/>
      <c r="FZG5"/>
      <c r="FZI5"/>
      <c r="FZK5"/>
      <c r="FZM5"/>
      <c r="FZO5"/>
      <c r="FZQ5"/>
      <c r="FZS5"/>
      <c r="FZU5"/>
      <c r="FZW5"/>
      <c r="FZY5"/>
      <c r="GAA5"/>
      <c r="GAC5"/>
      <c r="GAE5"/>
      <c r="GAG5"/>
      <c r="GAI5"/>
      <c r="GAK5"/>
      <c r="GAM5"/>
      <c r="GAO5"/>
      <c r="GAQ5"/>
      <c r="GAS5"/>
      <c r="GAU5"/>
      <c r="GAW5"/>
      <c r="GAY5"/>
      <c r="GBA5"/>
      <c r="GBC5"/>
      <c r="GBE5"/>
      <c r="GBG5"/>
      <c r="GBI5"/>
      <c r="GBK5"/>
      <c r="GBM5"/>
      <c r="GBO5"/>
      <c r="GBQ5"/>
      <c r="GBS5"/>
      <c r="GBU5"/>
      <c r="GBW5"/>
      <c r="GBY5"/>
      <c r="GCA5"/>
      <c r="GCC5"/>
      <c r="GCE5"/>
      <c r="GCG5"/>
      <c r="GCI5"/>
      <c r="GCK5"/>
      <c r="GCM5"/>
      <c r="GCO5"/>
      <c r="GCQ5"/>
      <c r="GCS5"/>
      <c r="GCU5"/>
      <c r="GCW5"/>
      <c r="GCY5"/>
      <c r="GDA5"/>
      <c r="GDC5"/>
      <c r="GDE5"/>
      <c r="GDG5"/>
      <c r="GDI5"/>
      <c r="GDK5"/>
      <c r="GDM5"/>
      <c r="GDO5"/>
      <c r="GDQ5"/>
      <c r="GDS5"/>
      <c r="GDU5"/>
      <c r="GDW5"/>
      <c r="GDY5"/>
      <c r="GEA5"/>
      <c r="GEC5"/>
      <c r="GEE5"/>
      <c r="GEG5"/>
      <c r="GEI5"/>
      <c r="GEK5"/>
      <c r="GEM5"/>
      <c r="GEO5"/>
      <c r="GEQ5"/>
      <c r="GES5"/>
      <c r="GEU5"/>
      <c r="GEW5"/>
      <c r="GEY5"/>
      <c r="GFA5"/>
      <c r="GFC5"/>
      <c r="GFE5"/>
      <c r="GFG5"/>
      <c r="GFI5"/>
      <c r="GFK5"/>
      <c r="GFM5"/>
      <c r="GFO5"/>
      <c r="GFQ5"/>
      <c r="GFS5"/>
      <c r="GFU5"/>
      <c r="GFW5"/>
      <c r="GFY5"/>
      <c r="GGA5"/>
      <c r="GGC5"/>
      <c r="GGE5"/>
      <c r="GGG5"/>
      <c r="GGI5"/>
      <c r="GGK5"/>
      <c r="GGM5"/>
      <c r="GGO5"/>
      <c r="GGQ5"/>
      <c r="GGS5"/>
      <c r="GGU5"/>
      <c r="GGW5"/>
      <c r="GGY5"/>
      <c r="GHA5"/>
      <c r="GHC5"/>
      <c r="GHE5"/>
      <c r="GHG5"/>
      <c r="GHI5"/>
      <c r="GHK5"/>
      <c r="GHM5"/>
      <c r="GHO5"/>
      <c r="GHQ5"/>
      <c r="GHS5"/>
      <c r="GHU5"/>
      <c r="GHW5"/>
      <c r="GHY5"/>
      <c r="GIA5"/>
      <c r="GIC5"/>
      <c r="GIE5"/>
      <c r="GIG5"/>
      <c r="GII5"/>
      <c r="GIK5"/>
      <c r="GIM5"/>
      <c r="GIO5"/>
      <c r="GIQ5"/>
      <c r="GIS5"/>
      <c r="GIU5"/>
      <c r="GIW5"/>
      <c r="GIY5"/>
      <c r="GJA5"/>
      <c r="GJC5"/>
      <c r="GJE5"/>
      <c r="GJG5"/>
      <c r="GJI5"/>
      <c r="GJK5"/>
      <c r="GJM5"/>
      <c r="GJO5"/>
      <c r="GJQ5"/>
      <c r="GJS5"/>
      <c r="GJU5"/>
      <c r="GJW5"/>
      <c r="GJY5"/>
      <c r="GKA5"/>
      <c r="GKC5"/>
      <c r="GKE5"/>
      <c r="GKG5"/>
      <c r="GKI5"/>
      <c r="GKK5"/>
      <c r="GKM5"/>
      <c r="GKO5"/>
      <c r="GKQ5"/>
      <c r="GKS5"/>
      <c r="GKU5"/>
      <c r="GKW5"/>
      <c r="GKY5"/>
      <c r="GLA5"/>
      <c r="GLC5"/>
      <c r="GLE5"/>
      <c r="GLG5"/>
      <c r="GLI5"/>
      <c r="GLK5"/>
      <c r="GLM5"/>
      <c r="GLO5"/>
      <c r="GLQ5"/>
      <c r="GLS5"/>
      <c r="GLU5"/>
      <c r="GLW5"/>
      <c r="GLY5"/>
      <c r="GMA5"/>
      <c r="GMC5"/>
      <c r="GME5"/>
      <c r="GMG5"/>
      <c r="GMI5"/>
      <c r="GMK5"/>
      <c r="GMM5"/>
      <c r="GMO5"/>
      <c r="GMQ5"/>
      <c r="GMS5"/>
      <c r="GMU5"/>
      <c r="GMW5"/>
      <c r="GMY5"/>
      <c r="GNA5"/>
      <c r="GNC5"/>
      <c r="GNE5"/>
      <c r="GNG5"/>
      <c r="GNI5"/>
      <c r="GNK5"/>
      <c r="GNM5"/>
      <c r="GNO5"/>
      <c r="GNQ5"/>
      <c r="GNS5"/>
      <c r="GNU5"/>
      <c r="GNW5"/>
      <c r="GNY5"/>
      <c r="GOA5"/>
      <c r="GOC5"/>
      <c r="GOE5"/>
      <c r="GOG5"/>
      <c r="GOI5"/>
      <c r="GOK5"/>
      <c r="GOM5"/>
      <c r="GOO5"/>
      <c r="GOQ5"/>
      <c r="GOS5"/>
      <c r="GOU5"/>
      <c r="GOW5"/>
      <c r="GOY5"/>
      <c r="GPA5"/>
      <c r="GPC5"/>
      <c r="GPE5"/>
      <c r="GPG5"/>
      <c r="GPI5"/>
      <c r="GPK5"/>
      <c r="GPM5"/>
      <c r="GPO5"/>
      <c r="GPQ5"/>
      <c r="GPS5"/>
      <c r="GPU5"/>
      <c r="GPW5"/>
      <c r="GPY5"/>
      <c r="GQA5"/>
      <c r="GQC5"/>
      <c r="GQE5"/>
      <c r="GQG5"/>
      <c r="GQI5"/>
      <c r="GQK5"/>
      <c r="GQM5"/>
      <c r="GQO5"/>
      <c r="GQQ5"/>
      <c r="GQS5"/>
      <c r="GQU5"/>
      <c r="GQW5"/>
      <c r="GQY5"/>
      <c r="GRA5"/>
      <c r="GRC5"/>
      <c r="GRE5"/>
      <c r="GRG5"/>
      <c r="GRI5"/>
      <c r="GRK5"/>
      <c r="GRM5"/>
      <c r="GRO5"/>
      <c r="GRQ5"/>
      <c r="GRS5"/>
      <c r="GRU5"/>
      <c r="GRW5"/>
      <c r="GRY5"/>
      <c r="GSA5"/>
      <c r="GSC5"/>
      <c r="GSE5"/>
      <c r="GSG5"/>
      <c r="GSI5"/>
      <c r="GSK5"/>
      <c r="GSM5"/>
      <c r="GSO5"/>
      <c r="GSQ5"/>
      <c r="GSS5"/>
      <c r="GSU5"/>
      <c r="GSW5"/>
      <c r="GSY5"/>
      <c r="GTA5"/>
      <c r="GTC5"/>
      <c r="GTE5"/>
      <c r="GTG5"/>
      <c r="GTI5"/>
      <c r="GTK5"/>
      <c r="GTM5"/>
      <c r="GTO5"/>
      <c r="GTQ5"/>
      <c r="GTS5"/>
      <c r="GTU5"/>
      <c r="GTW5"/>
      <c r="GTY5"/>
      <c r="GUA5"/>
      <c r="GUC5"/>
      <c r="GUE5"/>
      <c r="GUG5"/>
      <c r="GUI5"/>
      <c r="GUK5"/>
      <c r="GUM5"/>
      <c r="GUO5"/>
      <c r="GUQ5"/>
      <c r="GUS5"/>
      <c r="GUU5"/>
      <c r="GUW5"/>
      <c r="GUY5"/>
      <c r="GVA5"/>
      <c r="GVC5"/>
      <c r="GVE5"/>
      <c r="GVG5"/>
      <c r="GVI5"/>
      <c r="GVK5"/>
      <c r="GVM5"/>
      <c r="GVO5"/>
      <c r="GVQ5"/>
      <c r="GVS5"/>
      <c r="GVU5"/>
      <c r="GVW5"/>
      <c r="GVY5"/>
      <c r="GWA5"/>
      <c r="GWC5"/>
      <c r="GWE5"/>
      <c r="GWG5"/>
      <c r="GWI5"/>
      <c r="GWK5"/>
      <c r="GWM5"/>
      <c r="GWO5"/>
      <c r="GWQ5"/>
      <c r="GWS5"/>
      <c r="GWU5"/>
      <c r="GWW5"/>
      <c r="GWY5"/>
      <c r="GXA5"/>
      <c r="GXC5"/>
      <c r="GXE5"/>
      <c r="GXG5"/>
      <c r="GXI5"/>
      <c r="GXK5"/>
      <c r="GXM5"/>
      <c r="GXO5"/>
      <c r="GXQ5"/>
      <c r="GXS5"/>
      <c r="GXU5"/>
      <c r="GXW5"/>
      <c r="GXY5"/>
      <c r="GYA5"/>
      <c r="GYC5"/>
      <c r="GYE5"/>
      <c r="GYG5"/>
      <c r="GYI5"/>
      <c r="GYK5"/>
      <c r="GYM5"/>
      <c r="GYO5"/>
      <c r="GYQ5"/>
      <c r="GYS5"/>
      <c r="GYU5"/>
      <c r="GYW5"/>
      <c r="GYY5"/>
      <c r="GZA5"/>
      <c r="GZC5"/>
      <c r="GZE5"/>
      <c r="GZG5"/>
      <c r="GZI5"/>
      <c r="GZK5"/>
      <c r="GZM5"/>
      <c r="GZO5"/>
      <c r="GZQ5"/>
      <c r="GZS5"/>
      <c r="GZU5"/>
      <c r="GZW5"/>
      <c r="GZY5"/>
      <c r="HAA5"/>
      <c r="HAC5"/>
      <c r="HAE5"/>
      <c r="HAG5"/>
      <c r="HAI5"/>
      <c r="HAK5"/>
      <c r="HAM5"/>
      <c r="HAO5"/>
      <c r="HAQ5"/>
      <c r="HAS5"/>
      <c r="HAU5"/>
      <c r="HAW5"/>
      <c r="HAY5"/>
      <c r="HBA5"/>
      <c r="HBC5"/>
      <c r="HBE5"/>
      <c r="HBG5"/>
      <c r="HBI5"/>
      <c r="HBK5"/>
      <c r="HBM5"/>
      <c r="HBO5"/>
      <c r="HBQ5"/>
      <c r="HBS5"/>
      <c r="HBU5"/>
      <c r="HBW5"/>
      <c r="HBY5"/>
      <c r="HCA5"/>
      <c r="HCC5"/>
      <c r="HCE5"/>
      <c r="HCG5"/>
      <c r="HCI5"/>
      <c r="HCK5"/>
      <c r="HCM5"/>
      <c r="HCO5"/>
      <c r="HCQ5"/>
      <c r="HCS5"/>
      <c r="HCU5"/>
      <c r="HCW5"/>
      <c r="HCY5"/>
      <c r="HDA5"/>
      <c r="HDC5"/>
      <c r="HDE5"/>
      <c r="HDG5"/>
      <c r="HDI5"/>
      <c r="HDK5"/>
      <c r="HDM5"/>
      <c r="HDO5"/>
      <c r="HDQ5"/>
      <c r="HDS5"/>
      <c r="HDU5"/>
      <c r="HDW5"/>
      <c r="HDY5"/>
      <c r="HEA5"/>
      <c r="HEC5"/>
      <c r="HEE5"/>
      <c r="HEG5"/>
      <c r="HEI5"/>
      <c r="HEK5"/>
      <c r="HEM5"/>
      <c r="HEO5"/>
      <c r="HEQ5"/>
      <c r="HES5"/>
      <c r="HEU5"/>
      <c r="HEW5"/>
      <c r="HEY5"/>
      <c r="HFA5"/>
      <c r="HFC5"/>
      <c r="HFE5"/>
      <c r="HFG5"/>
      <c r="HFI5"/>
      <c r="HFK5"/>
      <c r="HFM5"/>
      <c r="HFO5"/>
      <c r="HFQ5"/>
      <c r="HFS5"/>
      <c r="HFU5"/>
      <c r="HFW5"/>
      <c r="HFY5"/>
      <c r="HGA5"/>
      <c r="HGC5"/>
      <c r="HGE5"/>
      <c r="HGG5"/>
      <c r="HGI5"/>
      <c r="HGK5"/>
      <c r="HGM5"/>
      <c r="HGO5"/>
      <c r="HGQ5"/>
      <c r="HGS5"/>
      <c r="HGU5"/>
      <c r="HGW5"/>
      <c r="HGY5"/>
      <c r="HHA5"/>
      <c r="HHC5"/>
      <c r="HHE5"/>
      <c r="HHG5"/>
      <c r="HHI5"/>
      <c r="HHK5"/>
      <c r="HHM5"/>
      <c r="HHO5"/>
      <c r="HHQ5"/>
      <c r="HHS5"/>
      <c r="HHU5"/>
      <c r="HHW5"/>
      <c r="HHY5"/>
      <c r="HIA5"/>
      <c r="HIC5"/>
      <c r="HIE5"/>
      <c r="HIG5"/>
      <c r="HII5"/>
      <c r="HIK5"/>
      <c r="HIM5"/>
      <c r="HIO5"/>
      <c r="HIQ5"/>
      <c r="HIS5"/>
      <c r="HIU5"/>
      <c r="HIW5"/>
      <c r="HIY5"/>
      <c r="HJA5"/>
      <c r="HJC5"/>
      <c r="HJE5"/>
      <c r="HJG5"/>
      <c r="HJI5"/>
      <c r="HJK5"/>
      <c r="HJM5"/>
      <c r="HJO5"/>
      <c r="HJQ5"/>
      <c r="HJS5"/>
      <c r="HJU5"/>
      <c r="HJW5"/>
      <c r="HJY5"/>
      <c r="HKA5"/>
      <c r="HKC5"/>
      <c r="HKE5"/>
      <c r="HKG5"/>
      <c r="HKI5"/>
      <c r="HKK5"/>
      <c r="HKM5"/>
      <c r="HKO5"/>
      <c r="HKQ5"/>
      <c r="HKS5"/>
      <c r="HKU5"/>
      <c r="HKW5"/>
      <c r="HKY5"/>
      <c r="HLA5"/>
      <c r="HLC5"/>
      <c r="HLE5"/>
      <c r="HLG5"/>
      <c r="HLI5"/>
      <c r="HLK5"/>
      <c r="HLM5"/>
      <c r="HLO5"/>
      <c r="HLQ5"/>
      <c r="HLS5"/>
      <c r="HLU5"/>
      <c r="HLW5"/>
      <c r="HLY5"/>
      <c r="HMA5"/>
      <c r="HMC5"/>
      <c r="HME5"/>
      <c r="HMG5"/>
      <c r="HMI5"/>
      <c r="HMK5"/>
      <c r="HMM5"/>
      <c r="HMO5"/>
      <c r="HMQ5"/>
      <c r="HMS5"/>
      <c r="HMU5"/>
      <c r="HMW5"/>
      <c r="HMY5"/>
      <c r="HNA5"/>
      <c r="HNC5"/>
      <c r="HNE5"/>
      <c r="HNG5"/>
      <c r="HNI5"/>
      <c r="HNK5"/>
      <c r="HNM5"/>
      <c r="HNO5"/>
      <c r="HNQ5"/>
      <c r="HNS5"/>
      <c r="HNU5"/>
      <c r="HNW5"/>
      <c r="HNY5"/>
      <c r="HOA5"/>
      <c r="HOC5"/>
      <c r="HOE5"/>
      <c r="HOG5"/>
      <c r="HOI5"/>
      <c r="HOK5"/>
      <c r="HOM5"/>
      <c r="HOO5"/>
      <c r="HOQ5"/>
      <c r="HOS5"/>
      <c r="HOU5"/>
      <c r="HOW5"/>
      <c r="HOY5"/>
      <c r="HPA5"/>
      <c r="HPC5"/>
      <c r="HPE5"/>
      <c r="HPG5"/>
      <c r="HPI5"/>
      <c r="HPK5"/>
      <c r="HPM5"/>
      <c r="HPO5"/>
      <c r="HPQ5"/>
      <c r="HPS5"/>
      <c r="HPU5"/>
      <c r="HPW5"/>
      <c r="HPY5"/>
      <c r="HQA5"/>
      <c r="HQC5"/>
      <c r="HQE5"/>
      <c r="HQG5"/>
      <c r="HQI5"/>
      <c r="HQK5"/>
      <c r="HQM5"/>
      <c r="HQO5"/>
      <c r="HQQ5"/>
      <c r="HQS5"/>
      <c r="HQU5"/>
      <c r="HQW5"/>
      <c r="HQY5"/>
      <c r="HRA5"/>
      <c r="HRC5"/>
      <c r="HRE5"/>
      <c r="HRG5"/>
      <c r="HRI5"/>
      <c r="HRK5"/>
      <c r="HRM5"/>
      <c r="HRO5"/>
      <c r="HRQ5"/>
      <c r="HRS5"/>
      <c r="HRU5"/>
      <c r="HRW5"/>
      <c r="HRY5"/>
      <c r="HSA5"/>
      <c r="HSC5"/>
      <c r="HSE5"/>
      <c r="HSG5"/>
      <c r="HSI5"/>
      <c r="HSK5"/>
      <c r="HSM5"/>
      <c r="HSO5"/>
      <c r="HSQ5"/>
      <c r="HSS5"/>
      <c r="HSU5"/>
      <c r="HSW5"/>
      <c r="HSY5"/>
      <c r="HTA5"/>
      <c r="HTC5"/>
      <c r="HTE5"/>
      <c r="HTG5"/>
      <c r="HTI5"/>
      <c r="HTK5"/>
      <c r="HTM5"/>
      <c r="HTO5"/>
      <c r="HTQ5"/>
      <c r="HTS5"/>
      <c r="HTU5"/>
      <c r="HTW5"/>
      <c r="HTY5"/>
      <c r="HUA5"/>
      <c r="HUC5"/>
      <c r="HUE5"/>
      <c r="HUG5"/>
      <c r="HUI5"/>
      <c r="HUK5"/>
      <c r="HUM5"/>
      <c r="HUO5"/>
      <c r="HUQ5"/>
      <c r="HUS5"/>
      <c r="HUU5"/>
      <c r="HUW5"/>
      <c r="HUY5"/>
      <c r="HVA5"/>
      <c r="HVC5"/>
      <c r="HVE5"/>
      <c r="HVG5"/>
      <c r="HVI5"/>
      <c r="HVK5"/>
      <c r="HVM5"/>
      <c r="HVO5"/>
      <c r="HVQ5"/>
      <c r="HVS5"/>
      <c r="HVU5"/>
      <c r="HVW5"/>
      <c r="HVY5"/>
      <c r="HWA5"/>
      <c r="HWC5"/>
      <c r="HWE5"/>
      <c r="HWG5"/>
      <c r="HWI5"/>
      <c r="HWK5"/>
      <c r="HWM5"/>
      <c r="HWO5"/>
      <c r="HWQ5"/>
      <c r="HWS5"/>
      <c r="HWU5"/>
      <c r="HWW5"/>
      <c r="HWY5"/>
      <c r="HXA5"/>
      <c r="HXC5"/>
      <c r="HXE5"/>
      <c r="HXG5"/>
      <c r="HXI5"/>
      <c r="HXK5"/>
      <c r="HXM5"/>
      <c r="HXO5"/>
      <c r="HXQ5"/>
      <c r="HXS5"/>
      <c r="HXU5"/>
      <c r="HXW5"/>
      <c r="HXY5"/>
      <c r="HYA5"/>
      <c r="HYC5"/>
      <c r="HYE5"/>
      <c r="HYG5"/>
      <c r="HYI5"/>
      <c r="HYK5"/>
      <c r="HYM5"/>
      <c r="HYO5"/>
      <c r="HYQ5"/>
      <c r="HYS5"/>
      <c r="HYU5"/>
      <c r="HYW5"/>
      <c r="HYY5"/>
      <c r="HZA5"/>
      <c r="HZC5"/>
      <c r="HZE5"/>
      <c r="HZG5"/>
      <c r="HZI5"/>
      <c r="HZK5"/>
      <c r="HZM5"/>
      <c r="HZO5"/>
      <c r="HZQ5"/>
      <c r="HZS5"/>
      <c r="HZU5"/>
      <c r="HZW5"/>
      <c r="HZY5"/>
      <c r="IAA5"/>
      <c r="IAC5"/>
      <c r="IAE5"/>
      <c r="IAG5"/>
      <c r="IAI5"/>
      <c r="IAK5"/>
      <c r="IAM5"/>
      <c r="IAO5"/>
      <c r="IAQ5"/>
      <c r="IAS5"/>
      <c r="IAU5"/>
      <c r="IAW5"/>
      <c r="IAY5"/>
      <c r="IBA5"/>
      <c r="IBC5"/>
      <c r="IBE5"/>
      <c r="IBG5"/>
      <c r="IBI5"/>
      <c r="IBK5"/>
      <c r="IBM5"/>
      <c r="IBO5"/>
      <c r="IBQ5"/>
      <c r="IBS5"/>
      <c r="IBU5"/>
      <c r="IBW5"/>
      <c r="IBY5"/>
      <c r="ICA5"/>
      <c r="ICC5"/>
      <c r="ICE5"/>
      <c r="ICG5"/>
      <c r="ICI5"/>
      <c r="ICK5"/>
      <c r="ICM5"/>
      <c r="ICO5"/>
      <c r="ICQ5"/>
      <c r="ICS5"/>
      <c r="ICU5"/>
      <c r="ICW5"/>
      <c r="ICY5"/>
      <c r="IDA5"/>
      <c r="IDC5"/>
      <c r="IDE5"/>
      <c r="IDG5"/>
      <c r="IDI5"/>
      <c r="IDK5"/>
      <c r="IDM5"/>
      <c r="IDO5"/>
      <c r="IDQ5"/>
      <c r="IDS5"/>
      <c r="IDU5"/>
      <c r="IDW5"/>
      <c r="IDY5"/>
      <c r="IEA5"/>
      <c r="IEC5"/>
      <c r="IEE5"/>
      <c r="IEG5"/>
      <c r="IEI5"/>
      <c r="IEK5"/>
      <c r="IEM5"/>
      <c r="IEO5"/>
      <c r="IEQ5"/>
      <c r="IES5"/>
      <c r="IEU5"/>
      <c r="IEW5"/>
      <c r="IEY5"/>
      <c r="IFA5"/>
      <c r="IFC5"/>
      <c r="IFE5"/>
      <c r="IFG5"/>
      <c r="IFI5"/>
      <c r="IFK5"/>
      <c r="IFM5"/>
      <c r="IFO5"/>
      <c r="IFQ5"/>
      <c r="IFS5"/>
      <c r="IFU5"/>
      <c r="IFW5"/>
      <c r="IFY5"/>
      <c r="IGA5"/>
      <c r="IGC5"/>
      <c r="IGE5"/>
      <c r="IGG5"/>
      <c r="IGI5"/>
      <c r="IGK5"/>
      <c r="IGM5"/>
      <c r="IGO5"/>
      <c r="IGQ5"/>
      <c r="IGS5"/>
      <c r="IGU5"/>
      <c r="IGW5"/>
      <c r="IGY5"/>
      <c r="IHA5"/>
      <c r="IHC5"/>
      <c r="IHE5"/>
      <c r="IHG5"/>
      <c r="IHI5"/>
      <c r="IHK5"/>
      <c r="IHM5"/>
      <c r="IHO5"/>
      <c r="IHQ5"/>
      <c r="IHS5"/>
      <c r="IHU5"/>
      <c r="IHW5"/>
      <c r="IHY5"/>
      <c r="IIA5"/>
      <c r="IIC5"/>
      <c r="IIE5"/>
      <c r="IIG5"/>
      <c r="III5"/>
      <c r="IIK5"/>
      <c r="IIM5"/>
      <c r="IIO5"/>
      <c r="IIQ5"/>
      <c r="IIS5"/>
      <c r="IIU5"/>
      <c r="IIW5"/>
      <c r="IIY5"/>
      <c r="IJA5"/>
      <c r="IJC5"/>
      <c r="IJE5"/>
      <c r="IJG5"/>
      <c r="IJI5"/>
      <c r="IJK5"/>
      <c r="IJM5"/>
      <c r="IJO5"/>
      <c r="IJQ5"/>
      <c r="IJS5"/>
      <c r="IJU5"/>
      <c r="IJW5"/>
      <c r="IJY5"/>
      <c r="IKA5"/>
      <c r="IKC5"/>
      <c r="IKE5"/>
      <c r="IKG5"/>
      <c r="IKI5"/>
      <c r="IKK5"/>
      <c r="IKM5"/>
      <c r="IKO5"/>
      <c r="IKQ5"/>
      <c r="IKS5"/>
      <c r="IKU5"/>
      <c r="IKW5"/>
      <c r="IKY5"/>
      <c r="ILA5"/>
      <c r="ILC5"/>
      <c r="ILE5"/>
      <c r="ILG5"/>
      <c r="ILI5"/>
      <c r="ILK5"/>
      <c r="ILM5"/>
      <c r="ILO5"/>
      <c r="ILQ5"/>
      <c r="ILS5"/>
      <c r="ILU5"/>
      <c r="ILW5"/>
      <c r="ILY5"/>
      <c r="IMA5"/>
      <c r="IMC5"/>
      <c r="IME5"/>
      <c r="IMG5"/>
      <c r="IMI5"/>
      <c r="IMK5"/>
      <c r="IMM5"/>
      <c r="IMO5"/>
      <c r="IMQ5"/>
      <c r="IMS5"/>
      <c r="IMU5"/>
      <c r="IMW5"/>
      <c r="IMY5"/>
      <c r="INA5"/>
      <c r="INC5"/>
      <c r="INE5"/>
      <c r="ING5"/>
      <c r="INI5"/>
      <c r="INK5"/>
      <c r="INM5"/>
      <c r="INO5"/>
      <c r="INQ5"/>
      <c r="INS5"/>
      <c r="INU5"/>
      <c r="INW5"/>
      <c r="INY5"/>
      <c r="IOA5"/>
      <c r="IOC5"/>
      <c r="IOE5"/>
      <c r="IOG5"/>
      <c r="IOI5"/>
      <c r="IOK5"/>
      <c r="IOM5"/>
      <c r="IOO5"/>
      <c r="IOQ5"/>
      <c r="IOS5"/>
      <c r="IOU5"/>
      <c r="IOW5"/>
      <c r="IOY5"/>
      <c r="IPA5"/>
      <c r="IPC5"/>
      <c r="IPE5"/>
      <c r="IPG5"/>
      <c r="IPI5"/>
      <c r="IPK5"/>
      <c r="IPM5"/>
      <c r="IPO5"/>
      <c r="IPQ5"/>
      <c r="IPS5"/>
      <c r="IPU5"/>
      <c r="IPW5"/>
      <c r="IPY5"/>
      <c r="IQA5"/>
      <c r="IQC5"/>
      <c r="IQE5"/>
      <c r="IQG5"/>
      <c r="IQI5"/>
      <c r="IQK5"/>
      <c r="IQM5"/>
      <c r="IQO5"/>
      <c r="IQQ5"/>
      <c r="IQS5"/>
      <c r="IQU5"/>
      <c r="IQW5"/>
      <c r="IQY5"/>
      <c r="IRA5"/>
      <c r="IRC5"/>
      <c r="IRE5"/>
      <c r="IRG5"/>
      <c r="IRI5"/>
      <c r="IRK5"/>
      <c r="IRM5"/>
      <c r="IRO5"/>
      <c r="IRQ5"/>
      <c r="IRS5"/>
      <c r="IRU5"/>
      <c r="IRW5"/>
      <c r="IRY5"/>
      <c r="ISA5"/>
      <c r="ISC5"/>
      <c r="ISE5"/>
      <c r="ISG5"/>
      <c r="ISI5"/>
      <c r="ISK5"/>
      <c r="ISM5"/>
      <c r="ISO5"/>
      <c r="ISQ5"/>
      <c r="ISS5"/>
      <c r="ISU5"/>
      <c r="ISW5"/>
      <c r="ISY5"/>
      <c r="ITA5"/>
      <c r="ITC5"/>
      <c r="ITE5"/>
      <c r="ITG5"/>
      <c r="ITI5"/>
      <c r="ITK5"/>
      <c r="ITM5"/>
      <c r="ITO5"/>
      <c r="ITQ5"/>
      <c r="ITS5"/>
      <c r="ITU5"/>
      <c r="ITW5"/>
      <c r="ITY5"/>
      <c r="IUA5"/>
      <c r="IUC5"/>
      <c r="IUE5"/>
      <c r="IUG5"/>
      <c r="IUI5"/>
      <c r="IUK5"/>
      <c r="IUM5"/>
      <c r="IUO5"/>
      <c r="IUQ5"/>
      <c r="IUS5"/>
      <c r="IUU5"/>
      <c r="IUW5"/>
      <c r="IUY5"/>
      <c r="IVA5"/>
      <c r="IVC5"/>
      <c r="IVE5"/>
      <c r="IVG5"/>
      <c r="IVI5"/>
      <c r="IVK5"/>
      <c r="IVM5"/>
      <c r="IVO5"/>
      <c r="IVQ5"/>
      <c r="IVS5"/>
      <c r="IVU5"/>
      <c r="IVW5"/>
      <c r="IVY5"/>
      <c r="IWA5"/>
      <c r="IWC5"/>
      <c r="IWE5"/>
      <c r="IWG5"/>
      <c r="IWI5"/>
      <c r="IWK5"/>
      <c r="IWM5"/>
      <c r="IWO5"/>
      <c r="IWQ5"/>
      <c r="IWS5"/>
      <c r="IWU5"/>
      <c r="IWW5"/>
      <c r="IWY5"/>
      <c r="IXA5"/>
      <c r="IXC5"/>
      <c r="IXE5"/>
      <c r="IXG5"/>
      <c r="IXI5"/>
      <c r="IXK5"/>
      <c r="IXM5"/>
      <c r="IXO5"/>
      <c r="IXQ5"/>
      <c r="IXS5"/>
      <c r="IXU5"/>
      <c r="IXW5"/>
      <c r="IXY5"/>
      <c r="IYA5"/>
      <c r="IYC5"/>
      <c r="IYE5"/>
      <c r="IYG5"/>
      <c r="IYI5"/>
      <c r="IYK5"/>
      <c r="IYM5"/>
      <c r="IYO5"/>
      <c r="IYQ5"/>
      <c r="IYS5"/>
      <c r="IYU5"/>
      <c r="IYW5"/>
      <c r="IYY5"/>
      <c r="IZA5"/>
      <c r="IZC5"/>
      <c r="IZE5"/>
      <c r="IZG5"/>
      <c r="IZI5"/>
      <c r="IZK5"/>
      <c r="IZM5"/>
      <c r="IZO5"/>
      <c r="IZQ5"/>
      <c r="IZS5"/>
      <c r="IZU5"/>
      <c r="IZW5"/>
      <c r="IZY5"/>
      <c r="JAA5"/>
      <c r="JAC5"/>
      <c r="JAE5"/>
      <c r="JAG5"/>
      <c r="JAI5"/>
      <c r="JAK5"/>
      <c r="JAM5"/>
      <c r="JAO5"/>
      <c r="JAQ5"/>
      <c r="JAS5"/>
      <c r="JAU5"/>
      <c r="JAW5"/>
      <c r="JAY5"/>
      <c r="JBA5"/>
      <c r="JBC5"/>
      <c r="JBE5"/>
      <c r="JBG5"/>
      <c r="JBI5"/>
      <c r="JBK5"/>
      <c r="JBM5"/>
      <c r="JBO5"/>
      <c r="JBQ5"/>
      <c r="JBS5"/>
      <c r="JBU5"/>
      <c r="JBW5"/>
      <c r="JBY5"/>
      <c r="JCA5"/>
      <c r="JCC5"/>
      <c r="JCE5"/>
      <c r="JCG5"/>
      <c r="JCI5"/>
      <c r="JCK5"/>
      <c r="JCM5"/>
      <c r="JCO5"/>
      <c r="JCQ5"/>
      <c r="JCS5"/>
      <c r="JCU5"/>
      <c r="JCW5"/>
      <c r="JCY5"/>
      <c r="JDA5"/>
      <c r="JDC5"/>
      <c r="JDE5"/>
      <c r="JDG5"/>
      <c r="JDI5"/>
      <c r="JDK5"/>
      <c r="JDM5"/>
      <c r="JDO5"/>
      <c r="JDQ5"/>
      <c r="JDS5"/>
      <c r="JDU5"/>
      <c r="JDW5"/>
      <c r="JDY5"/>
      <c r="JEA5"/>
      <c r="JEC5"/>
      <c r="JEE5"/>
      <c r="JEG5"/>
      <c r="JEI5"/>
      <c r="JEK5"/>
      <c r="JEM5"/>
      <c r="JEO5"/>
      <c r="JEQ5"/>
      <c r="JES5"/>
      <c r="JEU5"/>
      <c r="JEW5"/>
      <c r="JEY5"/>
      <c r="JFA5"/>
      <c r="JFC5"/>
      <c r="JFE5"/>
      <c r="JFG5"/>
      <c r="JFI5"/>
      <c r="JFK5"/>
      <c r="JFM5"/>
      <c r="JFO5"/>
      <c r="JFQ5"/>
      <c r="JFS5"/>
      <c r="JFU5"/>
      <c r="JFW5"/>
      <c r="JFY5"/>
      <c r="JGA5"/>
      <c r="JGC5"/>
      <c r="JGE5"/>
      <c r="JGG5"/>
      <c r="JGI5"/>
      <c r="JGK5"/>
      <c r="JGM5"/>
      <c r="JGO5"/>
      <c r="JGQ5"/>
      <c r="JGS5"/>
      <c r="JGU5"/>
      <c r="JGW5"/>
      <c r="JGY5"/>
      <c r="JHA5"/>
      <c r="JHC5"/>
      <c r="JHE5"/>
      <c r="JHG5"/>
      <c r="JHI5"/>
      <c r="JHK5"/>
      <c r="JHM5"/>
      <c r="JHO5"/>
      <c r="JHQ5"/>
      <c r="JHS5"/>
      <c r="JHU5"/>
      <c r="JHW5"/>
      <c r="JHY5"/>
      <c r="JIA5"/>
      <c r="JIC5"/>
      <c r="JIE5"/>
      <c r="JIG5"/>
      <c r="JII5"/>
      <c r="JIK5"/>
      <c r="JIM5"/>
      <c r="JIO5"/>
      <c r="JIQ5"/>
      <c r="JIS5"/>
      <c r="JIU5"/>
      <c r="JIW5"/>
      <c r="JIY5"/>
      <c r="JJA5"/>
      <c r="JJC5"/>
      <c r="JJE5"/>
      <c r="JJG5"/>
      <c r="JJI5"/>
      <c r="JJK5"/>
      <c r="JJM5"/>
      <c r="JJO5"/>
      <c r="JJQ5"/>
      <c r="JJS5"/>
      <c r="JJU5"/>
      <c r="JJW5"/>
      <c r="JJY5"/>
      <c r="JKA5"/>
      <c r="JKC5"/>
      <c r="JKE5"/>
      <c r="JKG5"/>
      <c r="JKI5"/>
      <c r="JKK5"/>
      <c r="JKM5"/>
      <c r="JKO5"/>
      <c r="JKQ5"/>
      <c r="JKS5"/>
      <c r="JKU5"/>
      <c r="JKW5"/>
      <c r="JKY5"/>
      <c r="JLA5"/>
      <c r="JLC5"/>
      <c r="JLE5"/>
      <c r="JLG5"/>
      <c r="JLI5"/>
      <c r="JLK5"/>
      <c r="JLM5"/>
      <c r="JLO5"/>
      <c r="JLQ5"/>
      <c r="JLS5"/>
      <c r="JLU5"/>
      <c r="JLW5"/>
      <c r="JLY5"/>
      <c r="JMA5"/>
      <c r="JMC5"/>
      <c r="JME5"/>
      <c r="JMG5"/>
      <c r="JMI5"/>
      <c r="JMK5"/>
      <c r="JMM5"/>
      <c r="JMO5"/>
      <c r="JMQ5"/>
      <c r="JMS5"/>
      <c r="JMU5"/>
      <c r="JMW5"/>
      <c r="JMY5"/>
      <c r="JNA5"/>
      <c r="JNC5"/>
      <c r="JNE5"/>
      <c r="JNG5"/>
      <c r="JNI5"/>
      <c r="JNK5"/>
      <c r="JNM5"/>
      <c r="JNO5"/>
      <c r="JNQ5"/>
      <c r="JNS5"/>
      <c r="JNU5"/>
      <c r="JNW5"/>
      <c r="JNY5"/>
      <c r="JOA5"/>
      <c r="JOC5"/>
      <c r="JOE5"/>
      <c r="JOG5"/>
      <c r="JOI5"/>
      <c r="JOK5"/>
      <c r="JOM5"/>
      <c r="JOO5"/>
      <c r="JOQ5"/>
      <c r="JOS5"/>
      <c r="JOU5"/>
      <c r="JOW5"/>
      <c r="JOY5"/>
      <c r="JPA5"/>
      <c r="JPC5"/>
      <c r="JPE5"/>
      <c r="JPG5"/>
      <c r="JPI5"/>
      <c r="JPK5"/>
      <c r="JPM5"/>
      <c r="JPO5"/>
      <c r="JPQ5"/>
      <c r="JPS5"/>
      <c r="JPU5"/>
      <c r="JPW5"/>
      <c r="JPY5"/>
      <c r="JQA5"/>
      <c r="JQC5"/>
      <c r="JQE5"/>
      <c r="JQG5"/>
      <c r="JQI5"/>
      <c r="JQK5"/>
      <c r="JQM5"/>
      <c r="JQO5"/>
      <c r="JQQ5"/>
      <c r="JQS5"/>
      <c r="JQU5"/>
      <c r="JQW5"/>
      <c r="JQY5"/>
      <c r="JRA5"/>
      <c r="JRC5"/>
      <c r="JRE5"/>
      <c r="JRG5"/>
      <c r="JRI5"/>
      <c r="JRK5"/>
      <c r="JRM5"/>
      <c r="JRO5"/>
      <c r="JRQ5"/>
      <c r="JRS5"/>
      <c r="JRU5"/>
      <c r="JRW5"/>
      <c r="JRY5"/>
      <c r="JSA5"/>
      <c r="JSC5"/>
      <c r="JSE5"/>
      <c r="JSG5"/>
      <c r="JSI5"/>
      <c r="JSK5"/>
      <c r="JSM5"/>
      <c r="JSO5"/>
      <c r="JSQ5"/>
      <c r="JSS5"/>
      <c r="JSU5"/>
      <c r="JSW5"/>
      <c r="JSY5"/>
      <c r="JTA5"/>
      <c r="JTC5"/>
      <c r="JTE5"/>
      <c r="JTG5"/>
      <c r="JTI5"/>
      <c r="JTK5"/>
      <c r="JTM5"/>
      <c r="JTO5"/>
      <c r="JTQ5"/>
      <c r="JTS5"/>
      <c r="JTU5"/>
      <c r="JTW5"/>
      <c r="JTY5"/>
      <c r="JUA5"/>
      <c r="JUC5"/>
      <c r="JUE5"/>
      <c r="JUG5"/>
      <c r="JUI5"/>
      <c r="JUK5"/>
      <c r="JUM5"/>
      <c r="JUO5"/>
      <c r="JUQ5"/>
      <c r="JUS5"/>
      <c r="JUU5"/>
      <c r="JUW5"/>
      <c r="JUY5"/>
      <c r="JVA5"/>
      <c r="JVC5"/>
      <c r="JVE5"/>
      <c r="JVG5"/>
      <c r="JVI5"/>
      <c r="JVK5"/>
      <c r="JVM5"/>
      <c r="JVO5"/>
      <c r="JVQ5"/>
      <c r="JVS5"/>
      <c r="JVU5"/>
      <c r="JVW5"/>
      <c r="JVY5"/>
      <c r="JWA5"/>
      <c r="JWC5"/>
      <c r="JWE5"/>
      <c r="JWG5"/>
      <c r="JWI5"/>
      <c r="JWK5"/>
      <c r="JWM5"/>
      <c r="JWO5"/>
      <c r="JWQ5"/>
      <c r="JWS5"/>
      <c r="JWU5"/>
      <c r="JWW5"/>
      <c r="JWY5"/>
      <c r="JXA5"/>
      <c r="JXC5"/>
      <c r="JXE5"/>
      <c r="JXG5"/>
      <c r="JXI5"/>
      <c r="JXK5"/>
      <c r="JXM5"/>
      <c r="JXO5"/>
      <c r="JXQ5"/>
      <c r="JXS5"/>
      <c r="JXU5"/>
      <c r="JXW5"/>
      <c r="JXY5"/>
      <c r="JYA5"/>
      <c r="JYC5"/>
      <c r="JYE5"/>
      <c r="JYG5"/>
      <c r="JYI5"/>
      <c r="JYK5"/>
      <c r="JYM5"/>
      <c r="JYO5"/>
      <c r="JYQ5"/>
      <c r="JYS5"/>
      <c r="JYU5"/>
      <c r="JYW5"/>
      <c r="JYY5"/>
      <c r="JZA5"/>
      <c r="JZC5"/>
      <c r="JZE5"/>
      <c r="JZG5"/>
      <c r="JZI5"/>
      <c r="JZK5"/>
      <c r="JZM5"/>
      <c r="JZO5"/>
      <c r="JZQ5"/>
      <c r="JZS5"/>
      <c r="JZU5"/>
      <c r="JZW5"/>
      <c r="JZY5"/>
      <c r="KAA5"/>
      <c r="KAC5"/>
      <c r="KAE5"/>
      <c r="KAG5"/>
      <c r="KAI5"/>
      <c r="KAK5"/>
      <c r="KAM5"/>
      <c r="KAO5"/>
      <c r="KAQ5"/>
      <c r="KAS5"/>
      <c r="KAU5"/>
      <c r="KAW5"/>
      <c r="KAY5"/>
      <c r="KBA5"/>
      <c r="KBC5"/>
      <c r="KBE5"/>
      <c r="KBG5"/>
      <c r="KBI5"/>
      <c r="KBK5"/>
      <c r="KBM5"/>
      <c r="KBO5"/>
      <c r="KBQ5"/>
      <c r="KBS5"/>
      <c r="KBU5"/>
      <c r="KBW5"/>
      <c r="KBY5"/>
      <c r="KCA5"/>
      <c r="KCC5"/>
      <c r="KCE5"/>
      <c r="KCG5"/>
      <c r="KCI5"/>
      <c r="KCK5"/>
      <c r="KCM5"/>
      <c r="KCO5"/>
      <c r="KCQ5"/>
      <c r="KCS5"/>
      <c r="KCU5"/>
      <c r="KCW5"/>
      <c r="KCY5"/>
      <c r="KDA5"/>
      <c r="KDC5"/>
      <c r="KDE5"/>
      <c r="KDG5"/>
      <c r="KDI5"/>
      <c r="KDK5"/>
      <c r="KDM5"/>
      <c r="KDO5"/>
      <c r="KDQ5"/>
      <c r="KDS5"/>
      <c r="KDU5"/>
      <c r="KDW5"/>
      <c r="KDY5"/>
      <c r="KEA5"/>
      <c r="KEC5"/>
      <c r="KEE5"/>
      <c r="KEG5"/>
      <c r="KEI5"/>
      <c r="KEK5"/>
      <c r="KEM5"/>
      <c r="KEO5"/>
      <c r="KEQ5"/>
      <c r="KES5"/>
      <c r="KEU5"/>
      <c r="KEW5"/>
      <c r="KEY5"/>
      <c r="KFA5"/>
      <c r="KFC5"/>
      <c r="KFE5"/>
      <c r="KFG5"/>
      <c r="KFI5"/>
      <c r="KFK5"/>
      <c r="KFM5"/>
      <c r="KFO5"/>
      <c r="KFQ5"/>
      <c r="KFS5"/>
      <c r="KFU5"/>
      <c r="KFW5"/>
      <c r="KFY5"/>
      <c r="KGA5"/>
      <c r="KGC5"/>
      <c r="KGE5"/>
      <c r="KGG5"/>
      <c r="KGI5"/>
      <c r="KGK5"/>
      <c r="KGM5"/>
      <c r="KGO5"/>
      <c r="KGQ5"/>
      <c r="KGS5"/>
      <c r="KGU5"/>
      <c r="KGW5"/>
      <c r="KGY5"/>
      <c r="KHA5"/>
      <c r="KHC5"/>
      <c r="KHE5"/>
      <c r="KHG5"/>
      <c r="KHI5"/>
      <c r="KHK5"/>
      <c r="KHM5"/>
      <c r="KHO5"/>
      <c r="KHQ5"/>
      <c r="KHS5"/>
      <c r="KHU5"/>
      <c r="KHW5"/>
      <c r="KHY5"/>
      <c r="KIA5"/>
      <c r="KIC5"/>
      <c r="KIE5"/>
      <c r="KIG5"/>
      <c r="KII5"/>
      <c r="KIK5"/>
      <c r="KIM5"/>
      <c r="KIO5"/>
      <c r="KIQ5"/>
      <c r="KIS5"/>
      <c r="KIU5"/>
      <c r="KIW5"/>
      <c r="KIY5"/>
      <c r="KJA5"/>
      <c r="KJC5"/>
      <c r="KJE5"/>
      <c r="KJG5"/>
      <c r="KJI5"/>
      <c r="KJK5"/>
      <c r="KJM5"/>
      <c r="KJO5"/>
      <c r="KJQ5"/>
      <c r="KJS5"/>
      <c r="KJU5"/>
      <c r="KJW5"/>
      <c r="KJY5"/>
      <c r="KKA5"/>
      <c r="KKC5"/>
      <c r="KKE5"/>
      <c r="KKG5"/>
      <c r="KKI5"/>
      <c r="KKK5"/>
      <c r="KKM5"/>
      <c r="KKO5"/>
      <c r="KKQ5"/>
      <c r="KKS5"/>
      <c r="KKU5"/>
      <c r="KKW5"/>
      <c r="KKY5"/>
      <c r="KLA5"/>
      <c r="KLC5"/>
      <c r="KLE5"/>
      <c r="KLG5"/>
      <c r="KLI5"/>
      <c r="KLK5"/>
      <c r="KLM5"/>
      <c r="KLO5"/>
      <c r="KLQ5"/>
      <c r="KLS5"/>
      <c r="KLU5"/>
      <c r="KLW5"/>
      <c r="KLY5"/>
      <c r="KMA5"/>
      <c r="KMC5"/>
      <c r="KME5"/>
      <c r="KMG5"/>
      <c r="KMI5"/>
      <c r="KMK5"/>
      <c r="KMM5"/>
      <c r="KMO5"/>
      <c r="KMQ5"/>
      <c r="KMS5"/>
      <c r="KMU5"/>
      <c r="KMW5"/>
      <c r="KMY5"/>
      <c r="KNA5"/>
      <c r="KNC5"/>
      <c r="KNE5"/>
      <c r="KNG5"/>
      <c r="KNI5"/>
      <c r="KNK5"/>
      <c r="KNM5"/>
      <c r="KNO5"/>
      <c r="KNQ5"/>
      <c r="KNS5"/>
      <c r="KNU5"/>
      <c r="KNW5"/>
      <c r="KNY5"/>
      <c r="KOA5"/>
      <c r="KOC5"/>
      <c r="KOE5"/>
      <c r="KOG5"/>
      <c r="KOI5"/>
      <c r="KOK5"/>
      <c r="KOM5"/>
      <c r="KOO5"/>
      <c r="KOQ5"/>
      <c r="KOS5"/>
      <c r="KOU5"/>
      <c r="KOW5"/>
      <c r="KOY5"/>
      <c r="KPA5"/>
      <c r="KPC5"/>
      <c r="KPE5"/>
      <c r="KPG5"/>
      <c r="KPI5"/>
      <c r="KPK5"/>
      <c r="KPM5"/>
      <c r="KPO5"/>
      <c r="KPQ5"/>
      <c r="KPS5"/>
      <c r="KPU5"/>
      <c r="KPW5"/>
      <c r="KPY5"/>
      <c r="KQA5"/>
      <c r="KQC5"/>
      <c r="KQE5"/>
      <c r="KQG5"/>
      <c r="KQI5"/>
      <c r="KQK5"/>
      <c r="KQM5"/>
      <c r="KQO5"/>
      <c r="KQQ5"/>
      <c r="KQS5"/>
      <c r="KQU5"/>
      <c r="KQW5"/>
      <c r="KQY5"/>
      <c r="KRA5"/>
      <c r="KRC5"/>
      <c r="KRE5"/>
      <c r="KRG5"/>
      <c r="KRI5"/>
      <c r="KRK5"/>
      <c r="KRM5"/>
      <c r="KRO5"/>
      <c r="KRQ5"/>
      <c r="KRS5"/>
      <c r="KRU5"/>
      <c r="KRW5"/>
      <c r="KRY5"/>
      <c r="KSA5"/>
      <c r="KSC5"/>
      <c r="KSE5"/>
      <c r="KSG5"/>
      <c r="KSI5"/>
      <c r="KSK5"/>
      <c r="KSM5"/>
      <c r="KSO5"/>
      <c r="KSQ5"/>
      <c r="KSS5"/>
      <c r="KSU5"/>
      <c r="KSW5"/>
      <c r="KSY5"/>
      <c r="KTA5"/>
      <c r="KTC5"/>
      <c r="KTE5"/>
      <c r="KTG5"/>
      <c r="KTI5"/>
      <c r="KTK5"/>
      <c r="KTM5"/>
      <c r="KTO5"/>
      <c r="KTQ5"/>
      <c r="KTS5"/>
      <c r="KTU5"/>
      <c r="KTW5"/>
      <c r="KTY5"/>
      <c r="KUA5"/>
      <c r="KUC5"/>
      <c r="KUE5"/>
      <c r="KUG5"/>
      <c r="KUI5"/>
      <c r="KUK5"/>
      <c r="KUM5"/>
      <c r="KUO5"/>
      <c r="KUQ5"/>
      <c r="KUS5"/>
      <c r="KUU5"/>
      <c r="KUW5"/>
      <c r="KUY5"/>
      <c r="KVA5"/>
      <c r="KVC5"/>
      <c r="KVE5"/>
      <c r="KVG5"/>
      <c r="KVI5"/>
      <c r="KVK5"/>
      <c r="KVM5"/>
      <c r="KVO5"/>
      <c r="KVQ5"/>
      <c r="KVS5"/>
      <c r="KVU5"/>
      <c r="KVW5"/>
      <c r="KVY5"/>
      <c r="KWA5"/>
      <c r="KWC5"/>
      <c r="KWE5"/>
      <c r="KWG5"/>
      <c r="KWI5"/>
      <c r="KWK5"/>
      <c r="KWM5"/>
      <c r="KWO5"/>
      <c r="KWQ5"/>
      <c r="KWS5"/>
      <c r="KWU5"/>
      <c r="KWW5"/>
      <c r="KWY5"/>
      <c r="KXA5"/>
      <c r="KXC5"/>
      <c r="KXE5"/>
      <c r="KXG5"/>
      <c r="KXI5"/>
      <c r="KXK5"/>
      <c r="KXM5"/>
      <c r="KXO5"/>
      <c r="KXQ5"/>
      <c r="KXS5"/>
      <c r="KXU5"/>
      <c r="KXW5"/>
      <c r="KXY5"/>
      <c r="KYA5"/>
      <c r="KYC5"/>
      <c r="KYE5"/>
      <c r="KYG5"/>
      <c r="KYI5"/>
      <c r="KYK5"/>
      <c r="KYM5"/>
      <c r="KYO5"/>
      <c r="KYQ5"/>
      <c r="KYS5"/>
      <c r="KYU5"/>
      <c r="KYW5"/>
      <c r="KYY5"/>
      <c r="KZA5"/>
      <c r="KZC5"/>
      <c r="KZE5"/>
      <c r="KZG5"/>
      <c r="KZI5"/>
      <c r="KZK5"/>
      <c r="KZM5"/>
      <c r="KZO5"/>
      <c r="KZQ5"/>
      <c r="KZS5"/>
      <c r="KZU5"/>
      <c r="KZW5"/>
      <c r="KZY5"/>
      <c r="LAA5"/>
      <c r="LAC5"/>
      <c r="LAE5"/>
      <c r="LAG5"/>
      <c r="LAI5"/>
      <c r="LAK5"/>
      <c r="LAM5"/>
      <c r="LAO5"/>
      <c r="LAQ5"/>
      <c r="LAS5"/>
      <c r="LAU5"/>
      <c r="LAW5"/>
      <c r="LAY5"/>
      <c r="LBA5"/>
      <c r="LBC5"/>
      <c r="LBE5"/>
      <c r="LBG5"/>
      <c r="LBI5"/>
      <c r="LBK5"/>
      <c r="LBM5"/>
      <c r="LBO5"/>
      <c r="LBQ5"/>
      <c r="LBS5"/>
      <c r="LBU5"/>
      <c r="LBW5"/>
      <c r="LBY5"/>
      <c r="LCA5"/>
      <c r="LCC5"/>
      <c r="LCE5"/>
      <c r="LCG5"/>
      <c r="LCI5"/>
      <c r="LCK5"/>
      <c r="LCM5"/>
      <c r="LCO5"/>
      <c r="LCQ5"/>
      <c r="LCS5"/>
      <c r="LCU5"/>
      <c r="LCW5"/>
      <c r="LCY5"/>
      <c r="LDA5"/>
      <c r="LDC5"/>
      <c r="LDE5"/>
      <c r="LDG5"/>
      <c r="LDI5"/>
      <c r="LDK5"/>
      <c r="LDM5"/>
      <c r="LDO5"/>
      <c r="LDQ5"/>
      <c r="LDS5"/>
      <c r="LDU5"/>
      <c r="LDW5"/>
      <c r="LDY5"/>
      <c r="LEA5"/>
      <c r="LEC5"/>
      <c r="LEE5"/>
      <c r="LEG5"/>
      <c r="LEI5"/>
      <c r="LEK5"/>
      <c r="LEM5"/>
      <c r="LEO5"/>
      <c r="LEQ5"/>
      <c r="LES5"/>
      <c r="LEU5"/>
      <c r="LEW5"/>
      <c r="LEY5"/>
      <c r="LFA5"/>
      <c r="LFC5"/>
      <c r="LFE5"/>
      <c r="LFG5"/>
      <c r="LFI5"/>
      <c r="LFK5"/>
      <c r="LFM5"/>
      <c r="LFO5"/>
      <c r="LFQ5"/>
      <c r="LFS5"/>
      <c r="LFU5"/>
      <c r="LFW5"/>
      <c r="LFY5"/>
      <c r="LGA5"/>
      <c r="LGC5"/>
      <c r="LGE5"/>
      <c r="LGG5"/>
      <c r="LGI5"/>
      <c r="LGK5"/>
      <c r="LGM5"/>
      <c r="LGO5"/>
      <c r="LGQ5"/>
      <c r="LGS5"/>
      <c r="LGU5"/>
      <c r="LGW5"/>
      <c r="LGY5"/>
      <c r="LHA5"/>
      <c r="LHC5"/>
      <c r="LHE5"/>
      <c r="LHG5"/>
      <c r="LHI5"/>
      <c r="LHK5"/>
      <c r="LHM5"/>
      <c r="LHO5"/>
      <c r="LHQ5"/>
      <c r="LHS5"/>
      <c r="LHU5"/>
      <c r="LHW5"/>
      <c r="LHY5"/>
      <c r="LIA5"/>
      <c r="LIC5"/>
      <c r="LIE5"/>
      <c r="LIG5"/>
      <c r="LII5"/>
      <c r="LIK5"/>
      <c r="LIM5"/>
      <c r="LIO5"/>
      <c r="LIQ5"/>
      <c r="LIS5"/>
      <c r="LIU5"/>
      <c r="LIW5"/>
      <c r="LIY5"/>
      <c r="LJA5"/>
      <c r="LJC5"/>
      <c r="LJE5"/>
      <c r="LJG5"/>
      <c r="LJI5"/>
      <c r="LJK5"/>
      <c r="LJM5"/>
      <c r="LJO5"/>
      <c r="LJQ5"/>
      <c r="LJS5"/>
      <c r="LJU5"/>
      <c r="LJW5"/>
      <c r="LJY5"/>
      <c r="LKA5"/>
      <c r="LKC5"/>
      <c r="LKE5"/>
      <c r="LKG5"/>
      <c r="LKI5"/>
      <c r="LKK5"/>
      <c r="LKM5"/>
      <c r="LKO5"/>
      <c r="LKQ5"/>
      <c r="LKS5"/>
      <c r="LKU5"/>
      <c r="LKW5"/>
      <c r="LKY5"/>
      <c r="LLA5"/>
      <c r="LLC5"/>
      <c r="LLE5"/>
      <c r="LLG5"/>
      <c r="LLI5"/>
      <c r="LLK5"/>
      <c r="LLM5"/>
      <c r="LLO5"/>
      <c r="LLQ5"/>
      <c r="LLS5"/>
      <c r="LLU5"/>
      <c r="LLW5"/>
      <c r="LLY5"/>
      <c r="LMA5"/>
      <c r="LMC5"/>
      <c r="LME5"/>
      <c r="LMG5"/>
      <c r="LMI5"/>
      <c r="LMK5"/>
      <c r="LMM5"/>
      <c r="LMO5"/>
      <c r="LMQ5"/>
      <c r="LMS5"/>
      <c r="LMU5"/>
      <c r="LMW5"/>
      <c r="LMY5"/>
      <c r="LNA5"/>
      <c r="LNC5"/>
      <c r="LNE5"/>
      <c r="LNG5"/>
      <c r="LNI5"/>
      <c r="LNK5"/>
      <c r="LNM5"/>
      <c r="LNO5"/>
      <c r="LNQ5"/>
      <c r="LNS5"/>
      <c r="LNU5"/>
      <c r="LNW5"/>
      <c r="LNY5"/>
      <c r="LOA5"/>
      <c r="LOC5"/>
      <c r="LOE5"/>
      <c r="LOG5"/>
      <c r="LOI5"/>
      <c r="LOK5"/>
      <c r="LOM5"/>
      <c r="LOO5"/>
      <c r="LOQ5"/>
      <c r="LOS5"/>
      <c r="LOU5"/>
      <c r="LOW5"/>
      <c r="LOY5"/>
      <c r="LPA5"/>
      <c r="LPC5"/>
      <c r="LPE5"/>
      <c r="LPG5"/>
      <c r="LPI5"/>
      <c r="LPK5"/>
      <c r="LPM5"/>
      <c r="LPO5"/>
      <c r="LPQ5"/>
      <c r="LPS5"/>
      <c r="LPU5"/>
      <c r="LPW5"/>
      <c r="LPY5"/>
      <c r="LQA5"/>
      <c r="LQC5"/>
      <c r="LQE5"/>
      <c r="LQG5"/>
      <c r="LQI5"/>
      <c r="LQK5"/>
      <c r="LQM5"/>
      <c r="LQO5"/>
      <c r="LQQ5"/>
      <c r="LQS5"/>
      <c r="LQU5"/>
      <c r="LQW5"/>
      <c r="LQY5"/>
      <c r="LRA5"/>
      <c r="LRC5"/>
      <c r="LRE5"/>
      <c r="LRG5"/>
      <c r="LRI5"/>
      <c r="LRK5"/>
      <c r="LRM5"/>
      <c r="LRO5"/>
      <c r="LRQ5"/>
      <c r="LRS5"/>
      <c r="LRU5"/>
      <c r="LRW5"/>
      <c r="LRY5"/>
      <c r="LSA5"/>
      <c r="LSC5"/>
      <c r="LSE5"/>
      <c r="LSG5"/>
      <c r="LSI5"/>
      <c r="LSK5"/>
      <c r="LSM5"/>
      <c r="LSO5"/>
      <c r="LSQ5"/>
      <c r="LSS5"/>
      <c r="LSU5"/>
      <c r="LSW5"/>
      <c r="LSY5"/>
      <c r="LTA5"/>
      <c r="LTC5"/>
      <c r="LTE5"/>
      <c r="LTG5"/>
      <c r="LTI5"/>
      <c r="LTK5"/>
      <c r="LTM5"/>
      <c r="LTO5"/>
      <c r="LTQ5"/>
      <c r="LTS5"/>
      <c r="LTU5"/>
      <c r="LTW5"/>
      <c r="LTY5"/>
      <c r="LUA5"/>
      <c r="LUC5"/>
      <c r="LUE5"/>
      <c r="LUG5"/>
      <c r="LUI5"/>
      <c r="LUK5"/>
      <c r="LUM5"/>
      <c r="LUO5"/>
      <c r="LUQ5"/>
      <c r="LUS5"/>
      <c r="LUU5"/>
      <c r="LUW5"/>
      <c r="LUY5"/>
      <c r="LVA5"/>
      <c r="LVC5"/>
      <c r="LVE5"/>
      <c r="LVG5"/>
      <c r="LVI5"/>
      <c r="LVK5"/>
      <c r="LVM5"/>
      <c r="LVO5"/>
      <c r="LVQ5"/>
      <c r="LVS5"/>
      <c r="LVU5"/>
      <c r="LVW5"/>
      <c r="LVY5"/>
      <c r="LWA5"/>
      <c r="LWC5"/>
      <c r="LWE5"/>
      <c r="LWG5"/>
      <c r="LWI5"/>
      <c r="LWK5"/>
      <c r="LWM5"/>
      <c r="LWO5"/>
      <c r="LWQ5"/>
      <c r="LWS5"/>
      <c r="LWU5"/>
      <c r="LWW5"/>
      <c r="LWY5"/>
      <c r="LXA5"/>
      <c r="LXC5"/>
      <c r="LXE5"/>
      <c r="LXG5"/>
      <c r="LXI5"/>
      <c r="LXK5"/>
      <c r="LXM5"/>
      <c r="LXO5"/>
      <c r="LXQ5"/>
      <c r="LXS5"/>
      <c r="LXU5"/>
      <c r="LXW5"/>
      <c r="LXY5"/>
      <c r="LYA5"/>
      <c r="LYC5"/>
      <c r="LYE5"/>
      <c r="LYG5"/>
      <c r="LYI5"/>
      <c r="LYK5"/>
      <c r="LYM5"/>
      <c r="LYO5"/>
      <c r="LYQ5"/>
      <c r="LYS5"/>
      <c r="LYU5"/>
      <c r="LYW5"/>
      <c r="LYY5"/>
      <c r="LZA5"/>
      <c r="LZC5"/>
      <c r="LZE5"/>
      <c r="LZG5"/>
      <c r="LZI5"/>
      <c r="LZK5"/>
      <c r="LZM5"/>
      <c r="LZO5"/>
      <c r="LZQ5"/>
      <c r="LZS5"/>
      <c r="LZU5"/>
      <c r="LZW5"/>
      <c r="LZY5"/>
      <c r="MAA5"/>
      <c r="MAC5"/>
      <c r="MAE5"/>
      <c r="MAG5"/>
      <c r="MAI5"/>
      <c r="MAK5"/>
      <c r="MAM5"/>
      <c r="MAO5"/>
      <c r="MAQ5"/>
      <c r="MAS5"/>
      <c r="MAU5"/>
      <c r="MAW5"/>
      <c r="MAY5"/>
      <c r="MBA5"/>
      <c r="MBC5"/>
      <c r="MBE5"/>
      <c r="MBG5"/>
      <c r="MBI5"/>
      <c r="MBK5"/>
      <c r="MBM5"/>
      <c r="MBO5"/>
      <c r="MBQ5"/>
      <c r="MBS5"/>
      <c r="MBU5"/>
      <c r="MBW5"/>
      <c r="MBY5"/>
      <c r="MCA5"/>
      <c r="MCC5"/>
      <c r="MCE5"/>
      <c r="MCG5"/>
      <c r="MCI5"/>
      <c r="MCK5"/>
      <c r="MCM5"/>
      <c r="MCO5"/>
      <c r="MCQ5"/>
      <c r="MCS5"/>
      <c r="MCU5"/>
      <c r="MCW5"/>
      <c r="MCY5"/>
      <c r="MDA5"/>
      <c r="MDC5"/>
      <c r="MDE5"/>
      <c r="MDG5"/>
      <c r="MDI5"/>
      <c r="MDK5"/>
      <c r="MDM5"/>
      <c r="MDO5"/>
      <c r="MDQ5"/>
      <c r="MDS5"/>
      <c r="MDU5"/>
      <c r="MDW5"/>
      <c r="MDY5"/>
      <c r="MEA5"/>
      <c r="MEC5"/>
      <c r="MEE5"/>
      <c r="MEG5"/>
      <c r="MEI5"/>
      <c r="MEK5"/>
      <c r="MEM5"/>
      <c r="MEO5"/>
      <c r="MEQ5"/>
      <c r="MES5"/>
      <c r="MEU5"/>
      <c r="MEW5"/>
      <c r="MEY5"/>
      <c r="MFA5"/>
      <c r="MFC5"/>
      <c r="MFE5"/>
      <c r="MFG5"/>
      <c r="MFI5"/>
      <c r="MFK5"/>
      <c r="MFM5"/>
      <c r="MFO5"/>
      <c r="MFQ5"/>
      <c r="MFS5"/>
      <c r="MFU5"/>
      <c r="MFW5"/>
      <c r="MFY5"/>
      <c r="MGA5"/>
      <c r="MGC5"/>
      <c r="MGE5"/>
      <c r="MGG5"/>
      <c r="MGI5"/>
      <c r="MGK5"/>
      <c r="MGM5"/>
      <c r="MGO5"/>
      <c r="MGQ5"/>
      <c r="MGS5"/>
      <c r="MGU5"/>
      <c r="MGW5"/>
      <c r="MGY5"/>
      <c r="MHA5"/>
      <c r="MHC5"/>
      <c r="MHE5"/>
      <c r="MHG5"/>
      <c r="MHI5"/>
      <c r="MHK5"/>
      <c r="MHM5"/>
      <c r="MHO5"/>
      <c r="MHQ5"/>
      <c r="MHS5"/>
      <c r="MHU5"/>
      <c r="MHW5"/>
      <c r="MHY5"/>
      <c r="MIA5"/>
      <c r="MIC5"/>
      <c r="MIE5"/>
      <c r="MIG5"/>
      <c r="MII5"/>
      <c r="MIK5"/>
      <c r="MIM5"/>
      <c r="MIO5"/>
      <c r="MIQ5"/>
      <c r="MIS5"/>
      <c r="MIU5"/>
      <c r="MIW5"/>
      <c r="MIY5"/>
      <c r="MJA5"/>
      <c r="MJC5"/>
      <c r="MJE5"/>
      <c r="MJG5"/>
      <c r="MJI5"/>
      <c r="MJK5"/>
      <c r="MJM5"/>
      <c r="MJO5"/>
      <c r="MJQ5"/>
      <c r="MJS5"/>
      <c r="MJU5"/>
      <c r="MJW5"/>
      <c r="MJY5"/>
      <c r="MKA5"/>
      <c r="MKC5"/>
      <c r="MKE5"/>
      <c r="MKG5"/>
      <c r="MKI5"/>
      <c r="MKK5"/>
      <c r="MKM5"/>
      <c r="MKO5"/>
      <c r="MKQ5"/>
      <c r="MKS5"/>
      <c r="MKU5"/>
      <c r="MKW5"/>
      <c r="MKY5"/>
      <c r="MLA5"/>
      <c r="MLC5"/>
      <c r="MLE5"/>
      <c r="MLG5"/>
      <c r="MLI5"/>
      <c r="MLK5"/>
      <c r="MLM5"/>
      <c r="MLO5"/>
      <c r="MLQ5"/>
      <c r="MLS5"/>
      <c r="MLU5"/>
      <c r="MLW5"/>
      <c r="MLY5"/>
      <c r="MMA5"/>
      <c r="MMC5"/>
      <c r="MME5"/>
      <c r="MMG5"/>
      <c r="MMI5"/>
      <c r="MMK5"/>
      <c r="MMM5"/>
      <c r="MMO5"/>
      <c r="MMQ5"/>
      <c r="MMS5"/>
      <c r="MMU5"/>
      <c r="MMW5"/>
      <c r="MMY5"/>
      <c r="MNA5"/>
      <c r="MNC5"/>
      <c r="MNE5"/>
      <c r="MNG5"/>
      <c r="MNI5"/>
      <c r="MNK5"/>
      <c r="MNM5"/>
      <c r="MNO5"/>
      <c r="MNQ5"/>
      <c r="MNS5"/>
      <c r="MNU5"/>
      <c r="MNW5"/>
      <c r="MNY5"/>
      <c r="MOA5"/>
      <c r="MOC5"/>
      <c r="MOE5"/>
      <c r="MOG5"/>
      <c r="MOI5"/>
      <c r="MOK5"/>
      <c r="MOM5"/>
      <c r="MOO5"/>
      <c r="MOQ5"/>
      <c r="MOS5"/>
      <c r="MOU5"/>
      <c r="MOW5"/>
      <c r="MOY5"/>
      <c r="MPA5"/>
      <c r="MPC5"/>
      <c r="MPE5"/>
      <c r="MPG5"/>
      <c r="MPI5"/>
      <c r="MPK5"/>
      <c r="MPM5"/>
      <c r="MPO5"/>
      <c r="MPQ5"/>
      <c r="MPS5"/>
      <c r="MPU5"/>
      <c r="MPW5"/>
      <c r="MPY5"/>
      <c r="MQA5"/>
      <c r="MQC5"/>
      <c r="MQE5"/>
      <c r="MQG5"/>
      <c r="MQI5"/>
      <c r="MQK5"/>
      <c r="MQM5"/>
      <c r="MQO5"/>
      <c r="MQQ5"/>
      <c r="MQS5"/>
      <c r="MQU5"/>
      <c r="MQW5"/>
      <c r="MQY5"/>
      <c r="MRA5"/>
      <c r="MRC5"/>
      <c r="MRE5"/>
      <c r="MRG5"/>
      <c r="MRI5"/>
      <c r="MRK5"/>
      <c r="MRM5"/>
      <c r="MRO5"/>
      <c r="MRQ5"/>
      <c r="MRS5"/>
      <c r="MRU5"/>
      <c r="MRW5"/>
      <c r="MRY5"/>
      <c r="MSA5"/>
      <c r="MSC5"/>
      <c r="MSE5"/>
      <c r="MSG5"/>
      <c r="MSI5"/>
      <c r="MSK5"/>
      <c r="MSM5"/>
      <c r="MSO5"/>
      <c r="MSQ5"/>
      <c r="MSS5"/>
      <c r="MSU5"/>
      <c r="MSW5"/>
      <c r="MSY5"/>
      <c r="MTA5"/>
      <c r="MTC5"/>
      <c r="MTE5"/>
      <c r="MTG5"/>
      <c r="MTI5"/>
      <c r="MTK5"/>
      <c r="MTM5"/>
      <c r="MTO5"/>
      <c r="MTQ5"/>
      <c r="MTS5"/>
      <c r="MTU5"/>
      <c r="MTW5"/>
      <c r="MTY5"/>
      <c r="MUA5"/>
      <c r="MUC5"/>
      <c r="MUE5"/>
      <c r="MUG5"/>
      <c r="MUI5"/>
      <c r="MUK5"/>
      <c r="MUM5"/>
      <c r="MUO5"/>
      <c r="MUQ5"/>
      <c r="MUS5"/>
      <c r="MUU5"/>
      <c r="MUW5"/>
      <c r="MUY5"/>
      <c r="MVA5"/>
      <c r="MVC5"/>
      <c r="MVE5"/>
      <c r="MVG5"/>
      <c r="MVI5"/>
      <c r="MVK5"/>
      <c r="MVM5"/>
      <c r="MVO5"/>
      <c r="MVQ5"/>
      <c r="MVS5"/>
      <c r="MVU5"/>
      <c r="MVW5"/>
      <c r="MVY5"/>
      <c r="MWA5"/>
      <c r="MWC5"/>
      <c r="MWE5"/>
      <c r="MWG5"/>
      <c r="MWI5"/>
      <c r="MWK5"/>
      <c r="MWM5"/>
      <c r="MWO5"/>
      <c r="MWQ5"/>
      <c r="MWS5"/>
      <c r="MWU5"/>
      <c r="MWW5"/>
      <c r="MWY5"/>
      <c r="MXA5"/>
      <c r="MXC5"/>
      <c r="MXE5"/>
      <c r="MXG5"/>
      <c r="MXI5"/>
      <c r="MXK5"/>
      <c r="MXM5"/>
      <c r="MXO5"/>
      <c r="MXQ5"/>
      <c r="MXS5"/>
      <c r="MXU5"/>
      <c r="MXW5"/>
      <c r="MXY5"/>
      <c r="MYA5"/>
      <c r="MYC5"/>
      <c r="MYE5"/>
      <c r="MYG5"/>
      <c r="MYI5"/>
      <c r="MYK5"/>
      <c r="MYM5"/>
      <c r="MYO5"/>
      <c r="MYQ5"/>
      <c r="MYS5"/>
      <c r="MYU5"/>
      <c r="MYW5"/>
      <c r="MYY5"/>
      <c r="MZA5"/>
      <c r="MZC5"/>
      <c r="MZE5"/>
      <c r="MZG5"/>
      <c r="MZI5"/>
      <c r="MZK5"/>
      <c r="MZM5"/>
      <c r="MZO5"/>
      <c r="MZQ5"/>
      <c r="MZS5"/>
      <c r="MZU5"/>
      <c r="MZW5"/>
      <c r="MZY5"/>
      <c r="NAA5"/>
      <c r="NAC5"/>
      <c r="NAE5"/>
      <c r="NAG5"/>
      <c r="NAI5"/>
      <c r="NAK5"/>
      <c r="NAM5"/>
      <c r="NAO5"/>
      <c r="NAQ5"/>
      <c r="NAS5"/>
      <c r="NAU5"/>
      <c r="NAW5"/>
      <c r="NAY5"/>
      <c r="NBA5"/>
      <c r="NBC5"/>
      <c r="NBE5"/>
      <c r="NBG5"/>
      <c r="NBI5"/>
      <c r="NBK5"/>
      <c r="NBM5"/>
      <c r="NBO5"/>
      <c r="NBQ5"/>
      <c r="NBS5"/>
      <c r="NBU5"/>
      <c r="NBW5"/>
      <c r="NBY5"/>
      <c r="NCA5"/>
      <c r="NCC5"/>
      <c r="NCE5"/>
      <c r="NCG5"/>
      <c r="NCI5"/>
      <c r="NCK5"/>
      <c r="NCM5"/>
      <c r="NCO5"/>
      <c r="NCQ5"/>
      <c r="NCS5"/>
      <c r="NCU5"/>
      <c r="NCW5"/>
      <c r="NCY5"/>
      <c r="NDA5"/>
      <c r="NDC5"/>
      <c r="NDE5"/>
      <c r="NDG5"/>
      <c r="NDI5"/>
      <c r="NDK5"/>
      <c r="NDM5"/>
      <c r="NDO5"/>
      <c r="NDQ5"/>
      <c r="NDS5"/>
      <c r="NDU5"/>
      <c r="NDW5"/>
      <c r="NDY5"/>
      <c r="NEA5"/>
      <c r="NEC5"/>
      <c r="NEE5"/>
      <c r="NEG5"/>
      <c r="NEI5"/>
      <c r="NEK5"/>
      <c r="NEM5"/>
      <c r="NEO5"/>
      <c r="NEQ5"/>
      <c r="NES5"/>
      <c r="NEU5"/>
      <c r="NEW5"/>
      <c r="NEY5"/>
      <c r="NFA5"/>
      <c r="NFC5"/>
      <c r="NFE5"/>
      <c r="NFG5"/>
      <c r="NFI5"/>
      <c r="NFK5"/>
      <c r="NFM5"/>
      <c r="NFO5"/>
      <c r="NFQ5"/>
      <c r="NFS5"/>
      <c r="NFU5"/>
      <c r="NFW5"/>
      <c r="NFY5"/>
      <c r="NGA5"/>
      <c r="NGC5"/>
      <c r="NGE5"/>
      <c r="NGG5"/>
      <c r="NGI5"/>
      <c r="NGK5"/>
      <c r="NGM5"/>
      <c r="NGO5"/>
      <c r="NGQ5"/>
      <c r="NGS5"/>
      <c r="NGU5"/>
      <c r="NGW5"/>
      <c r="NGY5"/>
      <c r="NHA5"/>
      <c r="NHC5"/>
      <c r="NHE5"/>
      <c r="NHG5"/>
      <c r="NHI5"/>
      <c r="NHK5"/>
      <c r="NHM5"/>
      <c r="NHO5"/>
      <c r="NHQ5"/>
      <c r="NHS5"/>
      <c r="NHU5"/>
      <c r="NHW5"/>
      <c r="NHY5"/>
      <c r="NIA5"/>
      <c r="NIC5"/>
      <c r="NIE5"/>
      <c r="NIG5"/>
      <c r="NII5"/>
      <c r="NIK5"/>
      <c r="NIM5"/>
      <c r="NIO5"/>
      <c r="NIQ5"/>
      <c r="NIS5"/>
      <c r="NIU5"/>
      <c r="NIW5"/>
      <c r="NIY5"/>
      <c r="NJA5"/>
      <c r="NJC5"/>
      <c r="NJE5"/>
      <c r="NJG5"/>
      <c r="NJI5"/>
      <c r="NJK5"/>
      <c r="NJM5"/>
      <c r="NJO5"/>
      <c r="NJQ5"/>
      <c r="NJS5"/>
      <c r="NJU5"/>
      <c r="NJW5"/>
      <c r="NJY5"/>
      <c r="NKA5"/>
      <c r="NKC5"/>
      <c r="NKE5"/>
      <c r="NKG5"/>
      <c r="NKI5"/>
      <c r="NKK5"/>
      <c r="NKM5"/>
      <c r="NKO5"/>
      <c r="NKQ5"/>
      <c r="NKS5"/>
      <c r="NKU5"/>
      <c r="NKW5"/>
      <c r="NKY5"/>
      <c r="NLA5"/>
      <c r="NLC5"/>
      <c r="NLE5"/>
      <c r="NLG5"/>
      <c r="NLI5"/>
      <c r="NLK5"/>
      <c r="NLM5"/>
      <c r="NLO5"/>
      <c r="NLQ5"/>
      <c r="NLS5"/>
      <c r="NLU5"/>
      <c r="NLW5"/>
      <c r="NLY5"/>
      <c r="NMA5"/>
      <c r="NMC5"/>
      <c r="NME5"/>
      <c r="NMG5"/>
      <c r="NMI5"/>
      <c r="NMK5"/>
      <c r="NMM5"/>
      <c r="NMO5"/>
      <c r="NMQ5"/>
      <c r="NMS5"/>
      <c r="NMU5"/>
      <c r="NMW5"/>
      <c r="NMY5"/>
      <c r="NNA5"/>
      <c r="NNC5"/>
      <c r="NNE5"/>
      <c r="NNG5"/>
      <c r="NNI5"/>
      <c r="NNK5"/>
      <c r="NNM5"/>
      <c r="NNO5"/>
      <c r="NNQ5"/>
      <c r="NNS5"/>
      <c r="NNU5"/>
      <c r="NNW5"/>
      <c r="NNY5"/>
      <c r="NOA5"/>
      <c r="NOC5"/>
      <c r="NOE5"/>
      <c r="NOG5"/>
      <c r="NOI5"/>
      <c r="NOK5"/>
      <c r="NOM5"/>
      <c r="NOO5"/>
      <c r="NOQ5"/>
      <c r="NOS5"/>
      <c r="NOU5"/>
      <c r="NOW5"/>
      <c r="NOY5"/>
      <c r="NPA5"/>
      <c r="NPC5"/>
      <c r="NPE5"/>
      <c r="NPG5"/>
      <c r="NPI5"/>
      <c r="NPK5"/>
      <c r="NPM5"/>
      <c r="NPO5"/>
      <c r="NPQ5"/>
      <c r="NPS5"/>
      <c r="NPU5"/>
      <c r="NPW5"/>
      <c r="NPY5"/>
      <c r="NQA5"/>
      <c r="NQC5"/>
      <c r="NQE5"/>
      <c r="NQG5"/>
      <c r="NQI5"/>
      <c r="NQK5"/>
      <c r="NQM5"/>
      <c r="NQO5"/>
      <c r="NQQ5"/>
      <c r="NQS5"/>
      <c r="NQU5"/>
      <c r="NQW5"/>
      <c r="NQY5"/>
      <c r="NRA5"/>
      <c r="NRC5"/>
      <c r="NRE5"/>
      <c r="NRG5"/>
      <c r="NRI5"/>
      <c r="NRK5"/>
      <c r="NRM5"/>
      <c r="NRO5"/>
      <c r="NRQ5"/>
      <c r="NRS5"/>
      <c r="NRU5"/>
      <c r="NRW5"/>
      <c r="NRY5"/>
      <c r="NSA5"/>
      <c r="NSC5"/>
      <c r="NSE5"/>
      <c r="NSG5"/>
      <c r="NSI5"/>
      <c r="NSK5"/>
      <c r="NSM5"/>
      <c r="NSO5"/>
      <c r="NSQ5"/>
      <c r="NSS5"/>
      <c r="NSU5"/>
      <c r="NSW5"/>
      <c r="NSY5"/>
      <c r="NTA5"/>
      <c r="NTC5"/>
      <c r="NTE5"/>
      <c r="NTG5"/>
      <c r="NTI5"/>
      <c r="NTK5"/>
      <c r="NTM5"/>
      <c r="NTO5"/>
      <c r="NTQ5"/>
      <c r="NTS5"/>
      <c r="NTU5"/>
      <c r="NTW5"/>
      <c r="NTY5"/>
      <c r="NUA5"/>
      <c r="NUC5"/>
      <c r="NUE5"/>
      <c r="NUG5"/>
      <c r="NUI5"/>
      <c r="NUK5"/>
      <c r="NUM5"/>
      <c r="NUO5"/>
      <c r="NUQ5"/>
      <c r="NUS5"/>
      <c r="NUU5"/>
      <c r="NUW5"/>
      <c r="NUY5"/>
      <c r="NVA5"/>
      <c r="NVC5"/>
      <c r="NVE5"/>
      <c r="NVG5"/>
      <c r="NVI5"/>
      <c r="NVK5"/>
      <c r="NVM5"/>
      <c r="NVO5"/>
      <c r="NVQ5"/>
      <c r="NVS5"/>
      <c r="NVU5"/>
      <c r="NVW5"/>
      <c r="NVY5"/>
      <c r="NWA5"/>
      <c r="NWC5"/>
      <c r="NWE5"/>
      <c r="NWG5"/>
      <c r="NWI5"/>
      <c r="NWK5"/>
      <c r="NWM5"/>
      <c r="NWO5"/>
      <c r="NWQ5"/>
      <c r="NWS5"/>
      <c r="NWU5"/>
      <c r="NWW5"/>
      <c r="NWY5"/>
      <c r="NXA5"/>
      <c r="NXC5"/>
      <c r="NXE5"/>
      <c r="NXG5"/>
      <c r="NXI5"/>
      <c r="NXK5"/>
      <c r="NXM5"/>
      <c r="NXO5"/>
      <c r="NXQ5"/>
      <c r="NXS5"/>
      <c r="NXU5"/>
      <c r="NXW5"/>
      <c r="NXY5"/>
      <c r="NYA5"/>
      <c r="NYC5"/>
      <c r="NYE5"/>
      <c r="NYG5"/>
      <c r="NYI5"/>
      <c r="NYK5"/>
      <c r="NYM5"/>
      <c r="NYO5"/>
      <c r="NYQ5"/>
      <c r="NYS5"/>
      <c r="NYU5"/>
      <c r="NYW5"/>
      <c r="NYY5"/>
      <c r="NZA5"/>
      <c r="NZC5"/>
      <c r="NZE5"/>
      <c r="NZG5"/>
      <c r="NZI5"/>
      <c r="NZK5"/>
      <c r="NZM5"/>
      <c r="NZO5"/>
      <c r="NZQ5"/>
      <c r="NZS5"/>
      <c r="NZU5"/>
      <c r="NZW5"/>
      <c r="NZY5"/>
      <c r="OAA5"/>
      <c r="OAC5"/>
      <c r="OAE5"/>
      <c r="OAG5"/>
      <c r="OAI5"/>
      <c r="OAK5"/>
      <c r="OAM5"/>
      <c r="OAO5"/>
      <c r="OAQ5"/>
      <c r="OAS5"/>
      <c r="OAU5"/>
      <c r="OAW5"/>
      <c r="OAY5"/>
      <c r="OBA5"/>
      <c r="OBC5"/>
      <c r="OBE5"/>
      <c r="OBG5"/>
      <c r="OBI5"/>
      <c r="OBK5"/>
      <c r="OBM5"/>
      <c r="OBO5"/>
      <c r="OBQ5"/>
      <c r="OBS5"/>
      <c r="OBU5"/>
      <c r="OBW5"/>
      <c r="OBY5"/>
      <c r="OCA5"/>
      <c r="OCC5"/>
      <c r="OCE5"/>
      <c r="OCG5"/>
      <c r="OCI5"/>
      <c r="OCK5"/>
      <c r="OCM5"/>
      <c r="OCO5"/>
      <c r="OCQ5"/>
      <c r="OCS5"/>
      <c r="OCU5"/>
      <c r="OCW5"/>
      <c r="OCY5"/>
      <c r="ODA5"/>
      <c r="ODC5"/>
      <c r="ODE5"/>
      <c r="ODG5"/>
      <c r="ODI5"/>
      <c r="ODK5"/>
      <c r="ODM5"/>
      <c r="ODO5"/>
      <c r="ODQ5"/>
      <c r="ODS5"/>
      <c r="ODU5"/>
      <c r="ODW5"/>
      <c r="ODY5"/>
      <c r="OEA5"/>
      <c r="OEC5"/>
      <c r="OEE5"/>
      <c r="OEG5"/>
      <c r="OEI5"/>
      <c r="OEK5"/>
      <c r="OEM5"/>
      <c r="OEO5"/>
      <c r="OEQ5"/>
      <c r="OES5"/>
      <c r="OEU5"/>
      <c r="OEW5"/>
      <c r="OEY5"/>
      <c r="OFA5"/>
      <c r="OFC5"/>
      <c r="OFE5"/>
      <c r="OFG5"/>
      <c r="OFI5"/>
      <c r="OFK5"/>
      <c r="OFM5"/>
      <c r="OFO5"/>
      <c r="OFQ5"/>
      <c r="OFS5"/>
      <c r="OFU5"/>
      <c r="OFW5"/>
      <c r="OFY5"/>
      <c r="OGA5"/>
      <c r="OGC5"/>
      <c r="OGE5"/>
      <c r="OGG5"/>
      <c r="OGI5"/>
      <c r="OGK5"/>
      <c r="OGM5"/>
      <c r="OGO5"/>
      <c r="OGQ5"/>
      <c r="OGS5"/>
      <c r="OGU5"/>
      <c r="OGW5"/>
      <c r="OGY5"/>
      <c r="OHA5"/>
      <c r="OHC5"/>
      <c r="OHE5"/>
      <c r="OHG5"/>
      <c r="OHI5"/>
      <c r="OHK5"/>
      <c r="OHM5"/>
      <c r="OHO5"/>
      <c r="OHQ5"/>
      <c r="OHS5"/>
      <c r="OHU5"/>
      <c r="OHW5"/>
      <c r="OHY5"/>
      <c r="OIA5"/>
      <c r="OIC5"/>
      <c r="OIE5"/>
      <c r="OIG5"/>
      <c r="OII5"/>
      <c r="OIK5"/>
      <c r="OIM5"/>
      <c r="OIO5"/>
      <c r="OIQ5"/>
      <c r="OIS5"/>
      <c r="OIU5"/>
      <c r="OIW5"/>
      <c r="OIY5"/>
      <c r="OJA5"/>
      <c r="OJC5"/>
      <c r="OJE5"/>
      <c r="OJG5"/>
      <c r="OJI5"/>
      <c r="OJK5"/>
      <c r="OJM5"/>
      <c r="OJO5"/>
      <c r="OJQ5"/>
      <c r="OJS5"/>
      <c r="OJU5"/>
      <c r="OJW5"/>
      <c r="OJY5"/>
      <c r="OKA5"/>
      <c r="OKC5"/>
      <c r="OKE5"/>
      <c r="OKG5"/>
      <c r="OKI5"/>
      <c r="OKK5"/>
      <c r="OKM5"/>
      <c r="OKO5"/>
      <c r="OKQ5"/>
      <c r="OKS5"/>
      <c r="OKU5"/>
      <c r="OKW5"/>
      <c r="OKY5"/>
      <c r="OLA5"/>
      <c r="OLC5"/>
      <c r="OLE5"/>
      <c r="OLG5"/>
      <c r="OLI5"/>
      <c r="OLK5"/>
      <c r="OLM5"/>
      <c r="OLO5"/>
      <c r="OLQ5"/>
      <c r="OLS5"/>
      <c r="OLU5"/>
      <c r="OLW5"/>
      <c r="OLY5"/>
      <c r="OMA5"/>
      <c r="OMC5"/>
      <c r="OME5"/>
      <c r="OMG5"/>
      <c r="OMI5"/>
      <c r="OMK5"/>
      <c r="OMM5"/>
      <c r="OMO5"/>
      <c r="OMQ5"/>
      <c r="OMS5"/>
      <c r="OMU5"/>
      <c r="OMW5"/>
      <c r="OMY5"/>
      <c r="ONA5"/>
      <c r="ONC5"/>
      <c r="ONE5"/>
      <c r="ONG5"/>
      <c r="ONI5"/>
      <c r="ONK5"/>
      <c r="ONM5"/>
      <c r="ONO5"/>
      <c r="ONQ5"/>
      <c r="ONS5"/>
      <c r="ONU5"/>
      <c r="ONW5"/>
      <c r="ONY5"/>
      <c r="OOA5"/>
      <c r="OOC5"/>
      <c r="OOE5"/>
      <c r="OOG5"/>
      <c r="OOI5"/>
      <c r="OOK5"/>
      <c r="OOM5"/>
      <c r="OOO5"/>
      <c r="OOQ5"/>
      <c r="OOS5"/>
      <c r="OOU5"/>
      <c r="OOW5"/>
      <c r="OOY5"/>
      <c r="OPA5"/>
      <c r="OPC5"/>
      <c r="OPE5"/>
      <c r="OPG5"/>
      <c r="OPI5"/>
      <c r="OPK5"/>
      <c r="OPM5"/>
      <c r="OPO5"/>
      <c r="OPQ5"/>
      <c r="OPS5"/>
      <c r="OPU5"/>
      <c r="OPW5"/>
      <c r="OPY5"/>
      <c r="OQA5"/>
      <c r="OQC5"/>
      <c r="OQE5"/>
      <c r="OQG5"/>
      <c r="OQI5"/>
      <c r="OQK5"/>
      <c r="OQM5"/>
      <c r="OQO5"/>
      <c r="OQQ5"/>
      <c r="OQS5"/>
      <c r="OQU5"/>
      <c r="OQW5"/>
      <c r="OQY5"/>
      <c r="ORA5"/>
      <c r="ORC5"/>
      <c r="ORE5"/>
      <c r="ORG5"/>
      <c r="ORI5"/>
      <c r="ORK5"/>
      <c r="ORM5"/>
      <c r="ORO5"/>
      <c r="ORQ5"/>
      <c r="ORS5"/>
      <c r="ORU5"/>
      <c r="ORW5"/>
      <c r="ORY5"/>
      <c r="OSA5"/>
      <c r="OSC5"/>
      <c r="OSE5"/>
      <c r="OSG5"/>
      <c r="OSI5"/>
      <c r="OSK5"/>
      <c r="OSM5"/>
      <c r="OSO5"/>
      <c r="OSQ5"/>
      <c r="OSS5"/>
      <c r="OSU5"/>
      <c r="OSW5"/>
      <c r="OSY5"/>
      <c r="OTA5"/>
      <c r="OTC5"/>
      <c r="OTE5"/>
      <c r="OTG5"/>
      <c r="OTI5"/>
      <c r="OTK5"/>
      <c r="OTM5"/>
      <c r="OTO5"/>
      <c r="OTQ5"/>
      <c r="OTS5"/>
      <c r="OTU5"/>
      <c r="OTW5"/>
      <c r="OTY5"/>
      <c r="OUA5"/>
      <c r="OUC5"/>
      <c r="OUE5"/>
      <c r="OUG5"/>
      <c r="OUI5"/>
      <c r="OUK5"/>
      <c r="OUM5"/>
      <c r="OUO5"/>
      <c r="OUQ5"/>
      <c r="OUS5"/>
      <c r="OUU5"/>
      <c r="OUW5"/>
      <c r="OUY5"/>
      <c r="OVA5"/>
      <c r="OVC5"/>
      <c r="OVE5"/>
      <c r="OVG5"/>
      <c r="OVI5"/>
      <c r="OVK5"/>
      <c r="OVM5"/>
      <c r="OVO5"/>
      <c r="OVQ5"/>
      <c r="OVS5"/>
      <c r="OVU5"/>
      <c r="OVW5"/>
      <c r="OVY5"/>
      <c r="OWA5"/>
      <c r="OWC5"/>
      <c r="OWE5"/>
      <c r="OWG5"/>
      <c r="OWI5"/>
      <c r="OWK5"/>
      <c r="OWM5"/>
      <c r="OWO5"/>
      <c r="OWQ5"/>
      <c r="OWS5"/>
      <c r="OWU5"/>
      <c r="OWW5"/>
      <c r="OWY5"/>
      <c r="OXA5"/>
      <c r="OXC5"/>
      <c r="OXE5"/>
      <c r="OXG5"/>
      <c r="OXI5"/>
      <c r="OXK5"/>
      <c r="OXM5"/>
      <c r="OXO5"/>
      <c r="OXQ5"/>
      <c r="OXS5"/>
      <c r="OXU5"/>
      <c r="OXW5"/>
      <c r="OXY5"/>
      <c r="OYA5"/>
      <c r="OYC5"/>
      <c r="OYE5"/>
      <c r="OYG5"/>
      <c r="OYI5"/>
      <c r="OYK5"/>
      <c r="OYM5"/>
      <c r="OYO5"/>
      <c r="OYQ5"/>
      <c r="OYS5"/>
      <c r="OYU5"/>
      <c r="OYW5"/>
      <c r="OYY5"/>
      <c r="OZA5"/>
      <c r="OZC5"/>
      <c r="OZE5"/>
      <c r="OZG5"/>
      <c r="OZI5"/>
      <c r="OZK5"/>
      <c r="OZM5"/>
      <c r="OZO5"/>
      <c r="OZQ5"/>
      <c r="OZS5"/>
      <c r="OZU5"/>
      <c r="OZW5"/>
      <c r="OZY5"/>
      <c r="PAA5"/>
      <c r="PAC5"/>
      <c r="PAE5"/>
      <c r="PAG5"/>
      <c r="PAI5"/>
      <c r="PAK5"/>
      <c r="PAM5"/>
      <c r="PAO5"/>
      <c r="PAQ5"/>
      <c r="PAS5"/>
      <c r="PAU5"/>
      <c r="PAW5"/>
      <c r="PAY5"/>
      <c r="PBA5"/>
      <c r="PBC5"/>
      <c r="PBE5"/>
      <c r="PBG5"/>
      <c r="PBI5"/>
      <c r="PBK5"/>
      <c r="PBM5"/>
      <c r="PBO5"/>
      <c r="PBQ5"/>
      <c r="PBS5"/>
      <c r="PBU5"/>
      <c r="PBW5"/>
      <c r="PBY5"/>
      <c r="PCA5"/>
      <c r="PCC5"/>
      <c r="PCE5"/>
      <c r="PCG5"/>
      <c r="PCI5"/>
      <c r="PCK5"/>
      <c r="PCM5"/>
      <c r="PCO5"/>
      <c r="PCQ5"/>
      <c r="PCS5"/>
      <c r="PCU5"/>
      <c r="PCW5"/>
      <c r="PCY5"/>
      <c r="PDA5"/>
      <c r="PDC5"/>
      <c r="PDE5"/>
      <c r="PDG5"/>
      <c r="PDI5"/>
      <c r="PDK5"/>
      <c r="PDM5"/>
      <c r="PDO5"/>
      <c r="PDQ5"/>
      <c r="PDS5"/>
      <c r="PDU5"/>
      <c r="PDW5"/>
      <c r="PDY5"/>
      <c r="PEA5"/>
      <c r="PEC5"/>
      <c r="PEE5"/>
      <c r="PEG5"/>
      <c r="PEI5"/>
      <c r="PEK5"/>
      <c r="PEM5"/>
      <c r="PEO5"/>
      <c r="PEQ5"/>
      <c r="PES5"/>
      <c r="PEU5"/>
      <c r="PEW5"/>
      <c r="PEY5"/>
      <c r="PFA5"/>
      <c r="PFC5"/>
      <c r="PFE5"/>
      <c r="PFG5"/>
      <c r="PFI5"/>
      <c r="PFK5"/>
      <c r="PFM5"/>
      <c r="PFO5"/>
      <c r="PFQ5"/>
      <c r="PFS5"/>
      <c r="PFU5"/>
      <c r="PFW5"/>
      <c r="PFY5"/>
      <c r="PGA5"/>
      <c r="PGC5"/>
      <c r="PGE5"/>
      <c r="PGG5"/>
      <c r="PGI5"/>
      <c r="PGK5"/>
      <c r="PGM5"/>
      <c r="PGO5"/>
      <c r="PGQ5"/>
      <c r="PGS5"/>
      <c r="PGU5"/>
      <c r="PGW5"/>
      <c r="PGY5"/>
      <c r="PHA5"/>
      <c r="PHC5"/>
      <c r="PHE5"/>
      <c r="PHG5"/>
      <c r="PHI5"/>
      <c r="PHK5"/>
      <c r="PHM5"/>
      <c r="PHO5"/>
      <c r="PHQ5"/>
      <c r="PHS5"/>
      <c r="PHU5"/>
      <c r="PHW5"/>
      <c r="PHY5"/>
      <c r="PIA5"/>
      <c r="PIC5"/>
      <c r="PIE5"/>
      <c r="PIG5"/>
      <c r="PII5"/>
      <c r="PIK5"/>
      <c r="PIM5"/>
      <c r="PIO5"/>
      <c r="PIQ5"/>
      <c r="PIS5"/>
      <c r="PIU5"/>
      <c r="PIW5"/>
      <c r="PIY5"/>
      <c r="PJA5"/>
      <c r="PJC5"/>
      <c r="PJE5"/>
      <c r="PJG5"/>
      <c r="PJI5"/>
      <c r="PJK5"/>
      <c r="PJM5"/>
      <c r="PJO5"/>
      <c r="PJQ5"/>
      <c r="PJS5"/>
      <c r="PJU5"/>
      <c r="PJW5"/>
      <c r="PJY5"/>
      <c r="PKA5"/>
      <c r="PKC5"/>
      <c r="PKE5"/>
      <c r="PKG5"/>
      <c r="PKI5"/>
      <c r="PKK5"/>
      <c r="PKM5"/>
      <c r="PKO5"/>
      <c r="PKQ5"/>
      <c r="PKS5"/>
      <c r="PKU5"/>
      <c r="PKW5"/>
      <c r="PKY5"/>
      <c r="PLA5"/>
      <c r="PLC5"/>
      <c r="PLE5"/>
      <c r="PLG5"/>
      <c r="PLI5"/>
      <c r="PLK5"/>
      <c r="PLM5"/>
      <c r="PLO5"/>
      <c r="PLQ5"/>
      <c r="PLS5"/>
      <c r="PLU5"/>
      <c r="PLW5"/>
      <c r="PLY5"/>
      <c r="PMA5"/>
      <c r="PMC5"/>
      <c r="PME5"/>
      <c r="PMG5"/>
      <c r="PMI5"/>
      <c r="PMK5"/>
      <c r="PMM5"/>
      <c r="PMO5"/>
      <c r="PMQ5"/>
      <c r="PMS5"/>
      <c r="PMU5"/>
      <c r="PMW5"/>
      <c r="PMY5"/>
      <c r="PNA5"/>
      <c r="PNC5"/>
      <c r="PNE5"/>
      <c r="PNG5"/>
      <c r="PNI5"/>
      <c r="PNK5"/>
      <c r="PNM5"/>
      <c r="PNO5"/>
      <c r="PNQ5"/>
      <c r="PNS5"/>
      <c r="PNU5"/>
      <c r="PNW5"/>
      <c r="PNY5"/>
      <c r="POA5"/>
      <c r="POC5"/>
      <c r="POE5"/>
      <c r="POG5"/>
      <c r="POI5"/>
      <c r="POK5"/>
      <c r="POM5"/>
      <c r="POO5"/>
      <c r="POQ5"/>
      <c r="POS5"/>
      <c r="POU5"/>
      <c r="POW5"/>
      <c r="POY5"/>
      <c r="PPA5"/>
      <c r="PPC5"/>
      <c r="PPE5"/>
      <c r="PPG5"/>
      <c r="PPI5"/>
      <c r="PPK5"/>
      <c r="PPM5"/>
      <c r="PPO5"/>
      <c r="PPQ5"/>
      <c r="PPS5"/>
      <c r="PPU5"/>
      <c r="PPW5"/>
      <c r="PPY5"/>
      <c r="PQA5"/>
      <c r="PQC5"/>
      <c r="PQE5"/>
      <c r="PQG5"/>
      <c r="PQI5"/>
      <c r="PQK5"/>
      <c r="PQM5"/>
      <c r="PQO5"/>
      <c r="PQQ5"/>
      <c r="PQS5"/>
      <c r="PQU5"/>
      <c r="PQW5"/>
      <c r="PQY5"/>
      <c r="PRA5"/>
      <c r="PRC5"/>
      <c r="PRE5"/>
      <c r="PRG5"/>
      <c r="PRI5"/>
      <c r="PRK5"/>
      <c r="PRM5"/>
      <c r="PRO5"/>
      <c r="PRQ5"/>
      <c r="PRS5"/>
      <c r="PRU5"/>
      <c r="PRW5"/>
      <c r="PRY5"/>
      <c r="PSA5"/>
      <c r="PSC5"/>
      <c r="PSE5"/>
      <c r="PSG5"/>
      <c r="PSI5"/>
      <c r="PSK5"/>
      <c r="PSM5"/>
      <c r="PSO5"/>
      <c r="PSQ5"/>
      <c r="PSS5"/>
      <c r="PSU5"/>
      <c r="PSW5"/>
      <c r="PSY5"/>
      <c r="PTA5"/>
      <c r="PTC5"/>
      <c r="PTE5"/>
      <c r="PTG5"/>
      <c r="PTI5"/>
      <c r="PTK5"/>
      <c r="PTM5"/>
      <c r="PTO5"/>
      <c r="PTQ5"/>
      <c r="PTS5"/>
      <c r="PTU5"/>
      <c r="PTW5"/>
      <c r="PTY5"/>
      <c r="PUA5"/>
      <c r="PUC5"/>
      <c r="PUE5"/>
      <c r="PUG5"/>
      <c r="PUI5"/>
      <c r="PUK5"/>
      <c r="PUM5"/>
      <c r="PUO5"/>
      <c r="PUQ5"/>
      <c r="PUS5"/>
      <c r="PUU5"/>
      <c r="PUW5"/>
      <c r="PUY5"/>
      <c r="PVA5"/>
      <c r="PVC5"/>
      <c r="PVE5"/>
      <c r="PVG5"/>
      <c r="PVI5"/>
      <c r="PVK5"/>
      <c r="PVM5"/>
      <c r="PVO5"/>
      <c r="PVQ5"/>
      <c r="PVS5"/>
      <c r="PVU5"/>
      <c r="PVW5"/>
      <c r="PVY5"/>
      <c r="PWA5"/>
      <c r="PWC5"/>
      <c r="PWE5"/>
      <c r="PWG5"/>
      <c r="PWI5"/>
      <c r="PWK5"/>
      <c r="PWM5"/>
      <c r="PWO5"/>
      <c r="PWQ5"/>
      <c r="PWS5"/>
      <c r="PWU5"/>
      <c r="PWW5"/>
      <c r="PWY5"/>
      <c r="PXA5"/>
      <c r="PXC5"/>
      <c r="PXE5"/>
      <c r="PXG5"/>
      <c r="PXI5"/>
      <c r="PXK5"/>
      <c r="PXM5"/>
      <c r="PXO5"/>
      <c r="PXQ5"/>
      <c r="PXS5"/>
      <c r="PXU5"/>
      <c r="PXW5"/>
      <c r="PXY5"/>
      <c r="PYA5"/>
      <c r="PYC5"/>
      <c r="PYE5"/>
      <c r="PYG5"/>
      <c r="PYI5"/>
      <c r="PYK5"/>
      <c r="PYM5"/>
      <c r="PYO5"/>
      <c r="PYQ5"/>
      <c r="PYS5"/>
      <c r="PYU5"/>
      <c r="PYW5"/>
      <c r="PYY5"/>
      <c r="PZA5"/>
      <c r="PZC5"/>
      <c r="PZE5"/>
      <c r="PZG5"/>
      <c r="PZI5"/>
      <c r="PZK5"/>
      <c r="PZM5"/>
      <c r="PZO5"/>
      <c r="PZQ5"/>
      <c r="PZS5"/>
      <c r="PZU5"/>
      <c r="PZW5"/>
      <c r="PZY5"/>
      <c r="QAA5"/>
      <c r="QAC5"/>
      <c r="QAE5"/>
      <c r="QAG5"/>
      <c r="QAI5"/>
      <c r="QAK5"/>
      <c r="QAM5"/>
      <c r="QAO5"/>
      <c r="QAQ5"/>
      <c r="QAS5"/>
      <c r="QAU5"/>
      <c r="QAW5"/>
      <c r="QAY5"/>
      <c r="QBA5"/>
      <c r="QBC5"/>
      <c r="QBE5"/>
      <c r="QBG5"/>
      <c r="QBI5"/>
      <c r="QBK5"/>
      <c r="QBM5"/>
      <c r="QBO5"/>
      <c r="QBQ5"/>
      <c r="QBS5"/>
      <c r="QBU5"/>
      <c r="QBW5"/>
      <c r="QBY5"/>
      <c r="QCA5"/>
      <c r="QCC5"/>
      <c r="QCE5"/>
      <c r="QCG5"/>
      <c r="QCI5"/>
      <c r="QCK5"/>
      <c r="QCM5"/>
      <c r="QCO5"/>
      <c r="QCQ5"/>
      <c r="QCS5"/>
      <c r="QCU5"/>
      <c r="QCW5"/>
      <c r="QCY5"/>
      <c r="QDA5"/>
      <c r="QDC5"/>
      <c r="QDE5"/>
      <c r="QDG5"/>
      <c r="QDI5"/>
      <c r="QDK5"/>
      <c r="QDM5"/>
      <c r="QDO5"/>
      <c r="QDQ5"/>
      <c r="QDS5"/>
      <c r="QDU5"/>
      <c r="QDW5"/>
      <c r="QDY5"/>
      <c r="QEA5"/>
      <c r="QEC5"/>
      <c r="QEE5"/>
      <c r="QEG5"/>
      <c r="QEI5"/>
      <c r="QEK5"/>
      <c r="QEM5"/>
      <c r="QEO5"/>
      <c r="QEQ5"/>
      <c r="QES5"/>
      <c r="QEU5"/>
      <c r="QEW5"/>
      <c r="QEY5"/>
      <c r="QFA5"/>
      <c r="QFC5"/>
      <c r="QFE5"/>
      <c r="QFG5"/>
      <c r="QFI5"/>
      <c r="QFK5"/>
      <c r="QFM5"/>
      <c r="QFO5"/>
      <c r="QFQ5"/>
      <c r="QFS5"/>
      <c r="QFU5"/>
      <c r="QFW5"/>
      <c r="QFY5"/>
      <c r="QGA5"/>
      <c r="QGC5"/>
      <c r="QGE5"/>
      <c r="QGG5"/>
      <c r="QGI5"/>
      <c r="QGK5"/>
      <c r="QGM5"/>
      <c r="QGO5"/>
      <c r="QGQ5"/>
      <c r="QGS5"/>
      <c r="QGU5"/>
      <c r="QGW5"/>
      <c r="QGY5"/>
      <c r="QHA5"/>
      <c r="QHC5"/>
      <c r="QHE5"/>
      <c r="QHG5"/>
      <c r="QHI5"/>
      <c r="QHK5"/>
      <c r="QHM5"/>
      <c r="QHO5"/>
      <c r="QHQ5"/>
      <c r="QHS5"/>
      <c r="QHU5"/>
      <c r="QHW5"/>
      <c r="QHY5"/>
      <c r="QIA5"/>
      <c r="QIC5"/>
      <c r="QIE5"/>
      <c r="QIG5"/>
      <c r="QII5"/>
      <c r="QIK5"/>
      <c r="QIM5"/>
      <c r="QIO5"/>
      <c r="QIQ5"/>
      <c r="QIS5"/>
      <c r="QIU5"/>
      <c r="QIW5"/>
      <c r="QIY5"/>
      <c r="QJA5"/>
      <c r="QJC5"/>
      <c r="QJE5"/>
      <c r="QJG5"/>
      <c r="QJI5"/>
      <c r="QJK5"/>
      <c r="QJM5"/>
      <c r="QJO5"/>
      <c r="QJQ5"/>
      <c r="QJS5"/>
      <c r="QJU5"/>
      <c r="QJW5"/>
      <c r="QJY5"/>
      <c r="QKA5"/>
      <c r="QKC5"/>
      <c r="QKE5"/>
      <c r="QKG5"/>
      <c r="QKI5"/>
      <c r="QKK5"/>
      <c r="QKM5"/>
      <c r="QKO5"/>
      <c r="QKQ5"/>
      <c r="QKS5"/>
      <c r="QKU5"/>
      <c r="QKW5"/>
      <c r="QKY5"/>
      <c r="QLA5"/>
      <c r="QLC5"/>
      <c r="QLE5"/>
      <c r="QLG5"/>
      <c r="QLI5"/>
      <c r="QLK5"/>
      <c r="QLM5"/>
      <c r="QLO5"/>
      <c r="QLQ5"/>
      <c r="QLS5"/>
      <c r="QLU5"/>
      <c r="QLW5"/>
      <c r="QLY5"/>
      <c r="QMA5"/>
      <c r="QMC5"/>
      <c r="QME5"/>
      <c r="QMG5"/>
      <c r="QMI5"/>
      <c r="QMK5"/>
      <c r="QMM5"/>
      <c r="QMO5"/>
      <c r="QMQ5"/>
      <c r="QMS5"/>
      <c r="QMU5"/>
      <c r="QMW5"/>
      <c r="QMY5"/>
      <c r="QNA5"/>
      <c r="QNC5"/>
      <c r="QNE5"/>
      <c r="QNG5"/>
      <c r="QNI5"/>
      <c r="QNK5"/>
      <c r="QNM5"/>
      <c r="QNO5"/>
      <c r="QNQ5"/>
      <c r="QNS5"/>
      <c r="QNU5"/>
      <c r="QNW5"/>
      <c r="QNY5"/>
      <c r="QOA5"/>
      <c r="QOC5"/>
      <c r="QOE5"/>
      <c r="QOG5"/>
      <c r="QOI5"/>
      <c r="QOK5"/>
      <c r="QOM5"/>
      <c r="QOO5"/>
      <c r="QOQ5"/>
      <c r="QOS5"/>
      <c r="QOU5"/>
      <c r="QOW5"/>
      <c r="QOY5"/>
      <c r="QPA5"/>
      <c r="QPC5"/>
      <c r="QPE5"/>
      <c r="QPG5"/>
      <c r="QPI5"/>
      <c r="QPK5"/>
      <c r="QPM5"/>
      <c r="QPO5"/>
      <c r="QPQ5"/>
      <c r="QPS5"/>
      <c r="QPU5"/>
      <c r="QPW5"/>
      <c r="QPY5"/>
      <c r="QQA5"/>
      <c r="QQC5"/>
      <c r="QQE5"/>
      <c r="QQG5"/>
      <c r="QQI5"/>
      <c r="QQK5"/>
      <c r="QQM5"/>
      <c r="QQO5"/>
      <c r="QQQ5"/>
      <c r="QQS5"/>
      <c r="QQU5"/>
      <c r="QQW5"/>
      <c r="QQY5"/>
      <c r="QRA5"/>
      <c r="QRC5"/>
      <c r="QRE5"/>
      <c r="QRG5"/>
      <c r="QRI5"/>
      <c r="QRK5"/>
      <c r="QRM5"/>
      <c r="QRO5"/>
      <c r="QRQ5"/>
      <c r="QRS5"/>
      <c r="QRU5"/>
      <c r="QRW5"/>
      <c r="QRY5"/>
      <c r="QSA5"/>
      <c r="QSC5"/>
      <c r="QSE5"/>
      <c r="QSG5"/>
      <c r="QSI5"/>
      <c r="QSK5"/>
      <c r="QSM5"/>
      <c r="QSO5"/>
      <c r="QSQ5"/>
      <c r="QSS5"/>
      <c r="QSU5"/>
      <c r="QSW5"/>
      <c r="QSY5"/>
      <c r="QTA5"/>
      <c r="QTC5"/>
      <c r="QTE5"/>
      <c r="QTG5"/>
      <c r="QTI5"/>
      <c r="QTK5"/>
      <c r="QTM5"/>
      <c r="QTO5"/>
      <c r="QTQ5"/>
      <c r="QTS5"/>
      <c r="QTU5"/>
      <c r="QTW5"/>
      <c r="QTY5"/>
      <c r="QUA5"/>
      <c r="QUC5"/>
      <c r="QUE5"/>
      <c r="QUG5"/>
      <c r="QUI5"/>
      <c r="QUK5"/>
      <c r="QUM5"/>
      <c r="QUO5"/>
      <c r="QUQ5"/>
      <c r="QUS5"/>
      <c r="QUU5"/>
      <c r="QUW5"/>
      <c r="QUY5"/>
      <c r="QVA5"/>
      <c r="QVC5"/>
      <c r="QVE5"/>
      <c r="QVG5"/>
      <c r="QVI5"/>
      <c r="QVK5"/>
      <c r="QVM5"/>
      <c r="QVO5"/>
      <c r="QVQ5"/>
      <c r="QVS5"/>
      <c r="QVU5"/>
      <c r="QVW5"/>
      <c r="QVY5"/>
      <c r="QWA5"/>
      <c r="QWC5"/>
      <c r="QWE5"/>
      <c r="QWG5"/>
      <c r="QWI5"/>
      <c r="QWK5"/>
      <c r="QWM5"/>
      <c r="QWO5"/>
      <c r="QWQ5"/>
      <c r="QWS5"/>
      <c r="QWU5"/>
      <c r="QWW5"/>
      <c r="QWY5"/>
      <c r="QXA5"/>
      <c r="QXC5"/>
      <c r="QXE5"/>
      <c r="QXG5"/>
      <c r="QXI5"/>
      <c r="QXK5"/>
      <c r="QXM5"/>
      <c r="QXO5"/>
      <c r="QXQ5"/>
      <c r="QXS5"/>
      <c r="QXU5"/>
      <c r="QXW5"/>
      <c r="QXY5"/>
      <c r="QYA5"/>
      <c r="QYC5"/>
      <c r="QYE5"/>
      <c r="QYG5"/>
      <c r="QYI5"/>
      <c r="QYK5"/>
      <c r="QYM5"/>
      <c r="QYO5"/>
      <c r="QYQ5"/>
      <c r="QYS5"/>
      <c r="QYU5"/>
      <c r="QYW5"/>
      <c r="QYY5"/>
      <c r="QZA5"/>
      <c r="QZC5"/>
      <c r="QZE5"/>
      <c r="QZG5"/>
      <c r="QZI5"/>
      <c r="QZK5"/>
      <c r="QZM5"/>
      <c r="QZO5"/>
      <c r="QZQ5"/>
      <c r="QZS5"/>
      <c r="QZU5"/>
      <c r="QZW5"/>
      <c r="QZY5"/>
      <c r="RAA5"/>
      <c r="RAC5"/>
      <c r="RAE5"/>
      <c r="RAG5"/>
      <c r="RAI5"/>
      <c r="RAK5"/>
      <c r="RAM5"/>
      <c r="RAO5"/>
      <c r="RAQ5"/>
      <c r="RAS5"/>
      <c r="RAU5"/>
      <c r="RAW5"/>
      <c r="RAY5"/>
      <c r="RBA5"/>
      <c r="RBC5"/>
      <c r="RBE5"/>
      <c r="RBG5"/>
      <c r="RBI5"/>
      <c r="RBK5"/>
      <c r="RBM5"/>
      <c r="RBO5"/>
      <c r="RBQ5"/>
      <c r="RBS5"/>
      <c r="RBU5"/>
      <c r="RBW5"/>
      <c r="RBY5"/>
      <c r="RCA5"/>
      <c r="RCC5"/>
      <c r="RCE5"/>
      <c r="RCG5"/>
      <c r="RCI5"/>
      <c r="RCK5"/>
      <c r="RCM5"/>
      <c r="RCO5"/>
      <c r="RCQ5"/>
      <c r="RCS5"/>
      <c r="RCU5"/>
      <c r="RCW5"/>
      <c r="RCY5"/>
      <c r="RDA5"/>
      <c r="RDC5"/>
      <c r="RDE5"/>
      <c r="RDG5"/>
      <c r="RDI5"/>
      <c r="RDK5"/>
      <c r="RDM5"/>
      <c r="RDO5"/>
      <c r="RDQ5"/>
      <c r="RDS5"/>
      <c r="RDU5"/>
      <c r="RDW5"/>
      <c r="RDY5"/>
      <c r="REA5"/>
      <c r="REC5"/>
      <c r="REE5"/>
      <c r="REG5"/>
      <c r="REI5"/>
      <c r="REK5"/>
      <c r="REM5"/>
      <c r="REO5"/>
      <c r="REQ5"/>
      <c r="RES5"/>
      <c r="REU5"/>
      <c r="REW5"/>
      <c r="REY5"/>
      <c r="RFA5"/>
      <c r="RFC5"/>
      <c r="RFE5"/>
      <c r="RFG5"/>
      <c r="RFI5"/>
      <c r="RFK5"/>
      <c r="RFM5"/>
      <c r="RFO5"/>
      <c r="RFQ5"/>
      <c r="RFS5"/>
      <c r="RFU5"/>
      <c r="RFW5"/>
      <c r="RFY5"/>
      <c r="RGA5"/>
      <c r="RGC5"/>
      <c r="RGE5"/>
      <c r="RGG5"/>
      <c r="RGI5"/>
      <c r="RGK5"/>
      <c r="RGM5"/>
      <c r="RGO5"/>
      <c r="RGQ5"/>
      <c r="RGS5"/>
      <c r="RGU5"/>
      <c r="RGW5"/>
      <c r="RGY5"/>
      <c r="RHA5"/>
      <c r="RHC5"/>
      <c r="RHE5"/>
      <c r="RHG5"/>
      <c r="RHI5"/>
      <c r="RHK5"/>
      <c r="RHM5"/>
      <c r="RHO5"/>
      <c r="RHQ5"/>
      <c r="RHS5"/>
      <c r="RHU5"/>
      <c r="RHW5"/>
      <c r="RHY5"/>
      <c r="RIA5"/>
      <c r="RIC5"/>
      <c r="RIE5"/>
      <c r="RIG5"/>
      <c r="RII5"/>
      <c r="RIK5"/>
      <c r="RIM5"/>
      <c r="RIO5"/>
      <c r="RIQ5"/>
      <c r="RIS5"/>
      <c r="RIU5"/>
      <c r="RIW5"/>
      <c r="RIY5"/>
      <c r="RJA5"/>
      <c r="RJC5"/>
      <c r="RJE5"/>
      <c r="RJG5"/>
      <c r="RJI5"/>
      <c r="RJK5"/>
      <c r="RJM5"/>
      <c r="RJO5"/>
      <c r="RJQ5"/>
      <c r="RJS5"/>
      <c r="RJU5"/>
      <c r="RJW5"/>
      <c r="RJY5"/>
      <c r="RKA5"/>
      <c r="RKC5"/>
      <c r="RKE5"/>
      <c r="RKG5"/>
      <c r="RKI5"/>
      <c r="RKK5"/>
      <c r="RKM5"/>
      <c r="RKO5"/>
      <c r="RKQ5"/>
      <c r="RKS5"/>
      <c r="RKU5"/>
      <c r="RKW5"/>
      <c r="RKY5"/>
      <c r="RLA5"/>
      <c r="RLC5"/>
      <c r="RLE5"/>
      <c r="RLG5"/>
      <c r="RLI5"/>
      <c r="RLK5"/>
      <c r="RLM5"/>
      <c r="RLO5"/>
      <c r="RLQ5"/>
      <c r="RLS5"/>
      <c r="RLU5"/>
      <c r="RLW5"/>
      <c r="RLY5"/>
      <c r="RMA5"/>
      <c r="RMC5"/>
      <c r="RME5"/>
      <c r="RMG5"/>
      <c r="RMI5"/>
      <c r="RMK5"/>
      <c r="RMM5"/>
      <c r="RMO5"/>
      <c r="RMQ5"/>
      <c r="RMS5"/>
      <c r="RMU5"/>
      <c r="RMW5"/>
      <c r="RMY5"/>
      <c r="RNA5"/>
      <c r="RNC5"/>
      <c r="RNE5"/>
      <c r="RNG5"/>
      <c r="RNI5"/>
      <c r="RNK5"/>
      <c r="RNM5"/>
      <c r="RNO5"/>
      <c r="RNQ5"/>
      <c r="RNS5"/>
      <c r="RNU5"/>
      <c r="RNW5"/>
      <c r="RNY5"/>
      <c r="ROA5"/>
      <c r="ROC5"/>
      <c r="ROE5"/>
      <c r="ROG5"/>
      <c r="ROI5"/>
      <c r="ROK5"/>
      <c r="ROM5"/>
      <c r="ROO5"/>
      <c r="ROQ5"/>
      <c r="ROS5"/>
      <c r="ROU5"/>
      <c r="ROW5"/>
      <c r="ROY5"/>
      <c r="RPA5"/>
      <c r="RPC5"/>
      <c r="RPE5"/>
      <c r="RPG5"/>
      <c r="RPI5"/>
      <c r="RPK5"/>
      <c r="RPM5"/>
      <c r="RPO5"/>
      <c r="RPQ5"/>
      <c r="RPS5"/>
      <c r="RPU5"/>
      <c r="RPW5"/>
      <c r="RPY5"/>
      <c r="RQA5"/>
      <c r="RQC5"/>
      <c r="RQE5"/>
      <c r="RQG5"/>
      <c r="RQI5"/>
      <c r="RQK5"/>
      <c r="RQM5"/>
      <c r="RQO5"/>
      <c r="RQQ5"/>
      <c r="RQS5"/>
      <c r="RQU5"/>
      <c r="RQW5"/>
      <c r="RQY5"/>
      <c r="RRA5"/>
      <c r="RRC5"/>
      <c r="RRE5"/>
      <c r="RRG5"/>
      <c r="RRI5"/>
      <c r="RRK5"/>
      <c r="RRM5"/>
      <c r="RRO5"/>
      <c r="RRQ5"/>
      <c r="RRS5"/>
      <c r="RRU5"/>
      <c r="RRW5"/>
      <c r="RRY5"/>
      <c r="RSA5"/>
      <c r="RSC5"/>
      <c r="RSE5"/>
      <c r="RSG5"/>
      <c r="RSI5"/>
      <c r="RSK5"/>
      <c r="RSM5"/>
      <c r="RSO5"/>
      <c r="RSQ5"/>
      <c r="RSS5"/>
      <c r="RSU5"/>
      <c r="RSW5"/>
      <c r="RSY5"/>
      <c r="RTA5"/>
      <c r="RTC5"/>
      <c r="RTE5"/>
      <c r="RTG5"/>
      <c r="RTI5"/>
      <c r="RTK5"/>
      <c r="RTM5"/>
      <c r="RTO5"/>
      <c r="RTQ5"/>
      <c r="RTS5"/>
      <c r="RTU5"/>
      <c r="RTW5"/>
      <c r="RTY5"/>
      <c r="RUA5"/>
      <c r="RUC5"/>
      <c r="RUE5"/>
      <c r="RUG5"/>
      <c r="RUI5"/>
      <c r="RUK5"/>
      <c r="RUM5"/>
      <c r="RUO5"/>
      <c r="RUQ5"/>
      <c r="RUS5"/>
      <c r="RUU5"/>
      <c r="RUW5"/>
      <c r="RUY5"/>
      <c r="RVA5"/>
      <c r="RVC5"/>
      <c r="RVE5"/>
      <c r="RVG5"/>
      <c r="RVI5"/>
      <c r="RVK5"/>
      <c r="RVM5"/>
      <c r="RVO5"/>
      <c r="RVQ5"/>
      <c r="RVS5"/>
      <c r="RVU5"/>
      <c r="RVW5"/>
      <c r="RVY5"/>
      <c r="RWA5"/>
      <c r="RWC5"/>
      <c r="RWE5"/>
      <c r="RWG5"/>
      <c r="RWI5"/>
      <c r="RWK5"/>
      <c r="RWM5"/>
      <c r="RWO5"/>
      <c r="RWQ5"/>
      <c r="RWS5"/>
      <c r="RWU5"/>
      <c r="RWW5"/>
      <c r="RWY5"/>
      <c r="RXA5"/>
      <c r="RXC5"/>
      <c r="RXE5"/>
      <c r="RXG5"/>
      <c r="RXI5"/>
      <c r="RXK5"/>
      <c r="RXM5"/>
      <c r="RXO5"/>
      <c r="RXQ5"/>
      <c r="RXS5"/>
      <c r="RXU5"/>
      <c r="RXW5"/>
      <c r="RXY5"/>
      <c r="RYA5"/>
      <c r="RYC5"/>
      <c r="RYE5"/>
      <c r="RYG5"/>
      <c r="RYI5"/>
      <c r="RYK5"/>
      <c r="RYM5"/>
      <c r="RYO5"/>
      <c r="RYQ5"/>
      <c r="RYS5"/>
      <c r="RYU5"/>
      <c r="RYW5"/>
      <c r="RYY5"/>
      <c r="RZA5"/>
      <c r="RZC5"/>
      <c r="RZE5"/>
      <c r="RZG5"/>
      <c r="RZI5"/>
      <c r="RZK5"/>
      <c r="RZM5"/>
      <c r="RZO5"/>
      <c r="RZQ5"/>
      <c r="RZS5"/>
      <c r="RZU5"/>
      <c r="RZW5"/>
      <c r="RZY5"/>
      <c r="SAA5"/>
      <c r="SAC5"/>
      <c r="SAE5"/>
      <c r="SAG5"/>
      <c r="SAI5"/>
      <c r="SAK5"/>
      <c r="SAM5"/>
      <c r="SAO5"/>
      <c r="SAQ5"/>
      <c r="SAS5"/>
      <c r="SAU5"/>
      <c r="SAW5"/>
      <c r="SAY5"/>
      <c r="SBA5"/>
      <c r="SBC5"/>
      <c r="SBE5"/>
      <c r="SBG5"/>
      <c r="SBI5"/>
      <c r="SBK5"/>
      <c r="SBM5"/>
      <c r="SBO5"/>
      <c r="SBQ5"/>
      <c r="SBS5"/>
      <c r="SBU5"/>
      <c r="SBW5"/>
      <c r="SBY5"/>
      <c r="SCA5"/>
      <c r="SCC5"/>
      <c r="SCE5"/>
      <c r="SCG5"/>
      <c r="SCI5"/>
      <c r="SCK5"/>
      <c r="SCM5"/>
      <c r="SCO5"/>
      <c r="SCQ5"/>
      <c r="SCS5"/>
      <c r="SCU5"/>
      <c r="SCW5"/>
      <c r="SCY5"/>
      <c r="SDA5"/>
      <c r="SDC5"/>
      <c r="SDE5"/>
      <c r="SDG5"/>
      <c r="SDI5"/>
      <c r="SDK5"/>
      <c r="SDM5"/>
      <c r="SDO5"/>
      <c r="SDQ5"/>
      <c r="SDS5"/>
      <c r="SDU5"/>
      <c r="SDW5"/>
      <c r="SDY5"/>
      <c r="SEA5"/>
      <c r="SEC5"/>
      <c r="SEE5"/>
      <c r="SEG5"/>
      <c r="SEI5"/>
      <c r="SEK5"/>
      <c r="SEM5"/>
      <c r="SEO5"/>
      <c r="SEQ5"/>
      <c r="SES5"/>
      <c r="SEU5"/>
      <c r="SEW5"/>
      <c r="SEY5"/>
      <c r="SFA5"/>
      <c r="SFC5"/>
      <c r="SFE5"/>
      <c r="SFG5"/>
      <c r="SFI5"/>
      <c r="SFK5"/>
      <c r="SFM5"/>
      <c r="SFO5"/>
      <c r="SFQ5"/>
      <c r="SFS5"/>
      <c r="SFU5"/>
      <c r="SFW5"/>
      <c r="SFY5"/>
      <c r="SGA5"/>
      <c r="SGC5"/>
      <c r="SGE5"/>
      <c r="SGG5"/>
      <c r="SGI5"/>
      <c r="SGK5"/>
      <c r="SGM5"/>
      <c r="SGO5"/>
      <c r="SGQ5"/>
      <c r="SGS5"/>
      <c r="SGU5"/>
      <c r="SGW5"/>
      <c r="SGY5"/>
      <c r="SHA5"/>
      <c r="SHC5"/>
      <c r="SHE5"/>
      <c r="SHG5"/>
      <c r="SHI5"/>
      <c r="SHK5"/>
      <c r="SHM5"/>
      <c r="SHO5"/>
      <c r="SHQ5"/>
      <c r="SHS5"/>
      <c r="SHU5"/>
      <c r="SHW5"/>
      <c r="SHY5"/>
      <c r="SIA5"/>
      <c r="SIC5"/>
      <c r="SIE5"/>
      <c r="SIG5"/>
      <c r="SII5"/>
      <c r="SIK5"/>
      <c r="SIM5"/>
      <c r="SIO5"/>
      <c r="SIQ5"/>
      <c r="SIS5"/>
      <c r="SIU5"/>
      <c r="SIW5"/>
      <c r="SIY5"/>
      <c r="SJA5"/>
      <c r="SJC5"/>
      <c r="SJE5"/>
      <c r="SJG5"/>
      <c r="SJI5"/>
      <c r="SJK5"/>
      <c r="SJM5"/>
      <c r="SJO5"/>
      <c r="SJQ5"/>
      <c r="SJS5"/>
      <c r="SJU5"/>
      <c r="SJW5"/>
      <c r="SJY5"/>
      <c r="SKA5"/>
      <c r="SKC5"/>
      <c r="SKE5"/>
      <c r="SKG5"/>
      <c r="SKI5"/>
      <c r="SKK5"/>
      <c r="SKM5"/>
      <c r="SKO5"/>
      <c r="SKQ5"/>
      <c r="SKS5"/>
      <c r="SKU5"/>
      <c r="SKW5"/>
      <c r="SKY5"/>
      <c r="SLA5"/>
      <c r="SLC5"/>
      <c r="SLE5"/>
      <c r="SLG5"/>
      <c r="SLI5"/>
      <c r="SLK5"/>
      <c r="SLM5"/>
      <c r="SLO5"/>
      <c r="SLQ5"/>
      <c r="SLS5"/>
      <c r="SLU5"/>
      <c r="SLW5"/>
      <c r="SLY5"/>
      <c r="SMA5"/>
      <c r="SMC5"/>
      <c r="SME5"/>
      <c r="SMG5"/>
      <c r="SMI5"/>
      <c r="SMK5"/>
      <c r="SMM5"/>
      <c r="SMO5"/>
      <c r="SMQ5"/>
      <c r="SMS5"/>
      <c r="SMU5"/>
      <c r="SMW5"/>
      <c r="SMY5"/>
      <c r="SNA5"/>
      <c r="SNC5"/>
      <c r="SNE5"/>
      <c r="SNG5"/>
      <c r="SNI5"/>
      <c r="SNK5"/>
      <c r="SNM5"/>
      <c r="SNO5"/>
      <c r="SNQ5"/>
      <c r="SNS5"/>
      <c r="SNU5"/>
      <c r="SNW5"/>
      <c r="SNY5"/>
      <c r="SOA5"/>
      <c r="SOC5"/>
      <c r="SOE5"/>
      <c r="SOG5"/>
      <c r="SOI5"/>
      <c r="SOK5"/>
      <c r="SOM5"/>
      <c r="SOO5"/>
      <c r="SOQ5"/>
      <c r="SOS5"/>
      <c r="SOU5"/>
      <c r="SOW5"/>
      <c r="SOY5"/>
      <c r="SPA5"/>
      <c r="SPC5"/>
      <c r="SPE5"/>
      <c r="SPG5"/>
      <c r="SPI5"/>
      <c r="SPK5"/>
      <c r="SPM5"/>
      <c r="SPO5"/>
      <c r="SPQ5"/>
      <c r="SPS5"/>
      <c r="SPU5"/>
      <c r="SPW5"/>
      <c r="SPY5"/>
      <c r="SQA5"/>
      <c r="SQC5"/>
      <c r="SQE5"/>
      <c r="SQG5"/>
      <c r="SQI5"/>
      <c r="SQK5"/>
      <c r="SQM5"/>
      <c r="SQO5"/>
      <c r="SQQ5"/>
      <c r="SQS5"/>
      <c r="SQU5"/>
      <c r="SQW5"/>
      <c r="SQY5"/>
      <c r="SRA5"/>
      <c r="SRC5"/>
      <c r="SRE5"/>
      <c r="SRG5"/>
      <c r="SRI5"/>
      <c r="SRK5"/>
      <c r="SRM5"/>
      <c r="SRO5"/>
      <c r="SRQ5"/>
      <c r="SRS5"/>
      <c r="SRU5"/>
      <c r="SRW5"/>
      <c r="SRY5"/>
      <c r="SSA5"/>
      <c r="SSC5"/>
      <c r="SSE5"/>
      <c r="SSG5"/>
      <c r="SSI5"/>
      <c r="SSK5"/>
      <c r="SSM5"/>
      <c r="SSO5"/>
      <c r="SSQ5"/>
      <c r="SSS5"/>
      <c r="SSU5"/>
      <c r="SSW5"/>
      <c r="SSY5"/>
      <c r="STA5"/>
      <c r="STC5"/>
      <c r="STE5"/>
      <c r="STG5"/>
      <c r="STI5"/>
      <c r="STK5"/>
      <c r="STM5"/>
      <c r="STO5"/>
      <c r="STQ5"/>
      <c r="STS5"/>
      <c r="STU5"/>
      <c r="STW5"/>
      <c r="STY5"/>
      <c r="SUA5"/>
      <c r="SUC5"/>
      <c r="SUE5"/>
      <c r="SUG5"/>
      <c r="SUI5"/>
      <c r="SUK5"/>
      <c r="SUM5"/>
      <c r="SUO5"/>
      <c r="SUQ5"/>
      <c r="SUS5"/>
      <c r="SUU5"/>
      <c r="SUW5"/>
      <c r="SUY5"/>
      <c r="SVA5"/>
      <c r="SVC5"/>
      <c r="SVE5"/>
      <c r="SVG5"/>
      <c r="SVI5"/>
      <c r="SVK5"/>
      <c r="SVM5"/>
      <c r="SVO5"/>
      <c r="SVQ5"/>
      <c r="SVS5"/>
      <c r="SVU5"/>
      <c r="SVW5"/>
      <c r="SVY5"/>
      <c r="SWA5"/>
      <c r="SWC5"/>
      <c r="SWE5"/>
      <c r="SWG5"/>
      <c r="SWI5"/>
      <c r="SWK5"/>
      <c r="SWM5"/>
      <c r="SWO5"/>
      <c r="SWQ5"/>
      <c r="SWS5"/>
      <c r="SWU5"/>
      <c r="SWW5"/>
      <c r="SWY5"/>
      <c r="SXA5"/>
      <c r="SXC5"/>
      <c r="SXE5"/>
      <c r="SXG5"/>
      <c r="SXI5"/>
      <c r="SXK5"/>
      <c r="SXM5"/>
      <c r="SXO5"/>
      <c r="SXQ5"/>
      <c r="SXS5"/>
      <c r="SXU5"/>
      <c r="SXW5"/>
      <c r="SXY5"/>
      <c r="SYA5"/>
      <c r="SYC5"/>
      <c r="SYE5"/>
      <c r="SYG5"/>
      <c r="SYI5"/>
      <c r="SYK5"/>
      <c r="SYM5"/>
      <c r="SYO5"/>
      <c r="SYQ5"/>
      <c r="SYS5"/>
      <c r="SYU5"/>
      <c r="SYW5"/>
      <c r="SYY5"/>
      <c r="SZA5"/>
      <c r="SZC5"/>
      <c r="SZE5"/>
      <c r="SZG5"/>
      <c r="SZI5"/>
      <c r="SZK5"/>
      <c r="SZM5"/>
      <c r="SZO5"/>
      <c r="SZQ5"/>
      <c r="SZS5"/>
      <c r="SZU5"/>
      <c r="SZW5"/>
      <c r="SZY5"/>
      <c r="TAA5"/>
      <c r="TAC5"/>
      <c r="TAE5"/>
      <c r="TAG5"/>
      <c r="TAI5"/>
      <c r="TAK5"/>
      <c r="TAM5"/>
      <c r="TAO5"/>
      <c r="TAQ5"/>
      <c r="TAS5"/>
      <c r="TAU5"/>
      <c r="TAW5"/>
      <c r="TAY5"/>
      <c r="TBA5"/>
      <c r="TBC5"/>
      <c r="TBE5"/>
      <c r="TBG5"/>
      <c r="TBI5"/>
      <c r="TBK5"/>
      <c r="TBM5"/>
      <c r="TBO5"/>
      <c r="TBQ5"/>
      <c r="TBS5"/>
      <c r="TBU5"/>
      <c r="TBW5"/>
      <c r="TBY5"/>
      <c r="TCA5"/>
      <c r="TCC5"/>
      <c r="TCE5"/>
      <c r="TCG5"/>
      <c r="TCI5"/>
      <c r="TCK5"/>
      <c r="TCM5"/>
      <c r="TCO5"/>
      <c r="TCQ5"/>
      <c r="TCS5"/>
      <c r="TCU5"/>
      <c r="TCW5"/>
      <c r="TCY5"/>
      <c r="TDA5"/>
      <c r="TDC5"/>
      <c r="TDE5"/>
      <c r="TDG5"/>
      <c r="TDI5"/>
      <c r="TDK5"/>
      <c r="TDM5"/>
      <c r="TDO5"/>
      <c r="TDQ5"/>
      <c r="TDS5"/>
      <c r="TDU5"/>
      <c r="TDW5"/>
      <c r="TDY5"/>
      <c r="TEA5"/>
      <c r="TEC5"/>
      <c r="TEE5"/>
      <c r="TEG5"/>
      <c r="TEI5"/>
      <c r="TEK5"/>
      <c r="TEM5"/>
      <c r="TEO5"/>
      <c r="TEQ5"/>
      <c r="TES5"/>
      <c r="TEU5"/>
      <c r="TEW5"/>
      <c r="TEY5"/>
      <c r="TFA5"/>
      <c r="TFC5"/>
      <c r="TFE5"/>
      <c r="TFG5"/>
      <c r="TFI5"/>
      <c r="TFK5"/>
      <c r="TFM5"/>
      <c r="TFO5"/>
      <c r="TFQ5"/>
      <c r="TFS5"/>
      <c r="TFU5"/>
      <c r="TFW5"/>
      <c r="TFY5"/>
      <c r="TGA5"/>
      <c r="TGC5"/>
      <c r="TGE5"/>
      <c r="TGG5"/>
      <c r="TGI5"/>
      <c r="TGK5"/>
      <c r="TGM5"/>
      <c r="TGO5"/>
      <c r="TGQ5"/>
      <c r="TGS5"/>
      <c r="TGU5"/>
      <c r="TGW5"/>
      <c r="TGY5"/>
      <c r="THA5"/>
      <c r="THC5"/>
      <c r="THE5"/>
      <c r="THG5"/>
      <c r="THI5"/>
      <c r="THK5"/>
      <c r="THM5"/>
      <c r="THO5"/>
      <c r="THQ5"/>
      <c r="THS5"/>
      <c r="THU5"/>
      <c r="THW5"/>
      <c r="THY5"/>
      <c r="TIA5"/>
      <c r="TIC5"/>
      <c r="TIE5"/>
      <c r="TIG5"/>
      <c r="TII5"/>
      <c r="TIK5"/>
      <c r="TIM5"/>
      <c r="TIO5"/>
      <c r="TIQ5"/>
      <c r="TIS5"/>
      <c r="TIU5"/>
      <c r="TIW5"/>
      <c r="TIY5"/>
      <c r="TJA5"/>
      <c r="TJC5"/>
      <c r="TJE5"/>
      <c r="TJG5"/>
      <c r="TJI5"/>
      <c r="TJK5"/>
      <c r="TJM5"/>
      <c r="TJO5"/>
      <c r="TJQ5"/>
      <c r="TJS5"/>
      <c r="TJU5"/>
      <c r="TJW5"/>
      <c r="TJY5"/>
      <c r="TKA5"/>
      <c r="TKC5"/>
      <c r="TKE5"/>
      <c r="TKG5"/>
      <c r="TKI5"/>
      <c r="TKK5"/>
      <c r="TKM5"/>
      <c r="TKO5"/>
      <c r="TKQ5"/>
      <c r="TKS5"/>
      <c r="TKU5"/>
      <c r="TKW5"/>
      <c r="TKY5"/>
      <c r="TLA5"/>
      <c r="TLC5"/>
      <c r="TLE5"/>
      <c r="TLG5"/>
      <c r="TLI5"/>
      <c r="TLK5"/>
      <c r="TLM5"/>
      <c r="TLO5"/>
      <c r="TLQ5"/>
      <c r="TLS5"/>
      <c r="TLU5"/>
      <c r="TLW5"/>
      <c r="TLY5"/>
      <c r="TMA5"/>
      <c r="TMC5"/>
      <c r="TME5"/>
      <c r="TMG5"/>
      <c r="TMI5"/>
      <c r="TMK5"/>
      <c r="TMM5"/>
      <c r="TMO5"/>
      <c r="TMQ5"/>
      <c r="TMS5"/>
      <c r="TMU5"/>
      <c r="TMW5"/>
      <c r="TMY5"/>
      <c r="TNA5"/>
      <c r="TNC5"/>
      <c r="TNE5"/>
      <c r="TNG5"/>
      <c r="TNI5"/>
      <c r="TNK5"/>
      <c r="TNM5"/>
      <c r="TNO5"/>
      <c r="TNQ5"/>
      <c r="TNS5"/>
      <c r="TNU5"/>
      <c r="TNW5"/>
      <c r="TNY5"/>
      <c r="TOA5"/>
      <c r="TOC5"/>
      <c r="TOE5"/>
      <c r="TOG5"/>
      <c r="TOI5"/>
      <c r="TOK5"/>
      <c r="TOM5"/>
      <c r="TOO5"/>
      <c r="TOQ5"/>
      <c r="TOS5"/>
      <c r="TOU5"/>
      <c r="TOW5"/>
      <c r="TOY5"/>
      <c r="TPA5"/>
      <c r="TPC5"/>
      <c r="TPE5"/>
      <c r="TPG5"/>
      <c r="TPI5"/>
      <c r="TPK5"/>
      <c r="TPM5"/>
      <c r="TPO5"/>
      <c r="TPQ5"/>
      <c r="TPS5"/>
      <c r="TPU5"/>
      <c r="TPW5"/>
      <c r="TPY5"/>
      <c r="TQA5"/>
      <c r="TQC5"/>
      <c r="TQE5"/>
      <c r="TQG5"/>
      <c r="TQI5"/>
      <c r="TQK5"/>
      <c r="TQM5"/>
      <c r="TQO5"/>
      <c r="TQQ5"/>
      <c r="TQS5"/>
      <c r="TQU5"/>
      <c r="TQW5"/>
      <c r="TQY5"/>
      <c r="TRA5"/>
      <c r="TRC5"/>
      <c r="TRE5"/>
      <c r="TRG5"/>
      <c r="TRI5"/>
      <c r="TRK5"/>
      <c r="TRM5"/>
      <c r="TRO5"/>
      <c r="TRQ5"/>
      <c r="TRS5"/>
      <c r="TRU5"/>
      <c r="TRW5"/>
      <c r="TRY5"/>
      <c r="TSA5"/>
      <c r="TSC5"/>
      <c r="TSE5"/>
      <c r="TSG5"/>
      <c r="TSI5"/>
      <c r="TSK5"/>
      <c r="TSM5"/>
      <c r="TSO5"/>
      <c r="TSQ5"/>
      <c r="TSS5"/>
      <c r="TSU5"/>
      <c r="TSW5"/>
      <c r="TSY5"/>
      <c r="TTA5"/>
      <c r="TTC5"/>
      <c r="TTE5"/>
      <c r="TTG5"/>
      <c r="TTI5"/>
      <c r="TTK5"/>
      <c r="TTM5"/>
      <c r="TTO5"/>
      <c r="TTQ5"/>
      <c r="TTS5"/>
      <c r="TTU5"/>
      <c r="TTW5"/>
      <c r="TTY5"/>
      <c r="TUA5"/>
      <c r="TUC5"/>
      <c r="TUE5"/>
      <c r="TUG5"/>
      <c r="TUI5"/>
      <c r="TUK5"/>
      <c r="TUM5"/>
      <c r="TUO5"/>
      <c r="TUQ5"/>
      <c r="TUS5"/>
      <c r="TUU5"/>
      <c r="TUW5"/>
      <c r="TUY5"/>
      <c r="TVA5"/>
      <c r="TVC5"/>
      <c r="TVE5"/>
      <c r="TVG5"/>
      <c r="TVI5"/>
      <c r="TVK5"/>
      <c r="TVM5"/>
      <c r="TVO5"/>
      <c r="TVQ5"/>
      <c r="TVS5"/>
      <c r="TVU5"/>
      <c r="TVW5"/>
      <c r="TVY5"/>
      <c r="TWA5"/>
      <c r="TWC5"/>
      <c r="TWE5"/>
      <c r="TWG5"/>
      <c r="TWI5"/>
      <c r="TWK5"/>
      <c r="TWM5"/>
      <c r="TWO5"/>
      <c r="TWQ5"/>
      <c r="TWS5"/>
      <c r="TWU5"/>
      <c r="TWW5"/>
      <c r="TWY5"/>
      <c r="TXA5"/>
      <c r="TXC5"/>
      <c r="TXE5"/>
      <c r="TXG5"/>
      <c r="TXI5"/>
      <c r="TXK5"/>
      <c r="TXM5"/>
      <c r="TXO5"/>
      <c r="TXQ5"/>
      <c r="TXS5"/>
      <c r="TXU5"/>
      <c r="TXW5"/>
      <c r="TXY5"/>
      <c r="TYA5"/>
      <c r="TYC5"/>
      <c r="TYE5"/>
      <c r="TYG5"/>
      <c r="TYI5"/>
      <c r="TYK5"/>
      <c r="TYM5"/>
      <c r="TYO5"/>
      <c r="TYQ5"/>
      <c r="TYS5"/>
      <c r="TYU5"/>
      <c r="TYW5"/>
      <c r="TYY5"/>
      <c r="TZA5"/>
      <c r="TZC5"/>
      <c r="TZE5"/>
      <c r="TZG5"/>
      <c r="TZI5"/>
      <c r="TZK5"/>
      <c r="TZM5"/>
      <c r="TZO5"/>
      <c r="TZQ5"/>
      <c r="TZS5"/>
      <c r="TZU5"/>
      <c r="TZW5"/>
      <c r="TZY5"/>
      <c r="UAA5"/>
      <c r="UAC5"/>
      <c r="UAE5"/>
      <c r="UAG5"/>
      <c r="UAI5"/>
      <c r="UAK5"/>
      <c r="UAM5"/>
      <c r="UAO5"/>
      <c r="UAQ5"/>
      <c r="UAS5"/>
      <c r="UAU5"/>
      <c r="UAW5"/>
      <c r="UAY5"/>
      <c r="UBA5"/>
      <c r="UBC5"/>
      <c r="UBE5"/>
      <c r="UBG5"/>
      <c r="UBI5"/>
      <c r="UBK5"/>
      <c r="UBM5"/>
      <c r="UBO5"/>
      <c r="UBQ5"/>
      <c r="UBS5"/>
      <c r="UBU5"/>
      <c r="UBW5"/>
      <c r="UBY5"/>
      <c r="UCA5"/>
      <c r="UCC5"/>
      <c r="UCE5"/>
      <c r="UCG5"/>
      <c r="UCI5"/>
      <c r="UCK5"/>
      <c r="UCM5"/>
      <c r="UCO5"/>
      <c r="UCQ5"/>
      <c r="UCS5"/>
      <c r="UCU5"/>
      <c r="UCW5"/>
      <c r="UCY5"/>
      <c r="UDA5"/>
      <c r="UDC5"/>
      <c r="UDE5"/>
      <c r="UDG5"/>
      <c r="UDI5"/>
      <c r="UDK5"/>
      <c r="UDM5"/>
      <c r="UDO5"/>
      <c r="UDQ5"/>
      <c r="UDS5"/>
      <c r="UDU5"/>
      <c r="UDW5"/>
      <c r="UDY5"/>
      <c r="UEA5"/>
      <c r="UEC5"/>
      <c r="UEE5"/>
      <c r="UEG5"/>
      <c r="UEI5"/>
      <c r="UEK5"/>
      <c r="UEM5"/>
      <c r="UEO5"/>
      <c r="UEQ5"/>
      <c r="UES5"/>
      <c r="UEU5"/>
      <c r="UEW5"/>
      <c r="UEY5"/>
      <c r="UFA5"/>
      <c r="UFC5"/>
      <c r="UFE5"/>
      <c r="UFG5"/>
      <c r="UFI5"/>
      <c r="UFK5"/>
      <c r="UFM5"/>
      <c r="UFO5"/>
      <c r="UFQ5"/>
      <c r="UFS5"/>
      <c r="UFU5"/>
      <c r="UFW5"/>
      <c r="UFY5"/>
      <c r="UGA5"/>
      <c r="UGC5"/>
      <c r="UGE5"/>
      <c r="UGG5"/>
      <c r="UGI5"/>
      <c r="UGK5"/>
      <c r="UGM5"/>
      <c r="UGO5"/>
      <c r="UGQ5"/>
      <c r="UGS5"/>
      <c r="UGU5"/>
      <c r="UGW5"/>
      <c r="UGY5"/>
      <c r="UHA5"/>
      <c r="UHC5"/>
      <c r="UHE5"/>
      <c r="UHG5"/>
      <c r="UHI5"/>
      <c r="UHK5"/>
      <c r="UHM5"/>
      <c r="UHO5"/>
      <c r="UHQ5"/>
      <c r="UHS5"/>
      <c r="UHU5"/>
      <c r="UHW5"/>
      <c r="UHY5"/>
      <c r="UIA5"/>
      <c r="UIC5"/>
      <c r="UIE5"/>
      <c r="UIG5"/>
      <c r="UII5"/>
      <c r="UIK5"/>
      <c r="UIM5"/>
      <c r="UIO5"/>
      <c r="UIQ5"/>
      <c r="UIS5"/>
      <c r="UIU5"/>
      <c r="UIW5"/>
      <c r="UIY5"/>
      <c r="UJA5"/>
      <c r="UJC5"/>
      <c r="UJE5"/>
      <c r="UJG5"/>
      <c r="UJI5"/>
      <c r="UJK5"/>
      <c r="UJM5"/>
      <c r="UJO5"/>
      <c r="UJQ5"/>
      <c r="UJS5"/>
      <c r="UJU5"/>
      <c r="UJW5"/>
      <c r="UJY5"/>
      <c r="UKA5"/>
      <c r="UKC5"/>
      <c r="UKE5"/>
      <c r="UKG5"/>
      <c r="UKI5"/>
      <c r="UKK5"/>
      <c r="UKM5"/>
      <c r="UKO5"/>
      <c r="UKQ5"/>
      <c r="UKS5"/>
      <c r="UKU5"/>
      <c r="UKW5"/>
      <c r="UKY5"/>
      <c r="ULA5"/>
      <c r="ULC5"/>
      <c r="ULE5"/>
      <c r="ULG5"/>
      <c r="ULI5"/>
      <c r="ULK5"/>
      <c r="ULM5"/>
      <c r="ULO5"/>
      <c r="ULQ5"/>
      <c r="ULS5"/>
      <c r="ULU5"/>
      <c r="ULW5"/>
      <c r="ULY5"/>
      <c r="UMA5"/>
      <c r="UMC5"/>
      <c r="UME5"/>
      <c r="UMG5"/>
      <c r="UMI5"/>
      <c r="UMK5"/>
      <c r="UMM5"/>
      <c r="UMO5"/>
      <c r="UMQ5"/>
      <c r="UMS5"/>
      <c r="UMU5"/>
      <c r="UMW5"/>
      <c r="UMY5"/>
      <c r="UNA5"/>
      <c r="UNC5"/>
      <c r="UNE5"/>
      <c r="UNG5"/>
      <c r="UNI5"/>
      <c r="UNK5"/>
      <c r="UNM5"/>
      <c r="UNO5"/>
      <c r="UNQ5"/>
      <c r="UNS5"/>
      <c r="UNU5"/>
      <c r="UNW5"/>
      <c r="UNY5"/>
      <c r="UOA5"/>
      <c r="UOC5"/>
      <c r="UOE5"/>
      <c r="UOG5"/>
      <c r="UOI5"/>
      <c r="UOK5"/>
      <c r="UOM5"/>
      <c r="UOO5"/>
      <c r="UOQ5"/>
      <c r="UOS5"/>
      <c r="UOU5"/>
      <c r="UOW5"/>
      <c r="UOY5"/>
      <c r="UPA5"/>
      <c r="UPC5"/>
      <c r="UPE5"/>
      <c r="UPG5"/>
      <c r="UPI5"/>
      <c r="UPK5"/>
      <c r="UPM5"/>
      <c r="UPO5"/>
      <c r="UPQ5"/>
      <c r="UPS5"/>
      <c r="UPU5"/>
      <c r="UPW5"/>
      <c r="UPY5"/>
      <c r="UQA5"/>
      <c r="UQC5"/>
      <c r="UQE5"/>
      <c r="UQG5"/>
      <c r="UQI5"/>
      <c r="UQK5"/>
      <c r="UQM5"/>
      <c r="UQO5"/>
      <c r="UQQ5"/>
      <c r="UQS5"/>
      <c r="UQU5"/>
      <c r="UQW5"/>
      <c r="UQY5"/>
      <c r="URA5"/>
      <c r="URC5"/>
      <c r="URE5"/>
      <c r="URG5"/>
      <c r="URI5"/>
      <c r="URK5"/>
      <c r="URM5"/>
      <c r="URO5"/>
      <c r="URQ5"/>
      <c r="URS5"/>
      <c r="URU5"/>
      <c r="URW5"/>
      <c r="URY5"/>
      <c r="USA5"/>
      <c r="USC5"/>
      <c r="USE5"/>
      <c r="USG5"/>
      <c r="USI5"/>
      <c r="USK5"/>
      <c r="USM5"/>
      <c r="USO5"/>
      <c r="USQ5"/>
      <c r="USS5"/>
      <c r="USU5"/>
      <c r="USW5"/>
      <c r="USY5"/>
      <c r="UTA5"/>
      <c r="UTC5"/>
      <c r="UTE5"/>
      <c r="UTG5"/>
      <c r="UTI5"/>
      <c r="UTK5"/>
      <c r="UTM5"/>
      <c r="UTO5"/>
      <c r="UTQ5"/>
      <c r="UTS5"/>
      <c r="UTU5"/>
      <c r="UTW5"/>
      <c r="UTY5"/>
      <c r="UUA5"/>
      <c r="UUC5"/>
      <c r="UUE5"/>
      <c r="UUG5"/>
      <c r="UUI5"/>
      <c r="UUK5"/>
      <c r="UUM5"/>
      <c r="UUO5"/>
      <c r="UUQ5"/>
      <c r="UUS5"/>
      <c r="UUU5"/>
      <c r="UUW5"/>
      <c r="UUY5"/>
      <c r="UVA5"/>
      <c r="UVC5"/>
      <c r="UVE5"/>
      <c r="UVG5"/>
      <c r="UVI5"/>
      <c r="UVK5"/>
      <c r="UVM5"/>
      <c r="UVO5"/>
      <c r="UVQ5"/>
      <c r="UVS5"/>
      <c r="UVU5"/>
      <c r="UVW5"/>
      <c r="UVY5"/>
      <c r="UWA5"/>
      <c r="UWC5"/>
      <c r="UWE5"/>
      <c r="UWG5"/>
      <c r="UWI5"/>
      <c r="UWK5"/>
      <c r="UWM5"/>
      <c r="UWO5"/>
      <c r="UWQ5"/>
      <c r="UWS5"/>
      <c r="UWU5"/>
      <c r="UWW5"/>
      <c r="UWY5"/>
      <c r="UXA5"/>
      <c r="UXC5"/>
      <c r="UXE5"/>
      <c r="UXG5"/>
      <c r="UXI5"/>
      <c r="UXK5"/>
      <c r="UXM5"/>
      <c r="UXO5"/>
      <c r="UXQ5"/>
      <c r="UXS5"/>
      <c r="UXU5"/>
      <c r="UXW5"/>
      <c r="UXY5"/>
      <c r="UYA5"/>
      <c r="UYC5"/>
      <c r="UYE5"/>
      <c r="UYG5"/>
      <c r="UYI5"/>
      <c r="UYK5"/>
      <c r="UYM5"/>
      <c r="UYO5"/>
      <c r="UYQ5"/>
      <c r="UYS5"/>
      <c r="UYU5"/>
      <c r="UYW5"/>
      <c r="UYY5"/>
      <c r="UZA5"/>
      <c r="UZC5"/>
      <c r="UZE5"/>
      <c r="UZG5"/>
      <c r="UZI5"/>
      <c r="UZK5"/>
      <c r="UZM5"/>
      <c r="UZO5"/>
      <c r="UZQ5"/>
      <c r="UZS5"/>
      <c r="UZU5"/>
      <c r="UZW5"/>
      <c r="UZY5"/>
      <c r="VAA5"/>
      <c r="VAC5"/>
      <c r="VAE5"/>
      <c r="VAG5"/>
      <c r="VAI5"/>
      <c r="VAK5"/>
      <c r="VAM5"/>
      <c r="VAO5"/>
      <c r="VAQ5"/>
      <c r="VAS5"/>
      <c r="VAU5"/>
      <c r="VAW5"/>
      <c r="VAY5"/>
      <c r="VBA5"/>
      <c r="VBC5"/>
      <c r="VBE5"/>
      <c r="VBG5"/>
      <c r="VBI5"/>
      <c r="VBK5"/>
      <c r="VBM5"/>
      <c r="VBO5"/>
      <c r="VBQ5"/>
      <c r="VBS5"/>
      <c r="VBU5"/>
      <c r="VBW5"/>
      <c r="VBY5"/>
      <c r="VCA5"/>
      <c r="VCC5"/>
      <c r="VCE5"/>
      <c r="VCG5"/>
      <c r="VCI5"/>
      <c r="VCK5"/>
      <c r="VCM5"/>
      <c r="VCO5"/>
      <c r="VCQ5"/>
      <c r="VCS5"/>
      <c r="VCU5"/>
      <c r="VCW5"/>
      <c r="VCY5"/>
      <c r="VDA5"/>
      <c r="VDC5"/>
      <c r="VDE5"/>
      <c r="VDG5"/>
      <c r="VDI5"/>
      <c r="VDK5"/>
      <c r="VDM5"/>
      <c r="VDO5"/>
      <c r="VDQ5"/>
      <c r="VDS5"/>
      <c r="VDU5"/>
      <c r="VDW5"/>
      <c r="VDY5"/>
      <c r="VEA5"/>
      <c r="VEC5"/>
      <c r="VEE5"/>
      <c r="VEG5"/>
      <c r="VEI5"/>
      <c r="VEK5"/>
      <c r="VEM5"/>
      <c r="VEO5"/>
      <c r="VEQ5"/>
      <c r="VES5"/>
      <c r="VEU5"/>
      <c r="VEW5"/>
      <c r="VEY5"/>
      <c r="VFA5"/>
      <c r="VFC5"/>
      <c r="VFE5"/>
      <c r="VFG5"/>
      <c r="VFI5"/>
      <c r="VFK5"/>
      <c r="VFM5"/>
      <c r="VFO5"/>
      <c r="VFQ5"/>
      <c r="VFS5"/>
      <c r="VFU5"/>
      <c r="VFW5"/>
      <c r="VFY5"/>
      <c r="VGA5"/>
      <c r="VGC5"/>
      <c r="VGE5"/>
      <c r="VGG5"/>
      <c r="VGI5"/>
      <c r="VGK5"/>
      <c r="VGM5"/>
      <c r="VGO5"/>
      <c r="VGQ5"/>
      <c r="VGS5"/>
      <c r="VGU5"/>
      <c r="VGW5"/>
      <c r="VGY5"/>
      <c r="VHA5"/>
      <c r="VHC5"/>
      <c r="VHE5"/>
      <c r="VHG5"/>
      <c r="VHI5"/>
      <c r="VHK5"/>
      <c r="VHM5"/>
      <c r="VHO5"/>
      <c r="VHQ5"/>
      <c r="VHS5"/>
      <c r="VHU5"/>
      <c r="VHW5"/>
      <c r="VHY5"/>
      <c r="VIA5"/>
      <c r="VIC5"/>
      <c r="VIE5"/>
      <c r="VIG5"/>
      <c r="VII5"/>
      <c r="VIK5"/>
      <c r="VIM5"/>
      <c r="VIO5"/>
      <c r="VIQ5"/>
      <c r="VIS5"/>
      <c r="VIU5"/>
      <c r="VIW5"/>
      <c r="VIY5"/>
      <c r="VJA5"/>
      <c r="VJC5"/>
      <c r="VJE5"/>
      <c r="VJG5"/>
      <c r="VJI5"/>
      <c r="VJK5"/>
      <c r="VJM5"/>
      <c r="VJO5"/>
      <c r="VJQ5"/>
      <c r="VJS5"/>
      <c r="VJU5"/>
      <c r="VJW5"/>
      <c r="VJY5"/>
      <c r="VKA5"/>
      <c r="VKC5"/>
      <c r="VKE5"/>
      <c r="VKG5"/>
      <c r="VKI5"/>
      <c r="VKK5"/>
      <c r="VKM5"/>
      <c r="VKO5"/>
      <c r="VKQ5"/>
      <c r="VKS5"/>
      <c r="VKU5"/>
      <c r="VKW5"/>
      <c r="VKY5"/>
      <c r="VLA5"/>
      <c r="VLC5"/>
      <c r="VLE5"/>
      <c r="VLG5"/>
      <c r="VLI5"/>
      <c r="VLK5"/>
      <c r="VLM5"/>
      <c r="VLO5"/>
      <c r="VLQ5"/>
      <c r="VLS5"/>
      <c r="VLU5"/>
      <c r="VLW5"/>
      <c r="VLY5"/>
      <c r="VMA5"/>
      <c r="VMC5"/>
      <c r="VME5"/>
      <c r="VMG5"/>
      <c r="VMI5"/>
      <c r="VMK5"/>
      <c r="VMM5"/>
      <c r="VMO5"/>
      <c r="VMQ5"/>
      <c r="VMS5"/>
      <c r="VMU5"/>
      <c r="VMW5"/>
      <c r="VMY5"/>
      <c r="VNA5"/>
      <c r="VNC5"/>
      <c r="VNE5"/>
      <c r="VNG5"/>
      <c r="VNI5"/>
      <c r="VNK5"/>
      <c r="VNM5"/>
      <c r="VNO5"/>
      <c r="VNQ5"/>
      <c r="VNS5"/>
      <c r="VNU5"/>
      <c r="VNW5"/>
      <c r="VNY5"/>
      <c r="VOA5"/>
      <c r="VOC5"/>
      <c r="VOE5"/>
      <c r="VOG5"/>
      <c r="VOI5"/>
      <c r="VOK5"/>
      <c r="VOM5"/>
      <c r="VOO5"/>
      <c r="VOQ5"/>
      <c r="VOS5"/>
      <c r="VOU5"/>
      <c r="VOW5"/>
      <c r="VOY5"/>
      <c r="VPA5"/>
      <c r="VPC5"/>
      <c r="VPE5"/>
      <c r="VPG5"/>
      <c r="VPI5"/>
      <c r="VPK5"/>
      <c r="VPM5"/>
      <c r="VPO5"/>
      <c r="VPQ5"/>
      <c r="VPS5"/>
      <c r="VPU5"/>
      <c r="VPW5"/>
      <c r="VPY5"/>
      <c r="VQA5"/>
      <c r="VQC5"/>
      <c r="VQE5"/>
      <c r="VQG5"/>
      <c r="VQI5"/>
      <c r="VQK5"/>
      <c r="VQM5"/>
      <c r="VQO5"/>
      <c r="VQQ5"/>
      <c r="VQS5"/>
      <c r="VQU5"/>
      <c r="VQW5"/>
      <c r="VQY5"/>
      <c r="VRA5"/>
      <c r="VRC5"/>
      <c r="VRE5"/>
      <c r="VRG5"/>
      <c r="VRI5"/>
      <c r="VRK5"/>
      <c r="VRM5"/>
      <c r="VRO5"/>
      <c r="VRQ5"/>
      <c r="VRS5"/>
      <c r="VRU5"/>
      <c r="VRW5"/>
      <c r="VRY5"/>
      <c r="VSA5"/>
      <c r="VSC5"/>
      <c r="VSE5"/>
      <c r="VSG5"/>
      <c r="VSI5"/>
      <c r="VSK5"/>
      <c r="VSM5"/>
      <c r="VSO5"/>
      <c r="VSQ5"/>
      <c r="VSS5"/>
      <c r="VSU5"/>
      <c r="VSW5"/>
      <c r="VSY5"/>
      <c r="VTA5"/>
      <c r="VTC5"/>
      <c r="VTE5"/>
      <c r="VTG5"/>
      <c r="VTI5"/>
      <c r="VTK5"/>
      <c r="VTM5"/>
      <c r="VTO5"/>
      <c r="VTQ5"/>
      <c r="VTS5"/>
      <c r="VTU5"/>
      <c r="VTW5"/>
      <c r="VTY5"/>
      <c r="VUA5"/>
      <c r="VUC5"/>
      <c r="VUE5"/>
      <c r="VUG5"/>
      <c r="VUI5"/>
      <c r="VUK5"/>
      <c r="VUM5"/>
      <c r="VUO5"/>
      <c r="VUQ5"/>
      <c r="VUS5"/>
      <c r="VUU5"/>
      <c r="VUW5"/>
      <c r="VUY5"/>
      <c r="VVA5"/>
      <c r="VVC5"/>
      <c r="VVE5"/>
      <c r="VVG5"/>
      <c r="VVI5"/>
      <c r="VVK5"/>
      <c r="VVM5"/>
      <c r="VVO5"/>
      <c r="VVQ5"/>
      <c r="VVS5"/>
      <c r="VVU5"/>
      <c r="VVW5"/>
      <c r="VVY5"/>
      <c r="VWA5"/>
      <c r="VWC5"/>
      <c r="VWE5"/>
      <c r="VWG5"/>
      <c r="VWI5"/>
      <c r="VWK5"/>
      <c r="VWM5"/>
      <c r="VWO5"/>
      <c r="VWQ5"/>
      <c r="VWS5"/>
      <c r="VWU5"/>
      <c r="VWW5"/>
      <c r="VWY5"/>
      <c r="VXA5"/>
      <c r="VXC5"/>
      <c r="VXE5"/>
      <c r="VXG5"/>
      <c r="VXI5"/>
      <c r="VXK5"/>
      <c r="VXM5"/>
      <c r="VXO5"/>
      <c r="VXQ5"/>
      <c r="VXS5"/>
      <c r="VXU5"/>
      <c r="VXW5"/>
      <c r="VXY5"/>
      <c r="VYA5"/>
      <c r="VYC5"/>
      <c r="VYE5"/>
      <c r="VYG5"/>
      <c r="VYI5"/>
      <c r="VYK5"/>
      <c r="VYM5"/>
      <c r="VYO5"/>
      <c r="VYQ5"/>
      <c r="VYS5"/>
      <c r="VYU5"/>
      <c r="VYW5"/>
      <c r="VYY5"/>
      <c r="VZA5"/>
      <c r="VZC5"/>
      <c r="VZE5"/>
      <c r="VZG5"/>
      <c r="VZI5"/>
      <c r="VZK5"/>
      <c r="VZM5"/>
      <c r="VZO5"/>
      <c r="VZQ5"/>
      <c r="VZS5"/>
      <c r="VZU5"/>
      <c r="VZW5"/>
      <c r="VZY5"/>
      <c r="WAA5"/>
      <c r="WAC5"/>
      <c r="WAE5"/>
      <c r="WAG5"/>
      <c r="WAI5"/>
      <c r="WAK5"/>
      <c r="WAM5"/>
      <c r="WAO5"/>
      <c r="WAQ5"/>
      <c r="WAS5"/>
      <c r="WAU5"/>
      <c r="WAW5"/>
      <c r="WAY5"/>
      <c r="WBA5"/>
      <c r="WBC5"/>
      <c r="WBE5"/>
      <c r="WBG5"/>
      <c r="WBI5"/>
      <c r="WBK5"/>
      <c r="WBM5"/>
      <c r="WBO5"/>
      <c r="WBQ5"/>
      <c r="WBS5"/>
      <c r="WBU5"/>
      <c r="WBW5"/>
      <c r="WBY5"/>
      <c r="WCA5"/>
      <c r="WCC5"/>
      <c r="WCE5"/>
      <c r="WCG5"/>
      <c r="WCI5"/>
      <c r="WCK5"/>
      <c r="WCM5"/>
      <c r="WCO5"/>
      <c r="WCQ5"/>
      <c r="WCS5"/>
      <c r="WCU5"/>
      <c r="WCW5"/>
      <c r="WCY5"/>
      <c r="WDA5"/>
      <c r="WDC5"/>
      <c r="WDE5"/>
      <c r="WDG5"/>
      <c r="WDI5"/>
      <c r="WDK5"/>
      <c r="WDM5"/>
      <c r="WDO5"/>
      <c r="WDQ5"/>
      <c r="WDS5"/>
      <c r="WDU5"/>
      <c r="WDW5"/>
      <c r="WDY5"/>
      <c r="WEA5"/>
      <c r="WEC5"/>
      <c r="WEE5"/>
      <c r="WEG5"/>
      <c r="WEI5"/>
      <c r="WEK5"/>
      <c r="WEM5"/>
      <c r="WEO5"/>
      <c r="WEQ5"/>
      <c r="WES5"/>
      <c r="WEU5"/>
      <c r="WEW5"/>
      <c r="WEY5"/>
      <c r="WFA5"/>
      <c r="WFC5"/>
      <c r="WFE5"/>
      <c r="WFG5"/>
      <c r="WFI5"/>
      <c r="WFK5"/>
      <c r="WFM5"/>
      <c r="WFO5"/>
      <c r="WFQ5"/>
      <c r="WFS5"/>
      <c r="WFU5"/>
      <c r="WFW5"/>
      <c r="WFY5"/>
      <c r="WGA5"/>
      <c r="WGC5"/>
      <c r="WGE5"/>
      <c r="WGG5"/>
      <c r="WGI5"/>
      <c r="WGK5"/>
      <c r="WGM5"/>
      <c r="WGO5"/>
      <c r="WGQ5"/>
      <c r="WGS5"/>
      <c r="WGU5"/>
      <c r="WGW5"/>
      <c r="WGY5"/>
      <c r="WHA5"/>
      <c r="WHC5"/>
      <c r="WHE5"/>
      <c r="WHG5"/>
      <c r="WHI5"/>
      <c r="WHK5"/>
      <c r="WHM5"/>
      <c r="WHO5"/>
      <c r="WHQ5"/>
      <c r="WHS5"/>
      <c r="WHU5"/>
      <c r="WHW5"/>
      <c r="WHY5"/>
      <c r="WIA5"/>
      <c r="WIC5"/>
      <c r="WIE5"/>
      <c r="WIG5"/>
      <c r="WII5"/>
      <c r="WIK5"/>
      <c r="WIM5"/>
      <c r="WIO5"/>
      <c r="WIQ5"/>
      <c r="WIS5"/>
      <c r="WIU5"/>
      <c r="WIW5"/>
      <c r="WIY5"/>
      <c r="WJA5"/>
      <c r="WJC5"/>
      <c r="WJE5"/>
      <c r="WJG5"/>
      <c r="WJI5"/>
      <c r="WJK5"/>
      <c r="WJM5"/>
      <c r="WJO5"/>
      <c r="WJQ5"/>
      <c r="WJS5"/>
      <c r="WJU5"/>
      <c r="WJW5"/>
      <c r="WJY5"/>
      <c r="WKA5"/>
      <c r="WKC5"/>
      <c r="WKE5"/>
      <c r="WKG5"/>
      <c r="WKI5"/>
      <c r="WKK5"/>
      <c r="WKM5"/>
      <c r="WKO5"/>
      <c r="WKQ5"/>
      <c r="WKS5"/>
      <c r="WKU5"/>
      <c r="WKW5"/>
      <c r="WKY5"/>
      <c r="WLA5"/>
      <c r="WLC5"/>
      <c r="WLE5"/>
      <c r="WLG5"/>
      <c r="WLI5"/>
      <c r="WLK5"/>
      <c r="WLM5"/>
      <c r="WLO5"/>
      <c r="WLQ5"/>
      <c r="WLS5"/>
      <c r="WLU5"/>
      <c r="WLW5"/>
      <c r="WLY5"/>
      <c r="WMA5"/>
      <c r="WMC5"/>
      <c r="WME5"/>
      <c r="WMG5"/>
      <c r="WMI5"/>
      <c r="WMK5"/>
      <c r="WMM5"/>
      <c r="WMO5"/>
      <c r="WMQ5"/>
      <c r="WMS5"/>
      <c r="WMU5"/>
      <c r="WMW5"/>
      <c r="WMY5"/>
      <c r="WNA5"/>
      <c r="WNC5"/>
      <c r="WNE5"/>
      <c r="WNG5"/>
      <c r="WNI5"/>
      <c r="WNK5"/>
      <c r="WNM5"/>
      <c r="WNO5"/>
      <c r="WNQ5"/>
      <c r="WNS5"/>
      <c r="WNU5"/>
      <c r="WNW5"/>
      <c r="WNY5"/>
      <c r="WOA5"/>
      <c r="WOC5"/>
      <c r="WOE5"/>
      <c r="WOG5"/>
      <c r="WOI5"/>
      <c r="WOK5"/>
      <c r="WOM5"/>
      <c r="WOO5"/>
      <c r="WOQ5"/>
      <c r="WOS5"/>
      <c r="WOU5"/>
      <c r="WOW5"/>
      <c r="WOY5"/>
      <c r="WPA5"/>
      <c r="WPC5"/>
      <c r="WPE5"/>
      <c r="WPG5"/>
      <c r="WPI5"/>
      <c r="WPK5"/>
      <c r="WPM5"/>
      <c r="WPO5"/>
      <c r="WPQ5"/>
      <c r="WPS5"/>
      <c r="WPU5"/>
      <c r="WPW5"/>
      <c r="WPY5"/>
      <c r="WQA5"/>
      <c r="WQC5"/>
      <c r="WQE5"/>
      <c r="WQG5"/>
      <c r="WQI5"/>
      <c r="WQK5"/>
      <c r="WQM5"/>
      <c r="WQO5"/>
      <c r="WQQ5"/>
      <c r="WQS5"/>
      <c r="WQU5"/>
      <c r="WQW5"/>
      <c r="WQY5"/>
      <c r="WRA5"/>
      <c r="WRC5"/>
      <c r="WRE5"/>
      <c r="WRG5"/>
      <c r="WRI5"/>
      <c r="WRK5"/>
      <c r="WRM5"/>
      <c r="WRO5"/>
      <c r="WRQ5"/>
      <c r="WRS5"/>
      <c r="WRU5"/>
      <c r="WRW5"/>
      <c r="WRY5"/>
      <c r="WSA5"/>
      <c r="WSC5"/>
      <c r="WSE5"/>
      <c r="WSG5"/>
      <c r="WSI5"/>
      <c r="WSK5"/>
      <c r="WSM5"/>
      <c r="WSO5"/>
      <c r="WSQ5"/>
      <c r="WSS5"/>
      <c r="WSU5"/>
      <c r="WSW5"/>
      <c r="WSY5"/>
      <c r="WTA5"/>
      <c r="WTC5"/>
      <c r="WTE5"/>
      <c r="WTG5"/>
      <c r="WTI5"/>
      <c r="WTK5"/>
      <c r="WTM5"/>
      <c r="WTO5"/>
      <c r="WTQ5"/>
      <c r="WTS5"/>
      <c r="WTU5"/>
      <c r="WTW5"/>
      <c r="WTY5"/>
      <c r="WUA5"/>
      <c r="WUC5"/>
      <c r="WUE5"/>
      <c r="WUG5"/>
      <c r="WUI5"/>
      <c r="WUK5"/>
      <c r="WUM5"/>
      <c r="WUO5"/>
      <c r="WUQ5"/>
      <c r="WUS5"/>
      <c r="WUU5"/>
      <c r="WUW5"/>
      <c r="WUY5"/>
      <c r="WVA5"/>
      <c r="WVC5"/>
      <c r="WVE5"/>
      <c r="WVG5"/>
      <c r="WVI5"/>
      <c r="WVK5"/>
      <c r="WVM5"/>
      <c r="WVO5"/>
      <c r="WVQ5"/>
      <c r="WVS5"/>
      <c r="WVU5"/>
      <c r="WVW5"/>
      <c r="WVY5"/>
      <c r="WWA5"/>
      <c r="WWC5"/>
      <c r="WWE5"/>
      <c r="WWG5"/>
      <c r="WWI5"/>
      <c r="WWK5"/>
      <c r="WWM5"/>
      <c r="WWO5"/>
      <c r="WWQ5"/>
      <c r="WWS5"/>
      <c r="WWU5"/>
      <c r="WWW5"/>
      <c r="WWY5"/>
      <c r="WXA5"/>
      <c r="WXC5"/>
      <c r="WXE5"/>
      <c r="WXG5"/>
      <c r="WXI5"/>
      <c r="WXK5"/>
      <c r="WXM5"/>
      <c r="WXO5"/>
      <c r="WXQ5"/>
      <c r="WXS5"/>
      <c r="WXU5"/>
      <c r="WXW5"/>
      <c r="WXY5"/>
      <c r="WYA5"/>
      <c r="WYC5"/>
      <c r="WYE5"/>
      <c r="WYG5"/>
      <c r="WYI5"/>
      <c r="WYK5"/>
      <c r="WYM5"/>
      <c r="WYO5"/>
      <c r="WYQ5"/>
      <c r="WYS5"/>
      <c r="WYU5"/>
      <c r="WYW5"/>
      <c r="WYY5"/>
      <c r="WZA5"/>
      <c r="WZC5"/>
      <c r="WZE5"/>
      <c r="WZG5"/>
      <c r="WZI5"/>
      <c r="WZK5"/>
      <c r="WZM5"/>
      <c r="WZO5"/>
      <c r="WZQ5"/>
      <c r="WZS5"/>
      <c r="WZU5"/>
      <c r="WZW5"/>
      <c r="WZY5"/>
      <c r="XAA5"/>
      <c r="XAC5"/>
      <c r="XAE5"/>
      <c r="XAG5"/>
      <c r="XAI5"/>
      <c r="XAK5"/>
      <c r="XAM5"/>
      <c r="XAO5"/>
      <c r="XAQ5"/>
      <c r="XAS5"/>
      <c r="XAU5"/>
      <c r="XAW5"/>
      <c r="XAY5"/>
      <c r="XBA5"/>
      <c r="XBC5"/>
      <c r="XBE5"/>
      <c r="XBG5"/>
      <c r="XBI5"/>
      <c r="XBK5"/>
      <c r="XBM5"/>
      <c r="XBO5"/>
      <c r="XBQ5"/>
      <c r="XBS5"/>
      <c r="XBU5"/>
      <c r="XBW5"/>
      <c r="XBY5"/>
      <c r="XCA5"/>
      <c r="XCC5"/>
      <c r="XCE5"/>
      <c r="XCG5"/>
      <c r="XCI5"/>
      <c r="XCK5"/>
      <c r="XCM5"/>
      <c r="XCO5"/>
      <c r="XCQ5"/>
      <c r="XCS5"/>
      <c r="XCU5"/>
      <c r="XCW5"/>
      <c r="XCY5"/>
      <c r="XDA5"/>
      <c r="XDC5"/>
      <c r="XDE5"/>
      <c r="XDG5"/>
      <c r="XDI5"/>
      <c r="XDK5"/>
      <c r="XDM5"/>
      <c r="XDO5"/>
      <c r="XDQ5"/>
      <c r="XDS5"/>
      <c r="XDU5"/>
      <c r="XDW5"/>
      <c r="XDY5"/>
      <c r="XEA5"/>
      <c r="XEC5"/>
      <c r="XEE5"/>
      <c r="XEG5"/>
      <c r="XEI5"/>
      <c r="XEK5"/>
      <c r="XEM5"/>
      <c r="XEO5"/>
      <c r="XEQ5"/>
      <c r="XES5"/>
      <c r="XEU5"/>
      <c r="XEW5"/>
      <c r="XEY5"/>
      <c r="XFA5"/>
      <c r="XFC5"/>
    </row>
    <row r="6" spans="1:16384" x14ac:dyDescent="0.2">
      <c r="B6" s="545" t="s">
        <v>456</v>
      </c>
      <c r="C6" s="534" t="s">
        <v>210</v>
      </c>
      <c r="D6" s="535">
        <v>1.2</v>
      </c>
      <c r="E6" s="548">
        <v>1905</v>
      </c>
      <c r="F6" s="548">
        <v>18900</v>
      </c>
      <c r="G6" s="536">
        <v>0.245</v>
      </c>
      <c r="H6" s="537">
        <f t="shared" si="0"/>
        <v>1.115138820770198</v>
      </c>
      <c r="I6" s="13"/>
      <c r="J6" s="645" t="s">
        <v>427</v>
      </c>
      <c r="K6" s="437">
        <f>K5+K3</f>
        <v>5.1799999999999999E-2</v>
      </c>
      <c r="L6" s="642"/>
      <c r="M6" s="439" t="s">
        <v>431</v>
      </c>
      <c r="N6" s="441">
        <v>5.5E-2</v>
      </c>
      <c r="O6" s="473"/>
      <c r="P6" s="474"/>
      <c r="Q6" s="473"/>
      <c r="R6" s="474"/>
      <c r="S6" s="473"/>
      <c r="T6" s="474"/>
      <c r="U6" s="473"/>
      <c r="V6" s="474"/>
      <c r="W6" s="473"/>
      <c r="X6" s="474"/>
      <c r="Y6" s="473"/>
      <c r="Z6" s="474"/>
      <c r="AA6" s="473"/>
      <c r="AB6" s="474"/>
      <c r="AC6" s="473"/>
      <c r="AD6" s="474"/>
      <c r="AE6" s="473"/>
      <c r="AF6" s="474"/>
      <c r="AG6" s="473"/>
      <c r="AH6" s="474"/>
      <c r="AI6" s="473"/>
      <c r="AJ6" s="474"/>
      <c r="AK6" s="473"/>
      <c r="AL6" s="474"/>
      <c r="AM6" s="473"/>
      <c r="AN6" s="474"/>
      <c r="AO6" s="473"/>
      <c r="AP6" s="474"/>
      <c r="AQ6" s="473"/>
      <c r="AR6" s="474"/>
      <c r="AS6" s="473"/>
      <c r="AT6" s="474"/>
      <c r="AU6" s="473"/>
      <c r="AV6" s="474"/>
      <c r="AW6" s="473"/>
      <c r="AX6" s="474"/>
      <c r="AY6" s="473"/>
      <c r="AZ6" s="474"/>
      <c r="BA6" s="473"/>
      <c r="BB6" s="474"/>
      <c r="BC6" s="473"/>
      <c r="BD6" s="474"/>
      <c r="BE6" s="473"/>
      <c r="BF6" s="474"/>
      <c r="BG6" s="473"/>
      <c r="BH6" s="474"/>
      <c r="BI6" s="473"/>
      <c r="BJ6" s="474"/>
      <c r="BK6" s="473"/>
      <c r="BL6" s="474"/>
      <c r="BM6" s="473"/>
      <c r="BN6" s="474"/>
      <c r="BO6" s="473"/>
      <c r="BP6" s="474"/>
      <c r="BQ6" s="473"/>
      <c r="BR6" s="474"/>
      <c r="BS6" s="473"/>
      <c r="BT6" s="474"/>
      <c r="BU6" s="473"/>
      <c r="BV6" s="474"/>
      <c r="BW6" s="473"/>
      <c r="BX6" s="474"/>
      <c r="BY6" s="473"/>
      <c r="BZ6" s="474"/>
      <c r="CA6" s="473"/>
      <c r="CB6" s="474"/>
      <c r="CC6" s="473"/>
      <c r="CD6" s="474"/>
      <c r="CE6" s="473"/>
      <c r="CF6" s="474"/>
      <c r="CG6" s="473"/>
      <c r="CH6" s="474"/>
      <c r="CI6" s="473"/>
      <c r="CJ6" s="474"/>
      <c r="CK6" s="473"/>
      <c r="CL6" s="474"/>
      <c r="CM6" s="473"/>
      <c r="CN6" s="474"/>
      <c r="CO6" s="473"/>
      <c r="CP6" s="474"/>
      <c r="CQ6" s="473"/>
      <c r="CR6" s="474"/>
      <c r="CS6" s="473"/>
      <c r="CT6" s="474"/>
      <c r="CU6" s="473"/>
      <c r="CV6" s="474"/>
      <c r="CW6" s="473"/>
      <c r="CX6" s="474"/>
      <c r="CY6" s="473"/>
      <c r="CZ6" s="474"/>
      <c r="DA6" s="473"/>
      <c r="DB6" s="474"/>
      <c r="DC6" s="473"/>
      <c r="DD6" s="474"/>
      <c r="DE6" s="473"/>
      <c r="DF6" s="474"/>
      <c r="DG6" s="473"/>
      <c r="DH6" s="474"/>
      <c r="DI6" s="473"/>
      <c r="DJ6" s="474"/>
      <c r="DK6" s="473"/>
      <c r="DL6" s="474"/>
      <c r="DM6" s="473"/>
      <c r="DN6" s="474"/>
      <c r="DO6" s="473"/>
      <c r="DP6" s="474"/>
      <c r="DQ6" s="473"/>
      <c r="DR6" s="474"/>
      <c r="DS6" s="473"/>
      <c r="DT6" s="474"/>
      <c r="DU6" s="473"/>
      <c r="DV6" s="474"/>
      <c r="DW6" s="473"/>
      <c r="DX6" s="474"/>
      <c r="DY6" s="473"/>
      <c r="DZ6" s="474"/>
      <c r="EA6" s="473"/>
      <c r="EB6" s="474"/>
      <c r="EC6" s="473"/>
      <c r="ED6" s="474"/>
      <c r="EE6" s="473"/>
      <c r="EF6" s="474"/>
      <c r="EG6" s="473"/>
      <c r="EH6" s="474"/>
      <c r="EI6" s="473"/>
      <c r="EJ6" s="474"/>
      <c r="EK6" s="473"/>
      <c r="EL6" s="474"/>
      <c r="EM6" s="473"/>
      <c r="EN6" s="474"/>
      <c r="EO6" s="473"/>
      <c r="EP6" s="474"/>
      <c r="EQ6" s="473"/>
      <c r="ER6" s="474"/>
      <c r="ES6" s="473"/>
      <c r="ET6" s="474"/>
      <c r="EU6" s="473"/>
      <c r="EV6" s="474"/>
      <c r="EW6" s="473"/>
      <c r="EX6" s="474"/>
      <c r="EY6" s="473"/>
      <c r="EZ6" s="474"/>
      <c r="FA6" s="473"/>
      <c r="FB6" s="474"/>
      <c r="FC6" s="473"/>
      <c r="FD6" s="474"/>
      <c r="FE6" s="473"/>
      <c r="FF6" s="474"/>
      <c r="FG6" s="473"/>
      <c r="FH6" s="474"/>
      <c r="FI6" s="473"/>
      <c r="FJ6" s="474"/>
      <c r="FK6" s="473"/>
      <c r="FL6" s="474"/>
      <c r="FM6" s="473"/>
      <c r="FN6" s="474"/>
      <c r="FO6" s="473"/>
      <c r="FP6" s="474"/>
      <c r="FQ6" s="473"/>
      <c r="FR6" s="474"/>
      <c r="FS6" s="473"/>
      <c r="FT6" s="474"/>
      <c r="FU6" s="473"/>
      <c r="FV6" s="474"/>
      <c r="FW6" s="473"/>
      <c r="FX6" s="474"/>
      <c r="FY6" s="473"/>
      <c r="FZ6" s="474"/>
      <c r="GA6" s="473"/>
      <c r="GB6" s="474"/>
      <c r="GC6" s="473"/>
      <c r="GD6" s="474"/>
      <c r="GE6" s="473"/>
      <c r="GF6" s="474"/>
      <c r="GG6" s="473"/>
      <c r="GH6" s="474"/>
      <c r="GI6" s="473"/>
      <c r="GJ6" s="474"/>
      <c r="GK6" s="473"/>
      <c r="GL6" s="474"/>
      <c r="GM6" s="473"/>
      <c r="GN6" s="474"/>
      <c r="GO6" s="473"/>
      <c r="GP6" s="474"/>
      <c r="GQ6" s="473"/>
      <c r="GR6" s="474"/>
      <c r="GS6" s="473"/>
      <c r="GT6" s="474"/>
      <c r="GU6" s="473"/>
      <c r="GV6" s="474"/>
      <c r="GW6" s="473"/>
      <c r="GX6" s="474"/>
      <c r="GY6" s="473"/>
      <c r="GZ6" s="474"/>
      <c r="HA6" s="473"/>
      <c r="HB6" s="474"/>
      <c r="HC6" s="473"/>
      <c r="HD6" s="474"/>
      <c r="HE6" s="473"/>
      <c r="HF6" s="474"/>
      <c r="HG6" s="473"/>
      <c r="HH6" s="474"/>
      <c r="HI6" s="473"/>
      <c r="HJ6" s="474"/>
      <c r="HK6" s="473"/>
      <c r="HL6" s="474"/>
      <c r="HM6" s="473"/>
      <c r="HN6" s="474"/>
      <c r="HO6" s="473"/>
      <c r="HP6" s="474"/>
      <c r="HQ6" s="473"/>
      <c r="HR6" s="474"/>
      <c r="HS6" s="473"/>
      <c r="HT6" s="474"/>
      <c r="HU6" s="473"/>
      <c r="HV6" s="474"/>
      <c r="HW6" s="473"/>
      <c r="HX6" s="474"/>
      <c r="HY6" s="473"/>
      <c r="HZ6" s="474"/>
      <c r="IA6" s="473"/>
      <c r="IB6" s="474"/>
      <c r="IC6" s="473"/>
      <c r="ID6" s="474"/>
      <c r="IE6" s="473"/>
      <c r="IF6" s="474"/>
      <c r="IG6" s="473"/>
      <c r="IH6" s="474"/>
      <c r="II6" s="473"/>
      <c r="IJ6" s="474"/>
      <c r="IK6" s="473"/>
      <c r="IL6" s="474"/>
      <c r="IM6" s="473"/>
      <c r="IN6" s="474"/>
      <c r="IO6" s="473"/>
      <c r="IP6" s="474"/>
      <c r="IQ6" s="473"/>
      <c r="IR6" s="474"/>
      <c r="IS6" s="473"/>
      <c r="IT6" s="474"/>
      <c r="IU6" s="473"/>
      <c r="IV6" s="474"/>
      <c r="IW6" s="473"/>
      <c r="IX6" s="474"/>
      <c r="IY6" s="473"/>
      <c r="IZ6" s="474"/>
      <c r="JA6" s="473"/>
      <c r="JB6" s="474"/>
      <c r="JC6" s="473"/>
      <c r="JD6" s="474"/>
      <c r="JE6" s="473"/>
      <c r="JF6" s="474"/>
      <c r="JG6" s="473"/>
      <c r="JH6" s="474"/>
      <c r="JI6" s="473"/>
      <c r="JJ6" s="474"/>
      <c r="JK6" s="473"/>
      <c r="JL6" s="474"/>
      <c r="JM6" s="473"/>
      <c r="JN6" s="474"/>
      <c r="JO6" s="473"/>
      <c r="JP6" s="474"/>
      <c r="JQ6" s="473"/>
      <c r="JR6" s="474"/>
      <c r="JS6" s="473"/>
      <c r="JT6" s="474"/>
      <c r="JU6" s="473"/>
      <c r="JV6" s="474"/>
      <c r="JW6" s="473"/>
      <c r="JX6" s="474"/>
      <c r="JY6" s="473"/>
      <c r="JZ6" s="474"/>
      <c r="KA6" s="473"/>
      <c r="KB6" s="474"/>
      <c r="KC6" s="473"/>
      <c r="KD6" s="474"/>
      <c r="KE6" s="473"/>
      <c r="KF6" s="474"/>
      <c r="KG6" s="473"/>
      <c r="KH6" s="474"/>
      <c r="KI6" s="473"/>
      <c r="KJ6" s="474"/>
      <c r="KK6" s="473"/>
      <c r="KL6" s="474"/>
      <c r="KM6" s="473"/>
      <c r="KN6" s="474"/>
      <c r="KO6" s="473"/>
      <c r="KP6" s="474"/>
      <c r="KQ6" s="473"/>
      <c r="KR6" s="474"/>
      <c r="KS6" s="473"/>
      <c r="KT6" s="474"/>
      <c r="KU6" s="473"/>
      <c r="KV6" s="474"/>
      <c r="KW6" s="473"/>
      <c r="KX6" s="474"/>
      <c r="KY6" s="473"/>
      <c r="KZ6" s="474"/>
      <c r="LA6" s="473"/>
      <c r="LB6" s="474"/>
      <c r="LC6" s="473"/>
      <c r="LD6" s="474"/>
      <c r="LE6" s="473"/>
      <c r="LF6" s="474"/>
      <c r="LG6" s="473"/>
      <c r="LH6" s="474"/>
      <c r="LI6" s="473"/>
      <c r="LJ6" s="474"/>
      <c r="LK6" s="473"/>
      <c r="LL6" s="474"/>
      <c r="LM6" s="473"/>
      <c r="LN6" s="474"/>
      <c r="LO6" s="473"/>
      <c r="LP6" s="474"/>
      <c r="LQ6" s="473"/>
      <c r="LR6" s="474"/>
      <c r="LS6" s="473"/>
      <c r="LT6" s="474"/>
      <c r="LU6" s="473"/>
      <c r="LV6" s="474"/>
      <c r="LW6" s="473"/>
      <c r="LX6" s="474"/>
      <c r="LY6" s="473"/>
      <c r="LZ6" s="474"/>
      <c r="MA6" s="473"/>
      <c r="MB6" s="474"/>
      <c r="MC6" s="473"/>
      <c r="MD6" s="474"/>
      <c r="ME6" s="473"/>
      <c r="MF6" s="474"/>
      <c r="MG6" s="473"/>
      <c r="MH6" s="474"/>
      <c r="MI6" s="473"/>
      <c r="MJ6" s="474"/>
      <c r="MK6" s="473"/>
      <c r="ML6" s="474"/>
      <c r="MM6" s="473"/>
      <c r="MN6" s="474"/>
      <c r="MO6" s="473"/>
      <c r="MP6" s="474"/>
      <c r="MQ6" s="473"/>
      <c r="MR6" s="474"/>
      <c r="MS6" s="473"/>
      <c r="MT6" s="474"/>
      <c r="MU6" s="473"/>
      <c r="MV6" s="474"/>
      <c r="MW6" s="473"/>
      <c r="MX6" s="474"/>
      <c r="MY6" s="473"/>
      <c r="MZ6" s="474"/>
      <c r="NA6" s="473"/>
      <c r="NB6" s="474"/>
      <c r="NC6" s="473"/>
      <c r="ND6" s="474"/>
      <c r="NE6" s="473"/>
      <c r="NF6" s="474"/>
      <c r="NG6" s="473"/>
      <c r="NH6" s="474"/>
      <c r="NI6" s="473"/>
      <c r="NJ6" s="474"/>
      <c r="NK6" s="473"/>
      <c r="NL6" s="474"/>
      <c r="NM6" s="473"/>
      <c r="NN6" s="474"/>
      <c r="NO6" s="473"/>
      <c r="NP6" s="474"/>
      <c r="NQ6" s="473"/>
      <c r="NR6" s="474"/>
      <c r="NS6" s="473"/>
      <c r="NT6" s="474"/>
      <c r="NU6" s="473"/>
      <c r="NV6" s="474"/>
      <c r="NW6" s="473"/>
      <c r="NX6" s="474"/>
      <c r="NY6" s="473"/>
      <c r="NZ6" s="474"/>
      <c r="OA6" s="473"/>
      <c r="OB6" s="474"/>
      <c r="OC6" s="473"/>
      <c r="OD6" s="474"/>
      <c r="OE6" s="473"/>
      <c r="OF6" s="474"/>
      <c r="OG6" s="473"/>
      <c r="OH6" s="474"/>
      <c r="OI6" s="473"/>
      <c r="OJ6" s="474"/>
      <c r="OK6" s="473"/>
      <c r="OL6" s="474"/>
      <c r="OM6" s="473"/>
      <c r="ON6" s="474"/>
      <c r="OO6" s="473"/>
      <c r="OP6" s="474"/>
      <c r="OQ6" s="473"/>
      <c r="OR6" s="474"/>
      <c r="OS6" s="473"/>
      <c r="OT6" s="474"/>
      <c r="OU6" s="473"/>
      <c r="OV6" s="474"/>
      <c r="OW6" s="473"/>
      <c r="OX6" s="474"/>
      <c r="OY6" s="473"/>
      <c r="OZ6" s="474"/>
      <c r="PA6" s="473"/>
      <c r="PB6" s="474"/>
      <c r="PC6" s="473"/>
      <c r="PD6" s="474"/>
      <c r="PE6" s="473"/>
      <c r="PF6" s="474"/>
      <c r="PG6" s="473"/>
      <c r="PH6" s="474"/>
      <c r="PI6" s="473"/>
      <c r="PJ6" s="474"/>
      <c r="PK6" s="473"/>
      <c r="PL6" s="474"/>
      <c r="PM6" s="473"/>
      <c r="PN6" s="474"/>
      <c r="PO6" s="473"/>
      <c r="PP6" s="474"/>
      <c r="PQ6" s="473"/>
      <c r="PR6" s="474"/>
      <c r="PS6" s="473"/>
      <c r="PT6" s="474"/>
      <c r="PU6" s="473"/>
      <c r="PV6" s="474"/>
      <c r="PW6" s="473"/>
      <c r="PX6" s="474"/>
      <c r="PY6" s="473"/>
      <c r="PZ6" s="474"/>
      <c r="QA6" s="473"/>
      <c r="QB6" s="474"/>
      <c r="QC6" s="473"/>
      <c r="QD6" s="474"/>
      <c r="QE6" s="473"/>
      <c r="QF6" s="474"/>
      <c r="QG6" s="473"/>
      <c r="QH6" s="474"/>
      <c r="QI6" s="473"/>
      <c r="QJ6" s="474"/>
      <c r="QK6" s="473"/>
      <c r="QL6" s="474"/>
      <c r="QM6" s="473"/>
      <c r="QN6" s="474"/>
      <c r="QO6" s="473"/>
      <c r="QP6" s="474"/>
      <c r="QQ6" s="473"/>
      <c r="QR6" s="474"/>
      <c r="QS6" s="473"/>
      <c r="QT6" s="474"/>
      <c r="QU6" s="473"/>
      <c r="QV6" s="474"/>
      <c r="QW6" s="473"/>
      <c r="QX6" s="474"/>
      <c r="QY6" s="473"/>
      <c r="QZ6" s="474"/>
      <c r="RA6" s="473"/>
      <c r="RB6" s="474"/>
      <c r="RC6" s="473"/>
      <c r="RD6" s="474"/>
      <c r="RE6" s="473"/>
      <c r="RF6" s="474"/>
      <c r="RG6" s="473"/>
      <c r="RH6" s="474"/>
      <c r="RI6" s="473"/>
      <c r="RJ6" s="474"/>
      <c r="RK6" s="473"/>
      <c r="RL6" s="474"/>
      <c r="RM6" s="473"/>
      <c r="RN6" s="474"/>
      <c r="RO6" s="473"/>
      <c r="RP6" s="474"/>
      <c r="RQ6" s="473"/>
      <c r="RR6" s="474"/>
      <c r="RS6" s="473"/>
      <c r="RT6" s="474"/>
      <c r="RU6" s="473"/>
      <c r="RV6" s="474"/>
      <c r="RW6" s="473"/>
      <c r="RX6" s="474"/>
      <c r="RY6" s="473"/>
      <c r="RZ6" s="474"/>
      <c r="SA6" s="473"/>
      <c r="SB6" s="474"/>
      <c r="SC6" s="473"/>
      <c r="SD6" s="474"/>
      <c r="SE6" s="473"/>
      <c r="SF6" s="474"/>
      <c r="SG6" s="473"/>
      <c r="SH6" s="474"/>
      <c r="SI6" s="473"/>
      <c r="SJ6" s="474"/>
      <c r="SK6" s="473"/>
      <c r="SL6" s="474"/>
      <c r="SM6" s="473"/>
      <c r="SN6" s="474"/>
      <c r="SO6" s="473"/>
      <c r="SP6" s="474"/>
      <c r="SQ6" s="473"/>
      <c r="SR6" s="474"/>
      <c r="SS6" s="473"/>
      <c r="ST6" s="474"/>
      <c r="SU6" s="473"/>
      <c r="SV6" s="474"/>
      <c r="SW6" s="473"/>
      <c r="SX6" s="474"/>
      <c r="SY6" s="473"/>
      <c r="SZ6" s="474"/>
      <c r="TA6" s="473"/>
      <c r="TB6" s="474"/>
      <c r="TC6" s="473"/>
      <c r="TD6" s="474"/>
      <c r="TE6" s="473"/>
      <c r="TF6" s="474"/>
      <c r="TG6" s="473"/>
      <c r="TH6" s="474"/>
      <c r="TI6" s="473"/>
      <c r="TJ6" s="474"/>
      <c r="TK6" s="473"/>
      <c r="TL6" s="474"/>
      <c r="TM6" s="473"/>
      <c r="TN6" s="474"/>
      <c r="TO6" s="473"/>
      <c r="TP6" s="474"/>
      <c r="TQ6" s="473"/>
      <c r="TR6" s="474"/>
      <c r="TS6" s="473"/>
      <c r="TT6" s="474"/>
      <c r="TU6" s="473"/>
      <c r="TV6" s="474"/>
      <c r="TW6" s="473"/>
      <c r="TX6" s="474"/>
      <c r="TY6" s="473"/>
      <c r="TZ6" s="474"/>
      <c r="UA6" s="473"/>
      <c r="UB6" s="474"/>
      <c r="UC6" s="473"/>
      <c r="UD6" s="474"/>
      <c r="UE6" s="473"/>
      <c r="UF6" s="474"/>
      <c r="UG6" s="473"/>
      <c r="UH6" s="474"/>
      <c r="UI6" s="473"/>
      <c r="UJ6" s="474"/>
      <c r="UK6" s="473"/>
      <c r="UL6" s="474"/>
      <c r="UM6" s="473"/>
      <c r="UN6" s="474"/>
      <c r="UO6" s="473"/>
      <c r="UP6" s="474"/>
      <c r="UQ6" s="473"/>
      <c r="UR6" s="474"/>
      <c r="US6" s="473"/>
      <c r="UT6" s="474"/>
      <c r="UU6" s="473"/>
      <c r="UV6" s="474"/>
      <c r="UW6" s="473"/>
      <c r="UX6" s="474"/>
      <c r="UY6" s="473"/>
      <c r="UZ6" s="474"/>
      <c r="VA6" s="473"/>
      <c r="VB6" s="474"/>
      <c r="VC6" s="473"/>
      <c r="VD6" s="474"/>
      <c r="VE6" s="473"/>
      <c r="VF6" s="474"/>
      <c r="VG6" s="473"/>
      <c r="VH6" s="474"/>
      <c r="VI6" s="473"/>
      <c r="VJ6" s="474"/>
      <c r="VK6" s="473"/>
      <c r="VL6" s="474"/>
      <c r="VM6" s="473"/>
      <c r="VN6" s="474"/>
      <c r="VO6" s="473"/>
      <c r="VP6" s="474"/>
      <c r="VQ6" s="473"/>
      <c r="VR6" s="474"/>
      <c r="VS6" s="473"/>
      <c r="VT6" s="474"/>
      <c r="VU6" s="473"/>
      <c r="VV6" s="474"/>
      <c r="VW6" s="473"/>
      <c r="VX6" s="474"/>
      <c r="VY6" s="473"/>
      <c r="VZ6" s="474"/>
      <c r="WA6" s="473"/>
      <c r="WB6" s="474"/>
      <c r="WC6" s="473"/>
      <c r="WD6" s="474"/>
      <c r="WE6" s="473"/>
      <c r="WF6" s="474"/>
      <c r="WG6" s="473"/>
      <c r="WH6" s="474"/>
      <c r="WI6" s="473"/>
      <c r="WJ6" s="474"/>
      <c r="WK6" s="473"/>
      <c r="WL6" s="474"/>
      <c r="WM6" s="473"/>
      <c r="WN6" s="474"/>
      <c r="WO6" s="473"/>
      <c r="WP6" s="474"/>
      <c r="WQ6" s="473"/>
      <c r="WR6" s="474"/>
      <c r="WS6" s="473"/>
      <c r="WT6" s="474"/>
      <c r="WU6" s="473"/>
      <c r="WV6" s="474"/>
      <c r="WW6" s="473"/>
      <c r="WX6" s="474"/>
      <c r="WY6" s="473"/>
      <c r="WZ6" s="474"/>
      <c r="XA6" s="473"/>
      <c r="XB6" s="474"/>
      <c r="XC6" s="473"/>
      <c r="XD6" s="474"/>
      <c r="XE6" s="473"/>
      <c r="XF6" s="474"/>
      <c r="XG6" s="473"/>
      <c r="XH6" s="474"/>
      <c r="XI6" s="473"/>
      <c r="XJ6" s="474"/>
      <c r="XK6" s="473"/>
      <c r="XL6" s="474"/>
      <c r="XM6" s="473"/>
      <c r="XN6" s="474"/>
      <c r="XO6" s="473"/>
      <c r="XP6" s="474"/>
      <c r="XQ6" s="473"/>
      <c r="XR6" s="474"/>
      <c r="XS6" s="473"/>
      <c r="XT6" s="474"/>
      <c r="XU6" s="473"/>
      <c r="XV6" s="474"/>
      <c r="XW6" s="473"/>
      <c r="XX6" s="474"/>
      <c r="XY6" s="473"/>
      <c r="XZ6" s="474"/>
      <c r="YA6" s="473"/>
      <c r="YB6" s="474"/>
      <c r="YC6" s="473"/>
      <c r="YD6" s="474"/>
      <c r="YE6" s="473"/>
      <c r="YF6" s="474"/>
      <c r="YG6" s="473"/>
      <c r="YH6" s="474"/>
      <c r="YI6" s="473"/>
      <c r="YJ6" s="474"/>
      <c r="YK6" s="473"/>
      <c r="YL6" s="474"/>
      <c r="YM6" s="473"/>
      <c r="YN6" s="474"/>
      <c r="YO6" s="473"/>
      <c r="YP6" s="474"/>
      <c r="YQ6" s="473"/>
      <c r="YR6" s="474"/>
      <c r="YS6" s="473"/>
      <c r="YT6" s="474"/>
      <c r="YU6" s="473"/>
      <c r="YV6" s="474"/>
      <c r="YW6" s="473"/>
      <c r="YX6" s="474"/>
      <c r="YY6" s="473"/>
      <c r="YZ6" s="474"/>
      <c r="ZA6" s="473"/>
      <c r="ZB6" s="474"/>
      <c r="ZC6" s="473"/>
      <c r="ZD6" s="474"/>
      <c r="ZE6" s="473"/>
      <c r="ZF6" s="474"/>
      <c r="ZG6" s="473"/>
      <c r="ZH6" s="474"/>
      <c r="ZI6" s="473"/>
      <c r="ZJ6" s="474"/>
      <c r="ZK6" s="473"/>
      <c r="ZL6" s="474"/>
      <c r="ZM6" s="473"/>
      <c r="ZN6" s="474"/>
      <c r="ZO6" s="473"/>
      <c r="ZP6" s="474"/>
      <c r="ZQ6" s="473"/>
      <c r="ZR6" s="474"/>
      <c r="ZS6" s="473"/>
      <c r="ZT6" s="474"/>
      <c r="ZU6" s="473"/>
      <c r="ZV6" s="474"/>
      <c r="ZW6" s="473"/>
      <c r="ZX6" s="474"/>
      <c r="ZY6" s="473"/>
      <c r="ZZ6" s="474"/>
      <c r="AAA6" s="473"/>
      <c r="AAB6" s="474"/>
      <c r="AAC6" s="473"/>
      <c r="AAD6" s="474"/>
      <c r="AAE6" s="473"/>
      <c r="AAF6" s="474"/>
      <c r="AAG6" s="473"/>
      <c r="AAH6" s="474"/>
      <c r="AAI6" s="473"/>
      <c r="AAJ6" s="474"/>
      <c r="AAK6" s="473"/>
      <c r="AAL6" s="474"/>
      <c r="AAM6" s="473"/>
      <c r="AAN6" s="474"/>
      <c r="AAO6" s="473"/>
      <c r="AAP6" s="474"/>
      <c r="AAQ6" s="473"/>
      <c r="AAR6" s="474"/>
      <c r="AAS6" s="473"/>
      <c r="AAT6" s="474"/>
      <c r="AAU6" s="473"/>
      <c r="AAV6" s="474"/>
      <c r="AAW6" s="473"/>
      <c r="AAX6" s="474"/>
      <c r="AAY6" s="473"/>
      <c r="AAZ6" s="474"/>
      <c r="ABA6" s="473"/>
      <c r="ABB6" s="474"/>
      <c r="ABC6" s="473"/>
      <c r="ABD6" s="474"/>
      <c r="ABE6" s="473"/>
      <c r="ABF6" s="474"/>
      <c r="ABG6" s="473"/>
      <c r="ABH6" s="474"/>
      <c r="ABI6" s="473"/>
      <c r="ABJ6" s="474"/>
      <c r="ABK6" s="473"/>
      <c r="ABL6" s="474"/>
      <c r="ABM6" s="473"/>
      <c r="ABN6" s="474"/>
      <c r="ABO6" s="473"/>
      <c r="ABP6" s="474"/>
      <c r="ABQ6" s="473"/>
      <c r="ABR6" s="474"/>
      <c r="ABS6" s="473"/>
      <c r="ABT6" s="474"/>
      <c r="ABU6" s="473"/>
      <c r="ABV6" s="474"/>
      <c r="ABW6" s="473"/>
      <c r="ABX6" s="474"/>
      <c r="ABY6" s="473"/>
      <c r="ABZ6" s="474"/>
      <c r="ACA6" s="473"/>
      <c r="ACB6" s="474"/>
      <c r="ACC6" s="473"/>
      <c r="ACD6" s="474"/>
      <c r="ACE6" s="473"/>
      <c r="ACF6" s="474"/>
      <c r="ACG6" s="473"/>
      <c r="ACH6" s="474"/>
      <c r="ACI6" s="473"/>
      <c r="ACJ6" s="474"/>
      <c r="ACK6" s="473"/>
      <c r="ACL6" s="474"/>
      <c r="ACM6" s="473"/>
      <c r="ACN6" s="474"/>
      <c r="ACO6" s="473"/>
      <c r="ACP6" s="474"/>
      <c r="ACQ6" s="473"/>
      <c r="ACR6" s="474"/>
      <c r="ACS6" s="473"/>
      <c r="ACT6" s="474"/>
      <c r="ACU6" s="473"/>
      <c r="ACV6" s="474"/>
      <c r="ACW6" s="473"/>
      <c r="ACX6" s="474"/>
      <c r="ACY6" s="473"/>
      <c r="ACZ6" s="474"/>
      <c r="ADA6" s="473"/>
      <c r="ADB6" s="474"/>
      <c r="ADC6" s="473"/>
      <c r="ADD6" s="474"/>
      <c r="ADE6" s="473"/>
      <c r="ADF6" s="474"/>
      <c r="ADG6" s="473"/>
      <c r="ADH6" s="474"/>
      <c r="ADI6" s="473"/>
      <c r="ADJ6" s="474"/>
      <c r="ADK6" s="473"/>
      <c r="ADL6" s="474"/>
      <c r="ADM6" s="473"/>
      <c r="ADN6" s="474"/>
      <c r="ADO6" s="473"/>
      <c r="ADP6" s="474"/>
      <c r="ADQ6" s="473"/>
      <c r="ADR6" s="474"/>
      <c r="ADS6" s="473"/>
      <c r="ADT6" s="474"/>
      <c r="ADU6" s="473"/>
      <c r="ADV6" s="474"/>
      <c r="ADW6" s="473"/>
      <c r="ADX6" s="474"/>
      <c r="ADY6" s="473"/>
      <c r="ADZ6" s="474"/>
      <c r="AEA6" s="473"/>
      <c r="AEB6" s="474"/>
      <c r="AEC6" s="473"/>
      <c r="AED6" s="474"/>
      <c r="AEE6" s="473"/>
      <c r="AEF6" s="474"/>
      <c r="AEG6" s="473"/>
      <c r="AEH6" s="474"/>
      <c r="AEI6" s="473"/>
      <c r="AEJ6" s="474"/>
      <c r="AEK6" s="473"/>
      <c r="AEL6" s="474"/>
      <c r="AEM6" s="473"/>
      <c r="AEN6" s="474"/>
      <c r="AEO6" s="473"/>
      <c r="AEP6" s="474"/>
      <c r="AEQ6" s="473"/>
      <c r="AER6" s="474"/>
      <c r="AES6" s="473"/>
      <c r="AET6" s="474"/>
      <c r="AEU6" s="473"/>
      <c r="AEV6" s="474"/>
      <c r="AEW6" s="473"/>
      <c r="AEX6" s="474"/>
      <c r="AEY6" s="473"/>
      <c r="AEZ6" s="474"/>
      <c r="AFA6" s="473"/>
      <c r="AFB6" s="474"/>
      <c r="AFC6" s="473"/>
      <c r="AFD6" s="474"/>
      <c r="AFE6" s="473"/>
      <c r="AFF6" s="474"/>
      <c r="AFG6" s="473"/>
      <c r="AFH6" s="474"/>
      <c r="AFI6" s="473"/>
      <c r="AFJ6" s="474"/>
      <c r="AFK6" s="473"/>
      <c r="AFL6" s="474"/>
      <c r="AFM6" s="473"/>
      <c r="AFN6" s="474"/>
      <c r="AFO6" s="473"/>
      <c r="AFP6" s="474"/>
      <c r="AFQ6" s="473"/>
      <c r="AFR6" s="474"/>
      <c r="AFS6" s="473"/>
      <c r="AFT6" s="474"/>
      <c r="AFU6" s="473"/>
      <c r="AFV6" s="474"/>
      <c r="AFW6" s="473"/>
      <c r="AFX6" s="474"/>
      <c r="AFY6" s="473"/>
      <c r="AFZ6" s="474"/>
      <c r="AGA6" s="473"/>
      <c r="AGB6" s="474"/>
      <c r="AGC6" s="473"/>
      <c r="AGD6" s="474"/>
      <c r="AGE6" s="473"/>
      <c r="AGF6" s="474"/>
      <c r="AGG6" s="473"/>
      <c r="AGH6" s="474"/>
      <c r="AGI6" s="473"/>
      <c r="AGJ6" s="474"/>
      <c r="AGK6" s="473"/>
      <c r="AGL6" s="474"/>
      <c r="AGM6" s="473"/>
      <c r="AGN6" s="474"/>
      <c r="AGO6" s="473"/>
      <c r="AGP6" s="474"/>
      <c r="AGQ6" s="473"/>
      <c r="AGR6" s="474"/>
      <c r="AGS6" s="473"/>
      <c r="AGT6" s="474"/>
      <c r="AGU6" s="473"/>
      <c r="AGV6" s="474"/>
      <c r="AGW6" s="473"/>
      <c r="AGX6" s="474"/>
      <c r="AGY6" s="473"/>
      <c r="AGZ6" s="474"/>
      <c r="AHA6" s="473"/>
      <c r="AHB6" s="474"/>
      <c r="AHC6" s="473"/>
      <c r="AHD6" s="474"/>
      <c r="AHE6" s="473"/>
      <c r="AHF6" s="474"/>
      <c r="AHG6" s="473"/>
      <c r="AHH6" s="474"/>
      <c r="AHI6" s="473"/>
      <c r="AHJ6" s="474"/>
      <c r="AHK6" s="473"/>
      <c r="AHL6" s="474"/>
      <c r="AHM6" s="473"/>
      <c r="AHN6" s="474"/>
      <c r="AHO6" s="473"/>
      <c r="AHP6" s="474"/>
      <c r="AHQ6" s="473"/>
      <c r="AHR6" s="474"/>
      <c r="AHS6" s="473"/>
      <c r="AHT6" s="474"/>
      <c r="AHU6" s="473"/>
      <c r="AHV6" s="474"/>
      <c r="AHW6" s="473"/>
      <c r="AHX6" s="474"/>
      <c r="AHY6" s="473"/>
      <c r="AHZ6" s="474"/>
      <c r="AIA6" s="473"/>
      <c r="AIB6" s="474"/>
      <c r="AIC6" s="473"/>
      <c r="AID6" s="474"/>
      <c r="AIE6" s="473"/>
      <c r="AIF6" s="474"/>
      <c r="AIG6" s="473"/>
      <c r="AIH6" s="474"/>
      <c r="AII6" s="473"/>
      <c r="AIJ6" s="474"/>
      <c r="AIK6" s="473"/>
      <c r="AIL6" s="474"/>
      <c r="AIM6" s="473"/>
      <c r="AIN6" s="474"/>
      <c r="AIO6" s="473"/>
      <c r="AIP6" s="474"/>
      <c r="AIQ6" s="473"/>
      <c r="AIR6" s="474"/>
      <c r="AIS6" s="473"/>
      <c r="AIT6" s="474"/>
      <c r="AIU6" s="473"/>
      <c r="AIV6" s="474"/>
      <c r="AIW6" s="473"/>
      <c r="AIX6" s="474"/>
      <c r="AIY6" s="473"/>
      <c r="AIZ6" s="474"/>
      <c r="AJA6" s="473"/>
      <c r="AJB6" s="474"/>
      <c r="AJC6" s="473"/>
      <c r="AJD6" s="474"/>
      <c r="AJE6" s="473"/>
      <c r="AJF6" s="474"/>
      <c r="AJG6" s="473"/>
      <c r="AJH6" s="474"/>
      <c r="AJI6" s="473"/>
      <c r="AJJ6" s="474"/>
      <c r="AJK6" s="473"/>
      <c r="AJL6" s="474"/>
      <c r="AJM6" s="473"/>
      <c r="AJN6" s="474"/>
      <c r="AJO6" s="473"/>
      <c r="AJP6" s="474"/>
      <c r="AJQ6" s="473"/>
      <c r="AJR6" s="474"/>
      <c r="AJS6" s="473"/>
      <c r="AJT6" s="474"/>
      <c r="AJU6" s="473"/>
      <c r="AJV6" s="474"/>
      <c r="AJW6" s="473"/>
      <c r="AJX6" s="474"/>
      <c r="AJY6" s="473"/>
      <c r="AJZ6" s="474"/>
      <c r="AKA6" s="473"/>
      <c r="AKB6" s="474"/>
      <c r="AKC6" s="473"/>
      <c r="AKD6" s="474"/>
      <c r="AKE6" s="473"/>
      <c r="AKF6" s="474"/>
      <c r="AKG6" s="473"/>
      <c r="AKH6" s="474"/>
      <c r="AKI6" s="473"/>
      <c r="AKJ6" s="474"/>
      <c r="AKK6" s="473"/>
      <c r="AKL6" s="474"/>
      <c r="AKM6" s="473"/>
      <c r="AKN6" s="474"/>
      <c r="AKO6" s="473"/>
      <c r="AKP6" s="474"/>
      <c r="AKQ6" s="473"/>
      <c r="AKR6" s="474"/>
      <c r="AKS6" s="473"/>
      <c r="AKT6" s="474"/>
      <c r="AKU6" s="473"/>
      <c r="AKV6" s="474"/>
      <c r="AKW6" s="473"/>
      <c r="AKX6" s="474"/>
      <c r="AKY6" s="473"/>
      <c r="AKZ6" s="474"/>
      <c r="ALA6" s="473"/>
      <c r="ALB6" s="474"/>
      <c r="ALC6" s="473"/>
      <c r="ALD6" s="474"/>
      <c r="ALE6" s="473"/>
      <c r="ALF6" s="474"/>
      <c r="ALG6" s="473"/>
      <c r="ALH6" s="474"/>
      <c r="ALI6" s="473"/>
      <c r="ALJ6" s="474"/>
      <c r="ALK6" s="473"/>
      <c r="ALL6" s="474"/>
      <c r="ALM6" s="473"/>
      <c r="ALN6" s="474"/>
      <c r="ALO6" s="473"/>
      <c r="ALP6" s="474"/>
      <c r="ALQ6" s="473"/>
      <c r="ALR6" s="474"/>
      <c r="ALS6" s="473"/>
      <c r="ALT6" s="474"/>
      <c r="ALU6" s="473"/>
      <c r="ALV6" s="474"/>
      <c r="ALW6" s="473"/>
      <c r="ALX6" s="474"/>
      <c r="ALY6" s="473"/>
      <c r="ALZ6" s="474"/>
      <c r="AMA6" s="473"/>
      <c r="AMB6" s="474"/>
      <c r="AMC6" s="473"/>
      <c r="AMD6" s="474"/>
      <c r="AME6" s="473"/>
      <c r="AMF6" s="474"/>
      <c r="AMG6" s="473"/>
      <c r="AMH6" s="474"/>
      <c r="AMI6" s="473"/>
      <c r="AMJ6" s="474"/>
      <c r="AMK6" s="473"/>
      <c r="AML6" s="474"/>
      <c r="AMM6" s="473"/>
      <c r="AMN6" s="474"/>
      <c r="AMO6" s="473"/>
      <c r="AMP6" s="474"/>
      <c r="AMQ6" s="473"/>
      <c r="AMR6" s="474"/>
      <c r="AMS6" s="473"/>
      <c r="AMT6" s="474"/>
      <c r="AMU6" s="473"/>
      <c r="AMV6" s="474"/>
      <c r="AMW6" s="473"/>
      <c r="AMX6" s="474"/>
      <c r="AMY6" s="473"/>
      <c r="AMZ6" s="474"/>
      <c r="ANA6" s="473"/>
      <c r="ANB6" s="474"/>
      <c r="ANC6" s="473"/>
      <c r="AND6" s="474"/>
      <c r="ANE6" s="473"/>
      <c r="ANF6" s="474"/>
      <c r="ANG6" s="473"/>
      <c r="ANH6" s="474"/>
      <c r="ANI6" s="473"/>
      <c r="ANJ6" s="474"/>
      <c r="ANK6" s="473"/>
      <c r="ANL6" s="474"/>
      <c r="ANM6" s="473"/>
      <c r="ANN6" s="474"/>
      <c r="ANO6" s="473"/>
      <c r="ANP6" s="474"/>
      <c r="ANQ6" s="473"/>
      <c r="ANR6" s="474"/>
      <c r="ANS6" s="473"/>
      <c r="ANT6" s="474"/>
      <c r="ANU6" s="473"/>
      <c r="ANV6" s="474"/>
      <c r="ANW6" s="473"/>
      <c r="ANX6" s="474"/>
      <c r="ANY6" s="473"/>
      <c r="ANZ6" s="474"/>
      <c r="AOA6" s="473"/>
      <c r="AOB6" s="474"/>
      <c r="AOC6" s="473"/>
      <c r="AOD6" s="474"/>
      <c r="AOE6" s="473"/>
      <c r="AOF6" s="474"/>
      <c r="AOG6" s="473"/>
      <c r="AOH6" s="474"/>
      <c r="AOI6" s="473"/>
      <c r="AOJ6" s="474"/>
      <c r="AOK6" s="473"/>
      <c r="AOL6" s="474"/>
      <c r="AOM6" s="473"/>
      <c r="AON6" s="474"/>
      <c r="AOO6" s="473"/>
      <c r="AOP6" s="474"/>
      <c r="AOQ6" s="473"/>
      <c r="AOR6" s="474"/>
      <c r="AOS6" s="473"/>
      <c r="AOT6" s="474"/>
      <c r="AOU6" s="473"/>
      <c r="AOV6" s="474"/>
      <c r="AOW6" s="473"/>
      <c r="AOX6" s="474"/>
      <c r="AOY6" s="473"/>
      <c r="AOZ6" s="474"/>
      <c r="APA6" s="473"/>
      <c r="APB6" s="474"/>
      <c r="APC6" s="473"/>
      <c r="APD6" s="474"/>
      <c r="APE6" s="473"/>
      <c r="APF6" s="474"/>
      <c r="APG6" s="473"/>
      <c r="APH6" s="474"/>
      <c r="API6" s="473"/>
      <c r="APJ6" s="474"/>
      <c r="APK6" s="473"/>
      <c r="APL6" s="474"/>
      <c r="APM6" s="473"/>
      <c r="APN6" s="474"/>
      <c r="APO6" s="473"/>
      <c r="APP6" s="474"/>
      <c r="APQ6" s="473"/>
      <c r="APR6" s="474"/>
      <c r="APS6" s="473"/>
      <c r="APT6" s="474"/>
      <c r="APU6" s="473"/>
      <c r="APV6" s="474"/>
      <c r="APW6" s="473"/>
      <c r="APX6" s="474"/>
      <c r="APY6" s="473"/>
      <c r="APZ6" s="474"/>
      <c r="AQA6" s="473"/>
      <c r="AQB6" s="474"/>
      <c r="AQC6" s="473"/>
      <c r="AQD6" s="474"/>
      <c r="AQE6" s="473"/>
      <c r="AQF6" s="474"/>
      <c r="AQG6" s="473"/>
      <c r="AQH6" s="474"/>
      <c r="AQI6" s="473"/>
      <c r="AQJ6" s="474"/>
      <c r="AQK6" s="473"/>
      <c r="AQL6" s="474"/>
      <c r="AQM6" s="473"/>
      <c r="AQN6" s="474"/>
      <c r="AQO6" s="473"/>
      <c r="AQP6" s="474"/>
      <c r="AQQ6" s="473"/>
      <c r="AQR6" s="474"/>
      <c r="AQS6" s="473"/>
      <c r="AQT6" s="474"/>
      <c r="AQU6" s="473"/>
      <c r="AQV6" s="474"/>
      <c r="AQW6" s="473"/>
      <c r="AQX6" s="474"/>
      <c r="AQY6" s="473"/>
      <c r="AQZ6" s="474"/>
      <c r="ARA6" s="473"/>
      <c r="ARB6" s="474"/>
      <c r="ARC6" s="473"/>
      <c r="ARD6" s="474"/>
      <c r="ARE6" s="473"/>
      <c r="ARF6" s="474"/>
      <c r="ARG6" s="473"/>
      <c r="ARH6" s="474"/>
      <c r="ARI6" s="473"/>
      <c r="ARJ6" s="474"/>
      <c r="ARK6" s="473"/>
      <c r="ARL6" s="474"/>
      <c r="ARM6" s="473"/>
      <c r="ARN6" s="474"/>
      <c r="ARO6" s="473"/>
      <c r="ARP6" s="474"/>
      <c r="ARQ6" s="473"/>
      <c r="ARR6" s="474"/>
      <c r="ARS6" s="473"/>
      <c r="ART6" s="474"/>
      <c r="ARU6" s="473"/>
      <c r="ARV6" s="474"/>
      <c r="ARW6" s="473"/>
      <c r="ARX6" s="474"/>
      <c r="ARY6" s="473"/>
      <c r="ARZ6" s="474"/>
      <c r="ASA6" s="473"/>
      <c r="ASB6" s="474"/>
      <c r="ASC6" s="473"/>
      <c r="ASD6" s="474"/>
      <c r="ASE6" s="473"/>
      <c r="ASF6" s="474"/>
      <c r="ASG6" s="473"/>
      <c r="ASH6" s="474"/>
      <c r="ASI6" s="473"/>
      <c r="ASJ6" s="474"/>
      <c r="ASK6" s="473"/>
      <c r="ASL6" s="474"/>
      <c r="ASM6" s="473"/>
      <c r="ASN6" s="474"/>
      <c r="ASO6" s="473"/>
      <c r="ASP6" s="474"/>
      <c r="ASQ6" s="473"/>
      <c r="ASR6" s="474"/>
      <c r="ASS6" s="473"/>
      <c r="AST6" s="474"/>
      <c r="ASU6" s="473"/>
      <c r="ASV6" s="474"/>
      <c r="ASW6" s="473"/>
      <c r="ASX6" s="474"/>
      <c r="ASY6" s="473"/>
      <c r="ASZ6" s="474"/>
      <c r="ATA6" s="473"/>
      <c r="ATB6" s="474"/>
      <c r="ATC6" s="473"/>
      <c r="ATD6" s="474"/>
      <c r="ATE6" s="473"/>
      <c r="ATF6" s="474"/>
      <c r="ATG6" s="473"/>
      <c r="ATH6" s="474"/>
      <c r="ATI6" s="473"/>
      <c r="ATJ6" s="474"/>
      <c r="ATK6" s="473"/>
      <c r="ATL6" s="474"/>
      <c r="ATM6" s="473"/>
      <c r="ATN6" s="474"/>
      <c r="ATO6" s="473"/>
      <c r="ATP6" s="474"/>
      <c r="ATQ6" s="473"/>
      <c r="ATR6" s="474"/>
      <c r="ATS6" s="473"/>
      <c r="ATT6" s="474"/>
      <c r="ATU6" s="473"/>
      <c r="ATV6" s="474"/>
      <c r="ATW6" s="473"/>
      <c r="ATX6" s="474"/>
      <c r="ATY6" s="473"/>
      <c r="ATZ6" s="474"/>
      <c r="AUA6" s="473"/>
      <c r="AUB6" s="474"/>
      <c r="AUC6" s="473"/>
      <c r="AUD6" s="474"/>
      <c r="AUE6" s="473"/>
      <c r="AUF6" s="474"/>
      <c r="AUG6" s="473"/>
      <c r="AUH6" s="474"/>
      <c r="AUI6" s="473"/>
      <c r="AUJ6" s="474"/>
      <c r="AUK6" s="473"/>
      <c r="AUL6" s="474"/>
      <c r="AUM6" s="473"/>
      <c r="AUN6" s="474"/>
      <c r="AUO6" s="473"/>
      <c r="AUP6" s="474"/>
      <c r="AUQ6" s="473"/>
      <c r="AUR6" s="474"/>
      <c r="AUS6" s="473"/>
      <c r="AUT6" s="474"/>
      <c r="AUU6" s="473"/>
      <c r="AUV6" s="474"/>
      <c r="AUW6" s="473"/>
      <c r="AUX6" s="474"/>
      <c r="AUY6" s="473"/>
      <c r="AUZ6" s="474"/>
      <c r="AVA6" s="473"/>
      <c r="AVB6" s="474"/>
      <c r="AVC6" s="473"/>
      <c r="AVD6" s="474"/>
      <c r="AVE6" s="473"/>
      <c r="AVF6" s="474"/>
      <c r="AVG6" s="473"/>
      <c r="AVH6" s="474"/>
      <c r="AVI6" s="473"/>
      <c r="AVJ6" s="474"/>
      <c r="AVK6" s="473"/>
      <c r="AVL6" s="474"/>
      <c r="AVM6" s="473"/>
      <c r="AVN6" s="474"/>
      <c r="AVO6" s="473"/>
      <c r="AVP6" s="474"/>
      <c r="AVQ6" s="473"/>
      <c r="AVR6" s="474"/>
      <c r="AVS6" s="473"/>
      <c r="AVT6" s="474"/>
      <c r="AVU6" s="473"/>
      <c r="AVV6" s="474"/>
      <c r="AVW6" s="473"/>
      <c r="AVX6" s="474"/>
      <c r="AVY6" s="473"/>
      <c r="AVZ6" s="474"/>
      <c r="AWA6" s="473"/>
      <c r="AWB6" s="474"/>
      <c r="AWC6" s="473"/>
      <c r="AWD6" s="474"/>
      <c r="AWE6" s="473"/>
      <c r="AWF6" s="474"/>
      <c r="AWG6" s="473"/>
      <c r="AWH6" s="474"/>
      <c r="AWI6" s="473"/>
      <c r="AWJ6" s="474"/>
      <c r="AWK6" s="473"/>
      <c r="AWL6" s="474"/>
      <c r="AWM6" s="473"/>
      <c r="AWN6" s="474"/>
      <c r="AWO6" s="473"/>
      <c r="AWP6" s="474"/>
      <c r="AWQ6" s="473"/>
      <c r="AWR6" s="474"/>
      <c r="AWS6" s="473"/>
      <c r="AWT6" s="474"/>
      <c r="AWU6" s="473"/>
      <c r="AWV6" s="474"/>
      <c r="AWW6" s="473"/>
      <c r="AWX6" s="474"/>
      <c r="AWY6" s="473"/>
      <c r="AWZ6" s="474"/>
      <c r="AXA6" s="473"/>
      <c r="AXB6" s="474"/>
      <c r="AXC6" s="473"/>
      <c r="AXD6" s="474"/>
      <c r="AXE6" s="473"/>
      <c r="AXF6" s="474"/>
      <c r="AXG6" s="473"/>
      <c r="AXH6" s="474"/>
      <c r="AXI6" s="473"/>
      <c r="AXJ6" s="474"/>
      <c r="AXK6" s="473"/>
      <c r="AXL6" s="474"/>
      <c r="AXM6" s="473"/>
      <c r="AXN6" s="474"/>
      <c r="AXO6" s="473"/>
      <c r="AXP6" s="474"/>
      <c r="AXQ6" s="473"/>
      <c r="AXR6" s="474"/>
      <c r="AXS6" s="473"/>
      <c r="AXT6" s="474"/>
      <c r="AXU6" s="473"/>
      <c r="AXV6" s="474"/>
      <c r="AXW6" s="473"/>
      <c r="AXX6" s="474"/>
      <c r="AXY6" s="473"/>
      <c r="AXZ6" s="474"/>
      <c r="AYA6" s="473"/>
      <c r="AYB6" s="474"/>
      <c r="AYC6" s="473"/>
      <c r="AYD6" s="474"/>
      <c r="AYE6" s="473"/>
      <c r="AYF6" s="474"/>
      <c r="AYG6" s="473"/>
      <c r="AYH6" s="474"/>
      <c r="AYI6" s="473"/>
      <c r="AYJ6" s="474"/>
      <c r="AYK6" s="473"/>
      <c r="AYL6" s="474"/>
      <c r="AYM6" s="473"/>
      <c r="AYN6" s="474"/>
      <c r="AYO6" s="473"/>
      <c r="AYP6" s="474"/>
      <c r="AYQ6" s="473"/>
      <c r="AYR6" s="474"/>
      <c r="AYS6" s="473"/>
      <c r="AYT6" s="474"/>
      <c r="AYU6" s="473"/>
      <c r="AYV6" s="474"/>
      <c r="AYW6" s="473"/>
      <c r="AYX6" s="474"/>
      <c r="AYY6" s="473"/>
      <c r="AYZ6" s="474"/>
      <c r="AZA6" s="473"/>
      <c r="AZB6" s="474"/>
      <c r="AZC6" s="473"/>
      <c r="AZD6" s="474"/>
      <c r="AZE6" s="473"/>
      <c r="AZF6" s="474"/>
      <c r="AZG6" s="473"/>
      <c r="AZH6" s="474"/>
      <c r="AZI6" s="473"/>
      <c r="AZJ6" s="474"/>
      <c r="AZK6" s="473"/>
      <c r="AZL6" s="474"/>
      <c r="AZM6" s="473"/>
      <c r="AZN6" s="474"/>
      <c r="AZO6" s="473"/>
      <c r="AZP6" s="474"/>
      <c r="AZQ6" s="473"/>
      <c r="AZR6" s="474"/>
      <c r="AZS6" s="473"/>
      <c r="AZT6" s="474"/>
      <c r="AZU6" s="473"/>
      <c r="AZV6" s="474"/>
      <c r="AZW6" s="473"/>
      <c r="AZX6" s="474"/>
      <c r="AZY6" s="473"/>
      <c r="AZZ6" s="474"/>
      <c r="BAA6" s="473"/>
      <c r="BAB6" s="474"/>
      <c r="BAC6" s="473"/>
      <c r="BAD6" s="474"/>
      <c r="BAE6" s="473"/>
      <c r="BAF6" s="474"/>
      <c r="BAG6" s="473"/>
      <c r="BAH6" s="474"/>
      <c r="BAI6" s="473"/>
      <c r="BAJ6" s="474"/>
      <c r="BAK6" s="473"/>
      <c r="BAL6" s="474"/>
      <c r="BAM6" s="473"/>
      <c r="BAN6" s="474"/>
      <c r="BAO6" s="473"/>
      <c r="BAP6" s="474"/>
      <c r="BAQ6" s="473"/>
      <c r="BAR6" s="474"/>
      <c r="BAS6" s="473"/>
      <c r="BAT6" s="474"/>
      <c r="BAU6" s="473"/>
      <c r="BAV6" s="474"/>
      <c r="BAW6" s="473"/>
      <c r="BAX6" s="474"/>
      <c r="BAY6" s="473"/>
      <c r="BAZ6" s="474"/>
      <c r="BBA6" s="473"/>
      <c r="BBB6" s="474"/>
      <c r="BBC6" s="473"/>
      <c r="BBD6" s="474"/>
      <c r="BBE6" s="473"/>
      <c r="BBF6" s="474"/>
      <c r="BBG6" s="473"/>
      <c r="BBH6" s="474"/>
      <c r="BBI6" s="473"/>
      <c r="BBJ6" s="474"/>
      <c r="BBK6" s="473"/>
      <c r="BBL6" s="474"/>
      <c r="BBM6" s="473"/>
      <c r="BBN6" s="474"/>
      <c r="BBO6" s="473"/>
      <c r="BBP6" s="474"/>
      <c r="BBQ6" s="473"/>
      <c r="BBR6" s="474"/>
      <c r="BBS6" s="473"/>
      <c r="BBT6" s="474"/>
      <c r="BBU6" s="473"/>
      <c r="BBV6" s="474"/>
      <c r="BBW6" s="473"/>
      <c r="BBX6" s="474"/>
      <c r="BBY6" s="473"/>
      <c r="BBZ6" s="474"/>
      <c r="BCA6" s="473"/>
      <c r="BCB6" s="474"/>
      <c r="BCC6" s="473"/>
      <c r="BCD6" s="474"/>
      <c r="BCE6" s="473"/>
      <c r="BCF6" s="474"/>
      <c r="BCG6" s="473"/>
      <c r="BCH6" s="474"/>
      <c r="BCI6" s="473"/>
      <c r="BCJ6" s="474"/>
      <c r="BCK6" s="473"/>
      <c r="BCL6" s="474"/>
      <c r="BCM6" s="473"/>
      <c r="BCN6" s="474"/>
      <c r="BCO6" s="473"/>
      <c r="BCP6" s="474"/>
      <c r="BCQ6" s="473"/>
      <c r="BCR6" s="474"/>
      <c r="BCS6" s="473"/>
      <c r="BCT6" s="474"/>
      <c r="BCU6" s="473"/>
      <c r="BCV6" s="474"/>
      <c r="BCW6" s="473"/>
      <c r="BCX6" s="474"/>
      <c r="BCY6" s="473"/>
      <c r="BCZ6" s="474"/>
      <c r="BDA6" s="473"/>
      <c r="BDB6" s="474"/>
      <c r="BDC6" s="473"/>
      <c r="BDD6" s="474"/>
      <c r="BDE6" s="473"/>
      <c r="BDF6" s="474"/>
      <c r="BDG6" s="473"/>
      <c r="BDH6" s="474"/>
      <c r="BDI6" s="473"/>
      <c r="BDJ6" s="474"/>
      <c r="BDK6" s="473"/>
      <c r="BDL6" s="474"/>
      <c r="BDM6" s="473"/>
      <c r="BDN6" s="474"/>
      <c r="BDO6" s="473"/>
      <c r="BDP6" s="474"/>
      <c r="BDQ6" s="473"/>
      <c r="BDR6" s="474"/>
      <c r="BDS6" s="473"/>
      <c r="BDT6" s="474"/>
      <c r="BDU6" s="473"/>
      <c r="BDV6" s="474"/>
      <c r="BDW6" s="473"/>
      <c r="BDX6" s="474"/>
      <c r="BDY6" s="473"/>
      <c r="BDZ6" s="474"/>
      <c r="BEA6" s="473"/>
      <c r="BEB6" s="474"/>
      <c r="BEC6" s="473"/>
      <c r="BED6" s="474"/>
      <c r="BEE6" s="473"/>
      <c r="BEF6" s="474"/>
      <c r="BEG6" s="473"/>
      <c r="BEH6" s="474"/>
      <c r="BEI6" s="473"/>
      <c r="BEJ6" s="474"/>
      <c r="BEK6" s="473"/>
      <c r="BEL6" s="474"/>
      <c r="BEM6" s="473"/>
      <c r="BEN6" s="474"/>
      <c r="BEO6" s="473"/>
      <c r="BEP6" s="474"/>
      <c r="BEQ6" s="473"/>
      <c r="BER6" s="474"/>
      <c r="BES6" s="473"/>
      <c r="BET6" s="474"/>
      <c r="BEU6" s="473"/>
      <c r="BEV6" s="474"/>
      <c r="BEW6" s="473"/>
      <c r="BEX6" s="474"/>
      <c r="BEY6" s="473"/>
      <c r="BEZ6" s="474"/>
      <c r="BFA6" s="473"/>
      <c r="BFB6" s="474"/>
      <c r="BFC6" s="473"/>
      <c r="BFD6" s="474"/>
      <c r="BFE6" s="473"/>
      <c r="BFF6" s="474"/>
      <c r="BFG6" s="473"/>
      <c r="BFH6" s="474"/>
      <c r="BFI6" s="473"/>
      <c r="BFJ6" s="474"/>
      <c r="BFK6" s="473"/>
      <c r="BFL6" s="474"/>
      <c r="BFM6" s="473"/>
      <c r="BFN6" s="474"/>
      <c r="BFO6" s="473"/>
      <c r="BFP6" s="474"/>
      <c r="BFQ6" s="473"/>
      <c r="BFR6" s="474"/>
      <c r="BFS6" s="473"/>
      <c r="BFT6" s="474"/>
      <c r="BFU6" s="473"/>
      <c r="BFV6" s="474"/>
      <c r="BFW6" s="473"/>
      <c r="BFX6" s="474"/>
      <c r="BFY6" s="473"/>
      <c r="BFZ6" s="474"/>
      <c r="BGA6" s="473"/>
      <c r="BGB6" s="474"/>
      <c r="BGC6" s="473"/>
      <c r="BGD6" s="474"/>
      <c r="BGE6" s="473"/>
      <c r="BGF6" s="474"/>
      <c r="BGG6" s="473"/>
      <c r="BGH6" s="474"/>
      <c r="BGI6" s="473"/>
      <c r="BGJ6" s="474"/>
      <c r="BGK6" s="473"/>
      <c r="BGL6" s="474"/>
      <c r="BGM6" s="473"/>
      <c r="BGN6" s="474"/>
      <c r="BGO6" s="473"/>
      <c r="BGP6" s="474"/>
      <c r="BGQ6" s="473"/>
      <c r="BGR6" s="474"/>
      <c r="BGS6" s="473"/>
      <c r="BGT6" s="474"/>
      <c r="BGU6" s="473"/>
      <c r="BGV6" s="474"/>
      <c r="BGW6" s="473"/>
      <c r="BGX6" s="474"/>
      <c r="BGY6" s="473"/>
      <c r="BGZ6" s="474"/>
      <c r="BHA6" s="473"/>
      <c r="BHB6" s="474"/>
      <c r="BHC6" s="473"/>
      <c r="BHD6" s="474"/>
      <c r="BHE6" s="473"/>
      <c r="BHF6" s="474"/>
      <c r="BHG6" s="473"/>
      <c r="BHH6" s="474"/>
      <c r="BHI6" s="473"/>
      <c r="BHJ6" s="474"/>
      <c r="BHK6" s="473"/>
      <c r="BHL6" s="474"/>
      <c r="BHM6" s="473"/>
      <c r="BHN6" s="474"/>
      <c r="BHO6" s="473"/>
      <c r="BHP6" s="474"/>
      <c r="BHQ6" s="473"/>
      <c r="BHR6" s="474"/>
      <c r="BHS6" s="473"/>
      <c r="BHT6" s="474"/>
      <c r="BHU6" s="473"/>
      <c r="BHV6" s="474"/>
      <c r="BHW6" s="473"/>
      <c r="BHX6" s="474"/>
      <c r="BHY6" s="473"/>
      <c r="BHZ6" s="474"/>
      <c r="BIA6" s="473"/>
      <c r="BIB6" s="474"/>
      <c r="BIC6" s="473"/>
      <c r="BID6" s="474"/>
      <c r="BIE6" s="473"/>
      <c r="BIF6" s="474"/>
      <c r="BIG6" s="473"/>
      <c r="BIH6" s="474"/>
      <c r="BII6" s="473"/>
      <c r="BIJ6" s="474"/>
      <c r="BIK6" s="473"/>
      <c r="BIL6" s="474"/>
      <c r="BIM6" s="473"/>
      <c r="BIN6" s="474"/>
      <c r="BIO6" s="473"/>
      <c r="BIP6" s="474"/>
      <c r="BIQ6" s="473"/>
      <c r="BIR6" s="474"/>
      <c r="BIS6" s="473"/>
      <c r="BIT6" s="474"/>
      <c r="BIU6" s="473"/>
      <c r="BIV6" s="474"/>
      <c r="BIW6" s="473"/>
      <c r="BIX6" s="474"/>
      <c r="BIY6" s="473"/>
      <c r="BIZ6" s="474"/>
      <c r="BJA6" s="473"/>
      <c r="BJB6" s="474"/>
      <c r="BJC6" s="473"/>
      <c r="BJD6" s="474"/>
      <c r="BJE6" s="473"/>
      <c r="BJF6" s="474"/>
      <c r="BJG6" s="473"/>
      <c r="BJH6" s="474"/>
      <c r="BJI6" s="473"/>
      <c r="BJJ6" s="474"/>
      <c r="BJK6" s="473"/>
      <c r="BJL6" s="474"/>
      <c r="BJM6" s="473"/>
      <c r="BJN6" s="474"/>
      <c r="BJO6" s="473"/>
      <c r="BJP6" s="474"/>
      <c r="BJQ6" s="473"/>
      <c r="BJR6" s="474"/>
      <c r="BJS6" s="473"/>
      <c r="BJT6" s="474"/>
      <c r="BJU6" s="473"/>
      <c r="BJV6" s="474"/>
      <c r="BJW6" s="473"/>
      <c r="BJX6" s="474"/>
      <c r="BJY6" s="473"/>
      <c r="BJZ6" s="474"/>
      <c r="BKA6" s="473"/>
      <c r="BKB6" s="474"/>
      <c r="BKC6" s="473"/>
      <c r="BKD6" s="474"/>
      <c r="BKE6" s="473"/>
      <c r="BKF6" s="474"/>
      <c r="BKG6" s="473"/>
      <c r="BKH6" s="474"/>
      <c r="BKI6" s="473"/>
      <c r="BKJ6" s="474"/>
      <c r="BKK6" s="473"/>
      <c r="BKL6" s="474"/>
      <c r="BKM6" s="473"/>
      <c r="BKN6" s="474"/>
      <c r="BKO6" s="473"/>
      <c r="BKP6" s="474"/>
      <c r="BKQ6" s="473"/>
      <c r="BKR6" s="474"/>
      <c r="BKS6" s="473"/>
      <c r="BKT6" s="474"/>
      <c r="BKU6" s="473"/>
      <c r="BKV6" s="474"/>
      <c r="BKW6" s="473"/>
      <c r="BKX6" s="474"/>
      <c r="BKY6" s="473"/>
      <c r="BKZ6" s="474"/>
      <c r="BLA6" s="473"/>
      <c r="BLB6" s="474"/>
      <c r="BLC6" s="473"/>
      <c r="BLD6" s="474"/>
      <c r="BLE6" s="473"/>
      <c r="BLF6" s="474"/>
      <c r="BLG6" s="473"/>
      <c r="BLH6" s="474"/>
      <c r="BLI6" s="473"/>
      <c r="BLJ6" s="474"/>
      <c r="BLK6" s="473"/>
      <c r="BLL6" s="474"/>
      <c r="BLM6" s="473"/>
      <c r="BLN6" s="474"/>
      <c r="BLO6" s="473"/>
      <c r="BLP6" s="474"/>
      <c r="BLQ6" s="473"/>
      <c r="BLR6" s="474"/>
      <c r="BLS6" s="473"/>
      <c r="BLT6" s="474"/>
      <c r="BLU6" s="473"/>
      <c r="BLV6" s="474"/>
      <c r="BLW6" s="473"/>
      <c r="BLX6" s="474"/>
      <c r="BLY6" s="473"/>
      <c r="BLZ6" s="474"/>
      <c r="BMA6" s="473"/>
      <c r="BMB6" s="474"/>
      <c r="BMC6" s="473"/>
      <c r="BMD6" s="474"/>
      <c r="BME6" s="473"/>
      <c r="BMF6" s="474"/>
      <c r="BMG6" s="473"/>
      <c r="BMH6" s="474"/>
      <c r="BMI6" s="473"/>
      <c r="BMJ6" s="474"/>
      <c r="BMK6" s="473"/>
      <c r="BML6" s="474"/>
      <c r="BMM6" s="473"/>
      <c r="BMN6" s="474"/>
      <c r="BMO6" s="473"/>
      <c r="BMP6" s="474"/>
      <c r="BMQ6" s="473"/>
      <c r="BMR6" s="474"/>
      <c r="BMS6" s="473"/>
      <c r="BMT6" s="474"/>
      <c r="BMU6" s="473"/>
      <c r="BMV6" s="474"/>
      <c r="BMW6" s="473"/>
      <c r="BMX6" s="474"/>
      <c r="BMY6" s="473"/>
      <c r="BMZ6" s="474"/>
      <c r="BNA6" s="473"/>
      <c r="BNB6" s="474"/>
      <c r="BNC6" s="473"/>
      <c r="BND6" s="474"/>
      <c r="BNE6" s="473"/>
      <c r="BNF6" s="474"/>
      <c r="BNG6" s="473"/>
      <c r="BNH6" s="474"/>
      <c r="BNI6" s="473"/>
      <c r="BNJ6" s="474"/>
      <c r="BNK6" s="473"/>
      <c r="BNL6" s="474"/>
      <c r="BNM6" s="473"/>
      <c r="BNN6" s="474"/>
      <c r="BNO6" s="473"/>
      <c r="BNP6" s="474"/>
      <c r="BNQ6" s="473"/>
      <c r="BNR6" s="474"/>
      <c r="BNS6" s="473"/>
      <c r="BNT6" s="474"/>
      <c r="BNU6" s="473"/>
      <c r="BNV6" s="474"/>
      <c r="BNW6" s="473"/>
      <c r="BNX6" s="474"/>
      <c r="BNY6" s="473"/>
      <c r="BNZ6" s="474"/>
      <c r="BOA6" s="473"/>
      <c r="BOB6" s="474"/>
      <c r="BOC6" s="473"/>
      <c r="BOD6" s="474"/>
      <c r="BOE6" s="473"/>
      <c r="BOF6" s="474"/>
      <c r="BOG6" s="473"/>
      <c r="BOH6" s="474"/>
      <c r="BOI6" s="473"/>
      <c r="BOJ6" s="474"/>
      <c r="BOK6" s="473"/>
      <c r="BOL6" s="474"/>
      <c r="BOM6" s="473"/>
      <c r="BON6" s="474"/>
      <c r="BOO6" s="473"/>
      <c r="BOP6" s="474"/>
      <c r="BOQ6" s="473"/>
      <c r="BOR6" s="474"/>
      <c r="BOS6" s="473"/>
      <c r="BOT6" s="474"/>
      <c r="BOU6" s="473"/>
      <c r="BOV6" s="474"/>
      <c r="BOW6" s="473"/>
      <c r="BOX6" s="474"/>
      <c r="BOY6" s="473"/>
      <c r="BOZ6" s="474"/>
      <c r="BPA6" s="473"/>
      <c r="BPB6" s="474"/>
      <c r="BPC6" s="473"/>
      <c r="BPD6" s="474"/>
      <c r="BPE6" s="473"/>
      <c r="BPF6" s="474"/>
      <c r="BPG6" s="473"/>
      <c r="BPH6" s="474"/>
      <c r="BPI6" s="473"/>
      <c r="BPJ6" s="474"/>
      <c r="BPK6" s="473"/>
      <c r="BPL6" s="474"/>
      <c r="BPM6" s="473"/>
      <c r="BPN6" s="474"/>
      <c r="BPO6" s="473"/>
      <c r="BPP6" s="474"/>
      <c r="BPQ6" s="473"/>
      <c r="BPR6" s="474"/>
      <c r="BPS6" s="473"/>
      <c r="BPT6" s="474"/>
      <c r="BPU6" s="473"/>
      <c r="BPV6" s="474"/>
      <c r="BPW6" s="473"/>
      <c r="BPX6" s="474"/>
      <c r="BPY6" s="473"/>
      <c r="BPZ6" s="474"/>
      <c r="BQA6" s="473"/>
      <c r="BQB6" s="474"/>
      <c r="BQC6" s="473"/>
      <c r="BQD6" s="474"/>
      <c r="BQE6" s="473"/>
      <c r="BQF6" s="474"/>
      <c r="BQG6" s="473"/>
      <c r="BQH6" s="474"/>
      <c r="BQI6" s="473"/>
      <c r="BQJ6" s="474"/>
      <c r="BQK6" s="473"/>
      <c r="BQL6" s="474"/>
      <c r="BQM6" s="473"/>
      <c r="BQN6" s="474"/>
      <c r="BQO6" s="473"/>
      <c r="BQP6" s="474"/>
      <c r="BQQ6" s="473"/>
      <c r="BQR6" s="474"/>
      <c r="BQS6" s="473"/>
      <c r="BQT6" s="474"/>
      <c r="BQU6" s="473"/>
      <c r="BQV6" s="474"/>
      <c r="BQW6" s="473"/>
      <c r="BQX6" s="474"/>
      <c r="BQY6" s="473"/>
      <c r="BQZ6" s="474"/>
      <c r="BRA6" s="473"/>
      <c r="BRB6" s="474"/>
      <c r="BRC6" s="473"/>
      <c r="BRD6" s="474"/>
      <c r="BRE6" s="473"/>
      <c r="BRF6" s="474"/>
      <c r="BRG6" s="473"/>
      <c r="BRH6" s="474"/>
      <c r="BRI6" s="473"/>
      <c r="BRJ6" s="474"/>
      <c r="BRK6" s="473"/>
      <c r="BRL6" s="474"/>
      <c r="BRM6" s="473"/>
      <c r="BRN6" s="474"/>
      <c r="BRO6" s="473"/>
      <c r="BRP6" s="474"/>
      <c r="BRQ6" s="473"/>
      <c r="BRR6" s="474"/>
      <c r="BRS6" s="473"/>
      <c r="BRT6" s="474"/>
      <c r="BRU6" s="473"/>
      <c r="BRV6" s="474"/>
      <c r="BRW6" s="473"/>
      <c r="BRX6" s="474"/>
      <c r="BRY6" s="473"/>
      <c r="BRZ6" s="474"/>
      <c r="BSA6" s="473"/>
      <c r="BSB6" s="474"/>
      <c r="BSC6" s="473"/>
      <c r="BSD6" s="474"/>
      <c r="BSE6" s="473"/>
      <c r="BSF6" s="474"/>
      <c r="BSG6" s="473"/>
      <c r="BSH6" s="474"/>
      <c r="BSI6" s="473"/>
      <c r="BSJ6" s="474"/>
      <c r="BSK6" s="473"/>
      <c r="BSL6" s="474"/>
      <c r="BSM6" s="473"/>
      <c r="BSN6" s="474"/>
      <c r="BSO6" s="473"/>
      <c r="BSP6" s="474"/>
      <c r="BSQ6" s="473"/>
      <c r="BSR6" s="474"/>
      <c r="BSS6" s="473"/>
      <c r="BST6" s="474"/>
      <c r="BSU6" s="473"/>
      <c r="BSV6" s="474"/>
      <c r="BSW6" s="473"/>
      <c r="BSX6" s="474"/>
      <c r="BSY6" s="473"/>
      <c r="BSZ6" s="474"/>
      <c r="BTA6" s="473"/>
      <c r="BTB6" s="474"/>
      <c r="BTC6" s="473"/>
      <c r="BTD6" s="474"/>
      <c r="BTE6" s="473"/>
      <c r="BTF6" s="474"/>
      <c r="BTG6" s="473"/>
      <c r="BTH6" s="474"/>
      <c r="BTI6" s="473"/>
      <c r="BTJ6" s="474"/>
      <c r="BTK6" s="473"/>
      <c r="BTL6" s="474"/>
      <c r="BTM6" s="473"/>
      <c r="BTN6" s="474"/>
      <c r="BTO6" s="473"/>
      <c r="BTP6" s="474"/>
      <c r="BTQ6" s="473"/>
      <c r="BTR6" s="474"/>
      <c r="BTS6" s="473"/>
      <c r="BTT6" s="474"/>
      <c r="BTU6" s="473"/>
      <c r="BTV6" s="474"/>
      <c r="BTW6" s="473"/>
      <c r="BTX6" s="474"/>
      <c r="BTY6" s="473"/>
      <c r="BTZ6" s="474"/>
      <c r="BUA6" s="473"/>
      <c r="BUB6" s="474"/>
      <c r="BUC6" s="473"/>
      <c r="BUD6" s="474"/>
      <c r="BUE6" s="473"/>
      <c r="BUF6" s="474"/>
      <c r="BUG6" s="473"/>
      <c r="BUH6" s="474"/>
      <c r="BUI6" s="473"/>
      <c r="BUJ6" s="474"/>
      <c r="BUK6" s="473"/>
      <c r="BUL6" s="474"/>
      <c r="BUM6" s="473"/>
      <c r="BUN6" s="474"/>
      <c r="BUO6" s="473"/>
      <c r="BUP6" s="474"/>
      <c r="BUQ6" s="473"/>
      <c r="BUR6" s="474"/>
      <c r="BUS6" s="473"/>
      <c r="BUT6" s="474"/>
      <c r="BUU6" s="473"/>
      <c r="BUV6" s="474"/>
      <c r="BUW6" s="473"/>
      <c r="BUX6" s="474"/>
      <c r="BUY6" s="473"/>
      <c r="BUZ6" s="474"/>
      <c r="BVA6" s="473"/>
      <c r="BVB6" s="474"/>
      <c r="BVC6" s="473"/>
      <c r="BVD6" s="474"/>
      <c r="BVE6" s="473"/>
      <c r="BVF6" s="474"/>
      <c r="BVG6" s="473"/>
      <c r="BVH6" s="474"/>
      <c r="BVI6" s="473"/>
      <c r="BVJ6" s="474"/>
      <c r="BVK6" s="473"/>
      <c r="BVL6" s="474"/>
      <c r="BVM6" s="473"/>
      <c r="BVN6" s="474"/>
      <c r="BVO6" s="473"/>
      <c r="BVP6" s="474"/>
      <c r="BVQ6" s="473"/>
      <c r="BVR6" s="474"/>
      <c r="BVS6" s="473"/>
      <c r="BVT6" s="474"/>
      <c r="BVU6" s="473"/>
      <c r="BVV6" s="474"/>
      <c r="BVW6" s="473"/>
      <c r="BVX6" s="474"/>
      <c r="BVY6" s="473"/>
      <c r="BVZ6" s="474"/>
      <c r="BWA6" s="473"/>
      <c r="BWB6" s="474"/>
      <c r="BWC6" s="473"/>
      <c r="BWD6" s="474"/>
      <c r="BWE6" s="473"/>
      <c r="BWF6" s="474"/>
      <c r="BWG6" s="473"/>
      <c r="BWH6" s="474"/>
      <c r="BWI6" s="473"/>
      <c r="BWJ6" s="474"/>
      <c r="BWK6" s="473"/>
      <c r="BWL6" s="474"/>
      <c r="BWM6" s="473"/>
      <c r="BWN6" s="474"/>
      <c r="BWO6" s="473"/>
      <c r="BWP6" s="474"/>
      <c r="BWQ6" s="473"/>
      <c r="BWR6" s="474"/>
      <c r="BWS6" s="473"/>
      <c r="BWT6" s="474"/>
      <c r="BWU6" s="473"/>
      <c r="BWV6" s="474"/>
      <c r="BWW6" s="473"/>
      <c r="BWX6" s="474"/>
      <c r="BWY6" s="473"/>
      <c r="BWZ6" s="474"/>
      <c r="BXA6" s="473"/>
      <c r="BXB6" s="474"/>
      <c r="BXC6" s="473"/>
      <c r="BXD6" s="474"/>
      <c r="BXE6" s="473"/>
      <c r="BXF6" s="474"/>
      <c r="BXG6" s="473"/>
      <c r="BXH6" s="474"/>
      <c r="BXI6" s="473"/>
      <c r="BXJ6" s="474"/>
      <c r="BXK6" s="473"/>
      <c r="BXL6" s="474"/>
      <c r="BXM6" s="473"/>
      <c r="BXN6" s="474"/>
      <c r="BXO6" s="473"/>
      <c r="BXP6" s="474"/>
      <c r="BXQ6" s="473"/>
      <c r="BXR6" s="474"/>
      <c r="BXS6" s="473"/>
      <c r="BXT6" s="474"/>
      <c r="BXU6" s="473"/>
      <c r="BXV6" s="474"/>
      <c r="BXW6" s="473"/>
      <c r="BXX6" s="474"/>
      <c r="BXY6" s="473"/>
      <c r="BXZ6" s="474"/>
      <c r="BYA6" s="473"/>
      <c r="BYB6" s="474"/>
      <c r="BYC6" s="473"/>
      <c r="BYD6" s="474"/>
      <c r="BYE6" s="473"/>
      <c r="BYF6" s="474"/>
      <c r="BYG6" s="473"/>
      <c r="BYH6" s="474"/>
      <c r="BYI6" s="473"/>
      <c r="BYJ6" s="474"/>
      <c r="BYK6" s="473"/>
      <c r="BYL6" s="474"/>
      <c r="BYM6" s="473"/>
      <c r="BYN6" s="474"/>
      <c r="BYO6" s="473"/>
      <c r="BYP6" s="474"/>
      <c r="BYQ6" s="473"/>
      <c r="BYR6" s="474"/>
      <c r="BYS6" s="473"/>
      <c r="BYT6" s="474"/>
      <c r="BYU6" s="473"/>
      <c r="BYV6" s="474"/>
      <c r="BYW6" s="473"/>
      <c r="BYX6" s="474"/>
      <c r="BYY6" s="473"/>
      <c r="BYZ6" s="474"/>
      <c r="BZA6" s="473"/>
      <c r="BZB6" s="474"/>
      <c r="BZC6" s="473"/>
      <c r="BZD6" s="474"/>
      <c r="BZE6" s="473"/>
      <c r="BZF6" s="474"/>
      <c r="BZG6" s="473"/>
      <c r="BZH6" s="474"/>
      <c r="BZI6" s="473"/>
      <c r="BZJ6" s="474"/>
      <c r="BZK6" s="473"/>
      <c r="BZL6" s="474"/>
      <c r="BZM6" s="473"/>
      <c r="BZN6" s="474"/>
      <c r="BZO6" s="473"/>
      <c r="BZP6" s="474"/>
      <c r="BZQ6" s="473"/>
      <c r="BZR6" s="474"/>
      <c r="BZS6" s="473"/>
      <c r="BZT6" s="474"/>
      <c r="BZU6" s="473"/>
      <c r="BZV6" s="474"/>
      <c r="BZW6" s="473"/>
      <c r="BZX6" s="474"/>
      <c r="BZY6" s="473"/>
      <c r="BZZ6" s="474"/>
      <c r="CAA6" s="473"/>
      <c r="CAB6" s="474"/>
      <c r="CAC6" s="473"/>
      <c r="CAD6" s="474"/>
      <c r="CAE6" s="473"/>
      <c r="CAF6" s="474"/>
      <c r="CAG6" s="473"/>
      <c r="CAH6" s="474"/>
      <c r="CAI6" s="473"/>
      <c r="CAJ6" s="474"/>
      <c r="CAK6" s="473"/>
      <c r="CAL6" s="474"/>
      <c r="CAM6" s="473"/>
      <c r="CAN6" s="474"/>
      <c r="CAO6" s="473"/>
      <c r="CAP6" s="474"/>
      <c r="CAQ6" s="473"/>
      <c r="CAR6" s="474"/>
      <c r="CAS6" s="473"/>
      <c r="CAT6" s="474"/>
      <c r="CAU6" s="473"/>
      <c r="CAV6" s="474"/>
      <c r="CAW6" s="473"/>
      <c r="CAX6" s="474"/>
      <c r="CAY6" s="473"/>
      <c r="CAZ6" s="474"/>
      <c r="CBA6" s="473"/>
      <c r="CBB6" s="474"/>
      <c r="CBC6" s="473"/>
      <c r="CBD6" s="474"/>
      <c r="CBE6" s="473"/>
      <c r="CBF6" s="474"/>
      <c r="CBG6" s="473"/>
      <c r="CBH6" s="474"/>
      <c r="CBI6" s="473"/>
      <c r="CBJ6" s="474"/>
      <c r="CBK6" s="473"/>
      <c r="CBL6" s="474"/>
      <c r="CBM6" s="473"/>
      <c r="CBN6" s="474"/>
      <c r="CBO6" s="473"/>
      <c r="CBP6" s="474"/>
      <c r="CBQ6" s="473"/>
      <c r="CBR6" s="474"/>
      <c r="CBS6" s="473"/>
      <c r="CBT6" s="474"/>
      <c r="CBU6" s="473"/>
      <c r="CBV6" s="474"/>
      <c r="CBW6" s="473"/>
      <c r="CBX6" s="474"/>
      <c r="CBY6" s="473"/>
      <c r="CBZ6" s="474"/>
      <c r="CCA6" s="473"/>
      <c r="CCB6" s="474"/>
      <c r="CCC6" s="473"/>
      <c r="CCD6" s="474"/>
      <c r="CCE6" s="473"/>
      <c r="CCF6" s="474"/>
      <c r="CCG6" s="473"/>
      <c r="CCH6" s="474"/>
      <c r="CCI6" s="473"/>
      <c r="CCJ6" s="474"/>
      <c r="CCK6" s="473"/>
      <c r="CCL6" s="474"/>
      <c r="CCM6" s="473"/>
      <c r="CCN6" s="474"/>
      <c r="CCO6" s="473"/>
      <c r="CCP6" s="474"/>
      <c r="CCQ6" s="473"/>
      <c r="CCR6" s="474"/>
      <c r="CCS6" s="473"/>
      <c r="CCT6" s="474"/>
      <c r="CCU6" s="473"/>
      <c r="CCV6" s="474"/>
      <c r="CCW6" s="473"/>
      <c r="CCX6" s="474"/>
      <c r="CCY6" s="473"/>
      <c r="CCZ6" s="474"/>
      <c r="CDA6" s="473"/>
      <c r="CDB6" s="474"/>
      <c r="CDC6" s="473"/>
      <c r="CDD6" s="474"/>
      <c r="CDE6" s="473"/>
      <c r="CDF6" s="474"/>
      <c r="CDG6" s="473"/>
      <c r="CDH6" s="474"/>
      <c r="CDI6" s="473"/>
      <c r="CDJ6" s="474"/>
      <c r="CDK6" s="473"/>
      <c r="CDL6" s="474"/>
      <c r="CDM6" s="473"/>
      <c r="CDN6" s="474"/>
      <c r="CDO6" s="473"/>
      <c r="CDP6" s="474"/>
      <c r="CDQ6" s="473"/>
      <c r="CDR6" s="474"/>
      <c r="CDS6" s="473"/>
      <c r="CDT6" s="474"/>
      <c r="CDU6" s="473"/>
      <c r="CDV6" s="474"/>
      <c r="CDW6" s="473"/>
      <c r="CDX6" s="474"/>
      <c r="CDY6" s="473"/>
      <c r="CDZ6" s="474"/>
      <c r="CEA6" s="473"/>
      <c r="CEB6" s="474"/>
      <c r="CEC6" s="473"/>
      <c r="CED6" s="474"/>
      <c r="CEE6" s="473"/>
      <c r="CEF6" s="474"/>
      <c r="CEG6" s="473"/>
      <c r="CEH6" s="474"/>
      <c r="CEI6" s="473"/>
      <c r="CEJ6" s="474"/>
      <c r="CEK6" s="473"/>
      <c r="CEL6" s="474"/>
      <c r="CEM6" s="473"/>
      <c r="CEN6" s="474"/>
      <c r="CEO6" s="473"/>
      <c r="CEP6" s="474"/>
      <c r="CEQ6" s="473"/>
      <c r="CER6" s="474"/>
      <c r="CES6" s="473"/>
      <c r="CET6" s="474"/>
      <c r="CEU6" s="473"/>
      <c r="CEV6" s="474"/>
      <c r="CEW6" s="473"/>
      <c r="CEX6" s="474"/>
      <c r="CEY6" s="473"/>
      <c r="CEZ6" s="474"/>
      <c r="CFA6" s="473"/>
      <c r="CFB6" s="474"/>
      <c r="CFC6" s="473"/>
      <c r="CFD6" s="474"/>
      <c r="CFE6" s="473"/>
      <c r="CFF6" s="474"/>
      <c r="CFG6" s="473"/>
      <c r="CFH6" s="474"/>
      <c r="CFI6" s="473"/>
      <c r="CFJ6" s="474"/>
      <c r="CFK6" s="473"/>
      <c r="CFL6" s="474"/>
      <c r="CFM6" s="473"/>
      <c r="CFN6" s="474"/>
      <c r="CFO6" s="473"/>
      <c r="CFP6" s="474"/>
      <c r="CFQ6" s="473"/>
      <c r="CFR6" s="474"/>
      <c r="CFS6" s="473"/>
      <c r="CFT6" s="474"/>
      <c r="CFU6" s="473"/>
      <c r="CFV6" s="474"/>
      <c r="CFW6" s="473"/>
      <c r="CFX6" s="474"/>
      <c r="CFY6" s="473"/>
      <c r="CFZ6" s="474"/>
      <c r="CGA6" s="473"/>
      <c r="CGB6" s="474"/>
      <c r="CGC6" s="473"/>
      <c r="CGD6" s="474"/>
      <c r="CGE6" s="473"/>
      <c r="CGF6" s="474"/>
      <c r="CGG6" s="473"/>
      <c r="CGH6" s="474"/>
      <c r="CGI6" s="473"/>
      <c r="CGJ6" s="474"/>
      <c r="CGK6" s="473"/>
      <c r="CGL6" s="474"/>
      <c r="CGM6" s="473"/>
      <c r="CGN6" s="474"/>
      <c r="CGO6" s="473"/>
      <c r="CGP6" s="474"/>
      <c r="CGQ6" s="473"/>
      <c r="CGR6" s="474"/>
      <c r="CGS6" s="473"/>
      <c r="CGT6" s="474"/>
      <c r="CGU6" s="473"/>
      <c r="CGV6" s="474"/>
      <c r="CGW6" s="473"/>
      <c r="CGX6" s="474"/>
      <c r="CGY6" s="473"/>
      <c r="CGZ6" s="474"/>
      <c r="CHA6" s="473"/>
      <c r="CHB6" s="474"/>
      <c r="CHC6" s="473"/>
      <c r="CHD6" s="474"/>
      <c r="CHE6" s="473"/>
      <c r="CHF6" s="474"/>
      <c r="CHG6" s="473"/>
      <c r="CHH6" s="474"/>
      <c r="CHI6" s="473"/>
      <c r="CHJ6" s="474"/>
      <c r="CHK6" s="473"/>
      <c r="CHL6" s="474"/>
      <c r="CHM6" s="473"/>
      <c r="CHN6" s="474"/>
      <c r="CHO6" s="473"/>
      <c r="CHP6" s="474"/>
      <c r="CHQ6" s="473"/>
      <c r="CHR6" s="474"/>
      <c r="CHS6" s="473"/>
      <c r="CHT6" s="474"/>
      <c r="CHU6" s="473"/>
      <c r="CHV6" s="474"/>
      <c r="CHW6" s="473"/>
      <c r="CHX6" s="474"/>
      <c r="CHY6" s="473"/>
      <c r="CHZ6" s="474"/>
      <c r="CIA6" s="473"/>
      <c r="CIB6" s="474"/>
      <c r="CIC6" s="473"/>
      <c r="CID6" s="474"/>
      <c r="CIE6" s="473"/>
      <c r="CIF6" s="474"/>
      <c r="CIG6" s="473"/>
      <c r="CIH6" s="474"/>
      <c r="CII6" s="473"/>
      <c r="CIJ6" s="474"/>
      <c r="CIK6" s="473"/>
      <c r="CIL6" s="474"/>
      <c r="CIM6" s="473"/>
      <c r="CIN6" s="474"/>
      <c r="CIO6" s="473"/>
      <c r="CIP6" s="474"/>
      <c r="CIQ6" s="473"/>
      <c r="CIR6" s="474"/>
      <c r="CIS6" s="473"/>
      <c r="CIT6" s="474"/>
      <c r="CIU6" s="473"/>
      <c r="CIV6" s="474"/>
      <c r="CIW6" s="473"/>
      <c r="CIX6" s="474"/>
      <c r="CIY6" s="473"/>
      <c r="CIZ6" s="474"/>
      <c r="CJA6" s="473"/>
      <c r="CJB6" s="474"/>
      <c r="CJC6" s="473"/>
      <c r="CJD6" s="474"/>
      <c r="CJE6" s="473"/>
      <c r="CJF6" s="474"/>
      <c r="CJG6" s="473"/>
      <c r="CJH6" s="474"/>
      <c r="CJI6" s="473"/>
      <c r="CJJ6" s="474"/>
      <c r="CJK6" s="473"/>
      <c r="CJL6" s="474"/>
      <c r="CJM6" s="473"/>
      <c r="CJN6" s="474"/>
      <c r="CJO6" s="473"/>
      <c r="CJP6" s="474"/>
      <c r="CJQ6" s="473"/>
      <c r="CJR6" s="474"/>
      <c r="CJS6" s="473"/>
      <c r="CJT6" s="474"/>
      <c r="CJU6" s="473"/>
      <c r="CJV6" s="474"/>
      <c r="CJW6" s="473"/>
      <c r="CJX6" s="474"/>
      <c r="CJY6" s="473"/>
      <c r="CJZ6" s="474"/>
      <c r="CKA6" s="473"/>
      <c r="CKB6" s="474"/>
      <c r="CKC6" s="473"/>
      <c r="CKD6" s="474"/>
      <c r="CKE6" s="473"/>
      <c r="CKF6" s="474"/>
      <c r="CKG6" s="473"/>
      <c r="CKH6" s="474"/>
      <c r="CKI6" s="473"/>
      <c r="CKJ6" s="474"/>
      <c r="CKK6" s="473"/>
      <c r="CKL6" s="474"/>
      <c r="CKM6" s="473"/>
      <c r="CKN6" s="474"/>
      <c r="CKO6" s="473"/>
      <c r="CKP6" s="474"/>
      <c r="CKQ6" s="473"/>
      <c r="CKR6" s="474"/>
      <c r="CKS6" s="473"/>
      <c r="CKT6" s="474"/>
      <c r="CKU6" s="473"/>
      <c r="CKV6" s="474"/>
      <c r="CKW6" s="473"/>
      <c r="CKX6" s="474"/>
      <c r="CKY6" s="473"/>
      <c r="CKZ6" s="474"/>
      <c r="CLA6" s="473"/>
      <c r="CLB6" s="474"/>
      <c r="CLC6" s="473"/>
      <c r="CLD6" s="474"/>
      <c r="CLE6" s="473"/>
      <c r="CLF6" s="474"/>
      <c r="CLG6" s="473"/>
      <c r="CLH6" s="474"/>
      <c r="CLI6" s="473"/>
      <c r="CLJ6" s="474"/>
      <c r="CLK6" s="473"/>
      <c r="CLL6" s="474"/>
      <c r="CLM6" s="473"/>
      <c r="CLN6" s="474"/>
      <c r="CLO6" s="473"/>
      <c r="CLP6" s="474"/>
      <c r="CLQ6" s="473"/>
      <c r="CLR6" s="474"/>
      <c r="CLS6" s="473"/>
      <c r="CLT6" s="474"/>
      <c r="CLU6" s="473"/>
      <c r="CLV6" s="474"/>
      <c r="CLW6" s="473"/>
      <c r="CLX6" s="474"/>
      <c r="CLY6" s="473"/>
      <c r="CLZ6" s="474"/>
      <c r="CMA6" s="473"/>
      <c r="CMB6" s="474"/>
      <c r="CMC6" s="473"/>
      <c r="CMD6" s="474"/>
      <c r="CME6" s="473"/>
      <c r="CMF6" s="474"/>
      <c r="CMG6" s="473"/>
      <c r="CMH6" s="474"/>
      <c r="CMI6" s="473"/>
      <c r="CMJ6" s="474"/>
      <c r="CMK6" s="473"/>
      <c r="CML6" s="474"/>
      <c r="CMM6" s="473"/>
      <c r="CMN6" s="474"/>
      <c r="CMO6" s="473"/>
      <c r="CMP6" s="474"/>
      <c r="CMQ6" s="473"/>
      <c r="CMR6" s="474"/>
      <c r="CMS6" s="473"/>
      <c r="CMT6" s="474"/>
      <c r="CMU6" s="473"/>
      <c r="CMV6" s="474"/>
      <c r="CMW6" s="473"/>
      <c r="CMX6" s="474"/>
      <c r="CMY6" s="473"/>
      <c r="CMZ6" s="474"/>
      <c r="CNA6" s="473"/>
      <c r="CNB6" s="474"/>
      <c r="CNC6" s="473"/>
      <c r="CND6" s="474"/>
      <c r="CNE6" s="473"/>
      <c r="CNF6" s="474"/>
      <c r="CNG6" s="473"/>
      <c r="CNH6" s="474"/>
      <c r="CNI6" s="473"/>
      <c r="CNJ6" s="474"/>
      <c r="CNK6" s="473"/>
      <c r="CNL6" s="474"/>
      <c r="CNM6" s="473"/>
      <c r="CNN6" s="474"/>
      <c r="CNO6" s="473"/>
      <c r="CNP6" s="474"/>
      <c r="CNQ6" s="473"/>
      <c r="CNR6" s="474"/>
      <c r="CNS6" s="473"/>
      <c r="CNT6" s="474"/>
      <c r="CNU6" s="473"/>
      <c r="CNV6" s="474"/>
      <c r="CNW6" s="473"/>
      <c r="CNX6" s="474"/>
      <c r="CNY6" s="473"/>
      <c r="CNZ6" s="474"/>
      <c r="COA6" s="473"/>
      <c r="COB6" s="474"/>
      <c r="COC6" s="473"/>
      <c r="COD6" s="474"/>
      <c r="COE6" s="473"/>
      <c r="COF6" s="474"/>
      <c r="COG6" s="473"/>
      <c r="COH6" s="474"/>
      <c r="COI6" s="473"/>
      <c r="COJ6" s="474"/>
      <c r="COK6" s="473"/>
      <c r="COL6" s="474"/>
      <c r="COM6" s="473"/>
      <c r="CON6" s="474"/>
      <c r="COO6" s="473"/>
      <c r="COP6" s="474"/>
      <c r="COQ6" s="473"/>
      <c r="COR6" s="474"/>
      <c r="COS6" s="473"/>
      <c r="COT6" s="474"/>
      <c r="COU6" s="473"/>
      <c r="COV6" s="474"/>
      <c r="COW6" s="473"/>
      <c r="COX6" s="474"/>
      <c r="COY6" s="473"/>
      <c r="COZ6" s="474"/>
      <c r="CPA6" s="473"/>
      <c r="CPB6" s="474"/>
      <c r="CPC6" s="473"/>
      <c r="CPD6" s="474"/>
      <c r="CPE6" s="473"/>
      <c r="CPF6" s="474"/>
      <c r="CPG6" s="473"/>
      <c r="CPH6" s="474"/>
      <c r="CPI6" s="473"/>
      <c r="CPJ6" s="474"/>
      <c r="CPK6" s="473"/>
      <c r="CPL6" s="474"/>
      <c r="CPM6" s="473"/>
      <c r="CPN6" s="474"/>
      <c r="CPO6" s="473"/>
      <c r="CPP6" s="474"/>
      <c r="CPQ6" s="473"/>
      <c r="CPR6" s="474"/>
      <c r="CPS6" s="473"/>
      <c r="CPT6" s="474"/>
      <c r="CPU6" s="473"/>
      <c r="CPV6" s="474"/>
      <c r="CPW6" s="473"/>
      <c r="CPX6" s="474"/>
      <c r="CPY6" s="473"/>
      <c r="CPZ6" s="474"/>
      <c r="CQA6" s="473"/>
      <c r="CQB6" s="474"/>
      <c r="CQC6" s="473"/>
      <c r="CQD6" s="474"/>
      <c r="CQE6" s="473"/>
      <c r="CQF6" s="474"/>
      <c r="CQG6" s="473"/>
      <c r="CQH6" s="474"/>
      <c r="CQI6" s="473"/>
      <c r="CQJ6" s="474"/>
      <c r="CQK6" s="473"/>
      <c r="CQL6" s="474"/>
      <c r="CQM6" s="473"/>
      <c r="CQN6" s="474"/>
      <c r="CQO6" s="473"/>
      <c r="CQP6" s="474"/>
      <c r="CQQ6" s="473"/>
      <c r="CQR6" s="474"/>
      <c r="CQS6" s="473"/>
      <c r="CQT6" s="474"/>
      <c r="CQU6" s="473"/>
      <c r="CQV6" s="474"/>
      <c r="CQW6" s="473"/>
      <c r="CQX6" s="474"/>
      <c r="CQY6" s="473"/>
      <c r="CQZ6" s="474"/>
      <c r="CRA6" s="473"/>
      <c r="CRB6" s="474"/>
      <c r="CRC6" s="473"/>
      <c r="CRD6" s="474"/>
      <c r="CRE6" s="473"/>
      <c r="CRF6" s="474"/>
      <c r="CRG6" s="473"/>
      <c r="CRH6" s="474"/>
      <c r="CRI6" s="473"/>
      <c r="CRJ6" s="474"/>
      <c r="CRK6" s="473"/>
      <c r="CRL6" s="474"/>
      <c r="CRM6" s="473"/>
      <c r="CRN6" s="474"/>
      <c r="CRO6" s="473"/>
      <c r="CRP6" s="474"/>
      <c r="CRQ6" s="473"/>
      <c r="CRR6" s="474"/>
      <c r="CRS6" s="473"/>
      <c r="CRT6" s="474"/>
      <c r="CRU6" s="473"/>
      <c r="CRV6" s="474"/>
      <c r="CRW6" s="473"/>
      <c r="CRX6" s="474"/>
      <c r="CRY6" s="473"/>
      <c r="CRZ6" s="474"/>
      <c r="CSA6" s="473"/>
      <c r="CSB6" s="474"/>
      <c r="CSC6" s="473"/>
      <c r="CSD6" s="474"/>
      <c r="CSE6" s="473"/>
      <c r="CSF6" s="474"/>
      <c r="CSG6" s="473"/>
      <c r="CSH6" s="474"/>
      <c r="CSI6" s="473"/>
      <c r="CSJ6" s="474"/>
      <c r="CSK6" s="473"/>
      <c r="CSL6" s="474"/>
      <c r="CSM6" s="473"/>
      <c r="CSN6" s="474"/>
      <c r="CSO6" s="473"/>
      <c r="CSP6" s="474"/>
      <c r="CSQ6" s="473"/>
      <c r="CSR6" s="474"/>
      <c r="CSS6" s="473"/>
      <c r="CST6" s="474"/>
      <c r="CSU6" s="473"/>
      <c r="CSV6" s="474"/>
      <c r="CSW6" s="473"/>
      <c r="CSX6" s="474"/>
      <c r="CSY6" s="473"/>
      <c r="CSZ6" s="474"/>
      <c r="CTA6" s="473"/>
      <c r="CTB6" s="474"/>
      <c r="CTC6" s="473"/>
      <c r="CTD6" s="474"/>
      <c r="CTE6" s="473"/>
      <c r="CTF6" s="474"/>
      <c r="CTG6" s="473"/>
      <c r="CTH6" s="474"/>
      <c r="CTI6" s="473"/>
      <c r="CTJ6" s="474"/>
      <c r="CTK6" s="473"/>
      <c r="CTL6" s="474"/>
      <c r="CTM6" s="473"/>
      <c r="CTN6" s="474"/>
      <c r="CTO6" s="473"/>
      <c r="CTP6" s="474"/>
      <c r="CTQ6" s="473"/>
      <c r="CTR6" s="474"/>
      <c r="CTS6" s="473"/>
      <c r="CTT6" s="474"/>
      <c r="CTU6" s="473"/>
      <c r="CTV6" s="474"/>
      <c r="CTW6" s="473"/>
      <c r="CTX6" s="474"/>
      <c r="CTY6" s="473"/>
      <c r="CTZ6" s="474"/>
      <c r="CUA6" s="473"/>
      <c r="CUB6" s="474"/>
      <c r="CUC6" s="473"/>
      <c r="CUD6" s="474"/>
      <c r="CUE6" s="473"/>
      <c r="CUF6" s="474"/>
      <c r="CUG6" s="473"/>
      <c r="CUH6" s="474"/>
      <c r="CUI6" s="473"/>
      <c r="CUJ6" s="474"/>
      <c r="CUK6" s="473"/>
      <c r="CUL6" s="474"/>
      <c r="CUM6" s="473"/>
      <c r="CUN6" s="474"/>
      <c r="CUO6" s="473"/>
      <c r="CUP6" s="474"/>
      <c r="CUQ6" s="473"/>
      <c r="CUR6" s="474"/>
      <c r="CUS6" s="473"/>
      <c r="CUT6" s="474"/>
      <c r="CUU6" s="473"/>
      <c r="CUV6" s="474"/>
      <c r="CUW6" s="473"/>
      <c r="CUX6" s="474"/>
      <c r="CUY6" s="473"/>
      <c r="CUZ6" s="474"/>
      <c r="CVA6" s="473"/>
      <c r="CVB6" s="474"/>
      <c r="CVC6" s="473"/>
      <c r="CVD6" s="474"/>
      <c r="CVE6" s="473"/>
      <c r="CVF6" s="474"/>
      <c r="CVG6" s="473"/>
      <c r="CVH6" s="474"/>
      <c r="CVI6" s="473"/>
      <c r="CVJ6" s="474"/>
      <c r="CVK6" s="473"/>
      <c r="CVL6" s="474"/>
      <c r="CVM6" s="473"/>
      <c r="CVN6" s="474"/>
      <c r="CVO6" s="473"/>
      <c r="CVP6" s="474"/>
      <c r="CVQ6" s="473"/>
      <c r="CVR6" s="474"/>
      <c r="CVS6" s="473"/>
      <c r="CVT6" s="474"/>
      <c r="CVU6" s="473"/>
      <c r="CVV6" s="474"/>
      <c r="CVW6" s="473"/>
      <c r="CVX6" s="474"/>
      <c r="CVY6" s="473"/>
      <c r="CVZ6" s="474"/>
      <c r="CWA6" s="473"/>
      <c r="CWB6" s="474"/>
      <c r="CWC6" s="473"/>
      <c r="CWD6" s="474"/>
      <c r="CWE6" s="473"/>
      <c r="CWF6" s="474"/>
      <c r="CWG6" s="473"/>
      <c r="CWH6" s="474"/>
      <c r="CWI6" s="473"/>
      <c r="CWJ6" s="474"/>
      <c r="CWK6" s="473"/>
      <c r="CWL6" s="474"/>
      <c r="CWM6" s="473"/>
      <c r="CWN6" s="474"/>
      <c r="CWO6" s="473"/>
      <c r="CWP6" s="474"/>
      <c r="CWQ6" s="473"/>
      <c r="CWR6" s="474"/>
      <c r="CWS6" s="473"/>
      <c r="CWT6" s="474"/>
      <c r="CWU6" s="473"/>
      <c r="CWV6" s="474"/>
      <c r="CWW6" s="473"/>
      <c r="CWX6" s="474"/>
      <c r="CWY6" s="473"/>
      <c r="CWZ6" s="474"/>
      <c r="CXA6" s="473"/>
      <c r="CXB6" s="474"/>
      <c r="CXC6" s="473"/>
      <c r="CXD6" s="474"/>
      <c r="CXE6" s="473"/>
      <c r="CXF6" s="474"/>
      <c r="CXG6" s="473"/>
      <c r="CXH6" s="474"/>
      <c r="CXI6" s="473"/>
      <c r="CXJ6" s="474"/>
      <c r="CXK6" s="473"/>
      <c r="CXL6" s="474"/>
      <c r="CXM6" s="473"/>
      <c r="CXN6" s="474"/>
      <c r="CXO6" s="473"/>
      <c r="CXP6" s="474"/>
      <c r="CXQ6" s="473"/>
      <c r="CXR6" s="474"/>
      <c r="CXS6" s="473"/>
      <c r="CXT6" s="474"/>
      <c r="CXU6" s="473"/>
      <c r="CXV6" s="474"/>
      <c r="CXW6" s="473"/>
      <c r="CXX6" s="474"/>
      <c r="CXY6" s="473"/>
      <c r="CXZ6" s="474"/>
      <c r="CYA6" s="473"/>
      <c r="CYB6" s="474"/>
      <c r="CYC6" s="473"/>
      <c r="CYD6" s="474"/>
      <c r="CYE6" s="473"/>
      <c r="CYF6" s="474"/>
      <c r="CYG6" s="473"/>
      <c r="CYH6" s="474"/>
      <c r="CYI6" s="473"/>
      <c r="CYJ6" s="474"/>
      <c r="CYK6" s="473"/>
      <c r="CYL6" s="474"/>
      <c r="CYM6" s="473"/>
      <c r="CYN6" s="474"/>
      <c r="CYO6" s="473"/>
      <c r="CYP6" s="474"/>
      <c r="CYQ6" s="473"/>
      <c r="CYR6" s="474"/>
      <c r="CYS6" s="473"/>
      <c r="CYT6" s="474"/>
      <c r="CYU6" s="473"/>
      <c r="CYV6" s="474"/>
      <c r="CYW6" s="473"/>
      <c r="CYX6" s="474"/>
      <c r="CYY6" s="473"/>
      <c r="CYZ6" s="474"/>
      <c r="CZA6" s="473"/>
      <c r="CZB6" s="474"/>
      <c r="CZC6" s="473"/>
      <c r="CZD6" s="474"/>
      <c r="CZE6" s="473"/>
      <c r="CZF6" s="474"/>
      <c r="CZG6" s="473"/>
      <c r="CZH6" s="474"/>
      <c r="CZI6" s="473"/>
      <c r="CZJ6" s="474"/>
      <c r="CZK6" s="473"/>
      <c r="CZL6" s="474"/>
      <c r="CZM6" s="473"/>
      <c r="CZN6" s="474"/>
      <c r="CZO6" s="473"/>
      <c r="CZP6" s="474"/>
      <c r="CZQ6" s="473"/>
      <c r="CZR6" s="474"/>
      <c r="CZS6" s="473"/>
      <c r="CZT6" s="474"/>
      <c r="CZU6" s="473"/>
      <c r="CZV6" s="474"/>
      <c r="CZW6" s="473"/>
      <c r="CZX6" s="474"/>
      <c r="CZY6" s="473"/>
      <c r="CZZ6" s="474"/>
      <c r="DAA6" s="473"/>
      <c r="DAB6" s="474"/>
      <c r="DAC6" s="473"/>
      <c r="DAD6" s="474"/>
      <c r="DAE6" s="473"/>
      <c r="DAF6" s="474"/>
      <c r="DAG6" s="473"/>
      <c r="DAH6" s="474"/>
      <c r="DAI6" s="473"/>
      <c r="DAJ6" s="474"/>
      <c r="DAK6" s="473"/>
      <c r="DAL6" s="474"/>
      <c r="DAM6" s="473"/>
      <c r="DAN6" s="474"/>
      <c r="DAO6" s="473"/>
      <c r="DAP6" s="474"/>
      <c r="DAQ6" s="473"/>
      <c r="DAR6" s="474"/>
      <c r="DAS6" s="473"/>
      <c r="DAT6" s="474"/>
      <c r="DAU6" s="473"/>
      <c r="DAV6" s="474"/>
      <c r="DAW6" s="473"/>
      <c r="DAX6" s="474"/>
      <c r="DAY6" s="473"/>
      <c r="DAZ6" s="474"/>
      <c r="DBA6" s="473"/>
      <c r="DBB6" s="474"/>
      <c r="DBC6" s="473"/>
      <c r="DBD6" s="474"/>
      <c r="DBE6" s="473"/>
      <c r="DBF6" s="474"/>
      <c r="DBG6" s="473"/>
      <c r="DBH6" s="474"/>
      <c r="DBI6" s="473"/>
      <c r="DBJ6" s="474"/>
      <c r="DBK6" s="473"/>
      <c r="DBL6" s="474"/>
      <c r="DBM6" s="473"/>
      <c r="DBN6" s="474"/>
      <c r="DBO6" s="473"/>
      <c r="DBP6" s="474"/>
      <c r="DBQ6" s="473"/>
      <c r="DBR6" s="474"/>
      <c r="DBS6" s="473"/>
      <c r="DBT6" s="474"/>
      <c r="DBU6" s="473"/>
      <c r="DBV6" s="474"/>
      <c r="DBW6" s="473"/>
      <c r="DBX6" s="474"/>
      <c r="DBY6" s="473"/>
      <c r="DBZ6" s="474"/>
      <c r="DCA6" s="473"/>
      <c r="DCB6" s="474"/>
      <c r="DCC6" s="473"/>
      <c r="DCD6" s="474"/>
      <c r="DCE6" s="473"/>
      <c r="DCF6" s="474"/>
      <c r="DCG6" s="473"/>
      <c r="DCH6" s="474"/>
      <c r="DCI6" s="473"/>
      <c r="DCJ6" s="474"/>
      <c r="DCK6" s="473"/>
      <c r="DCL6" s="474"/>
      <c r="DCM6" s="473"/>
      <c r="DCN6" s="474"/>
      <c r="DCO6" s="473"/>
      <c r="DCP6" s="474"/>
      <c r="DCQ6" s="473"/>
      <c r="DCR6" s="474"/>
      <c r="DCS6" s="473"/>
      <c r="DCT6" s="474"/>
      <c r="DCU6" s="473"/>
      <c r="DCV6" s="474"/>
      <c r="DCW6" s="473"/>
      <c r="DCX6" s="474"/>
      <c r="DCY6" s="473"/>
      <c r="DCZ6" s="474"/>
      <c r="DDA6" s="473"/>
      <c r="DDB6" s="474"/>
      <c r="DDC6" s="473"/>
      <c r="DDD6" s="474"/>
      <c r="DDE6" s="473"/>
      <c r="DDF6" s="474"/>
      <c r="DDG6" s="473"/>
      <c r="DDH6" s="474"/>
      <c r="DDI6" s="473"/>
      <c r="DDJ6" s="474"/>
      <c r="DDK6" s="473"/>
      <c r="DDL6" s="474"/>
      <c r="DDM6" s="473"/>
      <c r="DDN6" s="474"/>
      <c r="DDO6" s="473"/>
      <c r="DDP6" s="474"/>
      <c r="DDQ6" s="473"/>
      <c r="DDR6" s="474"/>
      <c r="DDS6" s="473"/>
      <c r="DDT6" s="474"/>
      <c r="DDU6" s="473"/>
      <c r="DDV6" s="474"/>
      <c r="DDW6" s="473"/>
      <c r="DDX6" s="474"/>
      <c r="DDY6" s="473"/>
      <c r="DDZ6" s="474"/>
      <c r="DEA6" s="473"/>
      <c r="DEB6" s="474"/>
      <c r="DEC6" s="473"/>
      <c r="DED6" s="474"/>
      <c r="DEE6" s="473"/>
      <c r="DEF6" s="474"/>
      <c r="DEG6" s="473"/>
      <c r="DEH6" s="474"/>
      <c r="DEI6" s="473"/>
      <c r="DEJ6" s="474"/>
      <c r="DEK6" s="473"/>
      <c r="DEL6" s="474"/>
      <c r="DEM6" s="473"/>
      <c r="DEN6" s="474"/>
      <c r="DEO6" s="473"/>
      <c r="DEP6" s="474"/>
      <c r="DEQ6" s="473"/>
      <c r="DER6" s="474"/>
      <c r="DES6" s="473"/>
      <c r="DET6" s="474"/>
      <c r="DEU6" s="473"/>
      <c r="DEV6" s="474"/>
      <c r="DEW6" s="473"/>
      <c r="DEX6" s="474"/>
      <c r="DEY6" s="473"/>
      <c r="DEZ6" s="474"/>
      <c r="DFA6" s="473"/>
      <c r="DFB6" s="474"/>
      <c r="DFC6" s="473"/>
      <c r="DFD6" s="474"/>
      <c r="DFE6" s="473"/>
      <c r="DFF6" s="474"/>
      <c r="DFG6" s="473"/>
      <c r="DFH6" s="474"/>
      <c r="DFI6" s="473"/>
      <c r="DFJ6" s="474"/>
      <c r="DFK6" s="473"/>
      <c r="DFL6" s="474"/>
      <c r="DFM6" s="473"/>
      <c r="DFN6" s="474"/>
      <c r="DFO6" s="473"/>
      <c r="DFP6" s="474"/>
      <c r="DFQ6" s="473"/>
      <c r="DFR6" s="474"/>
      <c r="DFS6" s="473"/>
      <c r="DFT6" s="474"/>
      <c r="DFU6" s="473"/>
      <c r="DFV6" s="474"/>
      <c r="DFW6" s="473"/>
      <c r="DFX6" s="474"/>
      <c r="DFY6" s="473"/>
      <c r="DFZ6" s="474"/>
      <c r="DGA6" s="473"/>
      <c r="DGB6" s="474"/>
      <c r="DGC6" s="473"/>
      <c r="DGD6" s="474"/>
      <c r="DGE6" s="473"/>
      <c r="DGF6" s="474"/>
      <c r="DGG6" s="473"/>
      <c r="DGH6" s="474"/>
      <c r="DGI6" s="473"/>
      <c r="DGJ6" s="474"/>
      <c r="DGK6" s="473"/>
      <c r="DGL6" s="474"/>
      <c r="DGM6" s="473"/>
      <c r="DGN6" s="474"/>
      <c r="DGO6" s="473"/>
      <c r="DGP6" s="474"/>
      <c r="DGQ6" s="473"/>
      <c r="DGR6" s="474"/>
      <c r="DGS6" s="473"/>
      <c r="DGT6" s="474"/>
      <c r="DGU6" s="473"/>
      <c r="DGV6" s="474"/>
      <c r="DGW6" s="473"/>
      <c r="DGX6" s="474"/>
      <c r="DGY6" s="473"/>
      <c r="DGZ6" s="474"/>
      <c r="DHA6" s="473"/>
      <c r="DHB6" s="474"/>
      <c r="DHC6" s="473"/>
      <c r="DHD6" s="474"/>
      <c r="DHE6" s="473"/>
      <c r="DHF6" s="474"/>
      <c r="DHG6" s="473"/>
      <c r="DHH6" s="474"/>
      <c r="DHI6" s="473"/>
      <c r="DHJ6" s="474"/>
      <c r="DHK6" s="473"/>
      <c r="DHL6" s="474"/>
      <c r="DHM6" s="473"/>
      <c r="DHN6" s="474"/>
      <c r="DHO6" s="473"/>
      <c r="DHP6" s="474"/>
      <c r="DHQ6" s="473"/>
      <c r="DHR6" s="474"/>
      <c r="DHS6" s="473"/>
      <c r="DHT6" s="474"/>
      <c r="DHU6" s="473"/>
      <c r="DHV6" s="474"/>
      <c r="DHW6" s="473"/>
      <c r="DHX6" s="474"/>
      <c r="DHY6" s="473"/>
      <c r="DHZ6" s="474"/>
      <c r="DIA6" s="473"/>
      <c r="DIB6" s="474"/>
      <c r="DIC6" s="473"/>
      <c r="DID6" s="474"/>
      <c r="DIE6" s="473"/>
      <c r="DIF6" s="474"/>
      <c r="DIG6" s="473"/>
      <c r="DIH6" s="474"/>
      <c r="DII6" s="473"/>
      <c r="DIJ6" s="474"/>
      <c r="DIK6" s="473"/>
      <c r="DIL6" s="474"/>
      <c r="DIM6" s="473"/>
      <c r="DIN6" s="474"/>
      <c r="DIO6" s="473"/>
      <c r="DIP6" s="474"/>
      <c r="DIQ6" s="473"/>
      <c r="DIR6" s="474"/>
      <c r="DIS6" s="473"/>
      <c r="DIT6" s="474"/>
      <c r="DIU6" s="473"/>
      <c r="DIV6" s="474"/>
      <c r="DIW6" s="473"/>
      <c r="DIX6" s="474"/>
      <c r="DIY6" s="473"/>
      <c r="DIZ6" s="474"/>
      <c r="DJA6" s="473"/>
      <c r="DJB6" s="474"/>
      <c r="DJC6" s="473"/>
      <c r="DJD6" s="474"/>
      <c r="DJE6" s="473"/>
      <c r="DJF6" s="474"/>
      <c r="DJG6" s="473"/>
      <c r="DJH6" s="474"/>
      <c r="DJI6" s="473"/>
      <c r="DJJ6" s="474"/>
      <c r="DJK6" s="473"/>
      <c r="DJL6" s="474"/>
      <c r="DJM6" s="473"/>
      <c r="DJN6" s="474"/>
      <c r="DJO6" s="473"/>
      <c r="DJP6" s="474"/>
      <c r="DJQ6" s="473"/>
      <c r="DJR6" s="474"/>
      <c r="DJS6" s="473"/>
      <c r="DJT6" s="474"/>
      <c r="DJU6" s="473"/>
      <c r="DJV6" s="474"/>
      <c r="DJW6" s="473"/>
      <c r="DJX6" s="474"/>
      <c r="DJY6" s="473"/>
      <c r="DJZ6" s="474"/>
      <c r="DKA6" s="473"/>
      <c r="DKB6" s="474"/>
      <c r="DKC6" s="473"/>
      <c r="DKD6" s="474"/>
      <c r="DKE6" s="473"/>
      <c r="DKF6" s="474"/>
      <c r="DKG6" s="473"/>
      <c r="DKH6" s="474"/>
      <c r="DKI6" s="473"/>
      <c r="DKJ6" s="474"/>
      <c r="DKK6" s="473"/>
      <c r="DKL6" s="474"/>
      <c r="DKM6" s="473"/>
      <c r="DKN6" s="474"/>
      <c r="DKO6" s="473"/>
      <c r="DKP6" s="474"/>
      <c r="DKQ6" s="473"/>
      <c r="DKR6" s="474"/>
      <c r="DKS6" s="473"/>
      <c r="DKT6" s="474"/>
      <c r="DKU6" s="473"/>
      <c r="DKV6" s="474"/>
      <c r="DKW6" s="473"/>
      <c r="DKX6" s="474"/>
      <c r="DKY6" s="473"/>
      <c r="DKZ6" s="474"/>
      <c r="DLA6" s="473"/>
      <c r="DLB6" s="474"/>
      <c r="DLC6" s="473"/>
      <c r="DLD6" s="474"/>
      <c r="DLE6" s="473"/>
      <c r="DLF6" s="474"/>
      <c r="DLG6" s="473"/>
      <c r="DLH6" s="474"/>
      <c r="DLI6" s="473"/>
      <c r="DLJ6" s="474"/>
      <c r="DLK6" s="473"/>
      <c r="DLL6" s="474"/>
      <c r="DLM6" s="473"/>
      <c r="DLN6" s="474"/>
      <c r="DLO6" s="473"/>
      <c r="DLP6" s="474"/>
      <c r="DLQ6" s="473"/>
      <c r="DLR6" s="474"/>
      <c r="DLS6" s="473"/>
      <c r="DLT6" s="474"/>
      <c r="DLU6" s="473"/>
      <c r="DLV6" s="474"/>
      <c r="DLW6" s="473"/>
      <c r="DLX6" s="474"/>
      <c r="DLY6" s="473"/>
      <c r="DLZ6" s="474"/>
      <c r="DMA6" s="473"/>
      <c r="DMB6" s="474"/>
      <c r="DMC6" s="473"/>
      <c r="DMD6" s="474"/>
      <c r="DME6" s="473"/>
      <c r="DMF6" s="474"/>
      <c r="DMG6" s="473"/>
      <c r="DMH6" s="474"/>
      <c r="DMI6" s="473"/>
      <c r="DMJ6" s="474"/>
      <c r="DMK6" s="473"/>
      <c r="DML6" s="474"/>
      <c r="DMM6" s="473"/>
      <c r="DMN6" s="474"/>
      <c r="DMO6" s="473"/>
      <c r="DMP6" s="474"/>
      <c r="DMQ6" s="473"/>
      <c r="DMR6" s="474"/>
      <c r="DMS6" s="473"/>
      <c r="DMT6" s="474"/>
      <c r="DMU6" s="473"/>
      <c r="DMV6" s="474"/>
      <c r="DMW6" s="473"/>
      <c r="DMX6" s="474"/>
      <c r="DMY6" s="473"/>
      <c r="DMZ6" s="474"/>
      <c r="DNA6" s="473"/>
      <c r="DNB6" s="474"/>
      <c r="DNC6" s="473"/>
      <c r="DND6" s="474"/>
      <c r="DNE6" s="473"/>
      <c r="DNF6" s="474"/>
      <c r="DNG6" s="473"/>
      <c r="DNH6" s="474"/>
      <c r="DNI6" s="473"/>
      <c r="DNJ6" s="474"/>
      <c r="DNK6" s="473"/>
      <c r="DNL6" s="474"/>
      <c r="DNM6" s="473"/>
      <c r="DNN6" s="474"/>
      <c r="DNO6" s="473"/>
      <c r="DNP6" s="474"/>
      <c r="DNQ6" s="473"/>
      <c r="DNR6" s="474"/>
      <c r="DNS6" s="473"/>
      <c r="DNT6" s="474"/>
      <c r="DNU6" s="473"/>
      <c r="DNV6" s="474"/>
      <c r="DNW6" s="473"/>
      <c r="DNX6" s="474"/>
      <c r="DNY6" s="473"/>
      <c r="DNZ6" s="474"/>
      <c r="DOA6" s="473"/>
      <c r="DOB6" s="474"/>
      <c r="DOC6" s="473"/>
      <c r="DOD6" s="474"/>
      <c r="DOE6" s="473"/>
      <c r="DOF6" s="474"/>
      <c r="DOG6" s="473"/>
      <c r="DOH6" s="474"/>
      <c r="DOI6" s="473"/>
      <c r="DOJ6" s="474"/>
      <c r="DOK6" s="473"/>
      <c r="DOL6" s="474"/>
      <c r="DOM6" s="473"/>
      <c r="DON6" s="474"/>
      <c r="DOO6" s="473"/>
      <c r="DOP6" s="474"/>
      <c r="DOQ6" s="473"/>
      <c r="DOR6" s="474"/>
      <c r="DOS6" s="473"/>
      <c r="DOT6" s="474"/>
      <c r="DOU6" s="473"/>
      <c r="DOV6" s="474"/>
      <c r="DOW6" s="473"/>
      <c r="DOX6" s="474"/>
      <c r="DOY6" s="473"/>
      <c r="DOZ6" s="474"/>
      <c r="DPA6" s="473"/>
      <c r="DPB6" s="474"/>
      <c r="DPC6" s="473"/>
      <c r="DPD6" s="474"/>
      <c r="DPE6" s="473"/>
      <c r="DPF6" s="474"/>
      <c r="DPG6" s="473"/>
      <c r="DPH6" s="474"/>
      <c r="DPI6" s="473"/>
      <c r="DPJ6" s="474"/>
      <c r="DPK6" s="473"/>
      <c r="DPL6" s="474"/>
      <c r="DPM6" s="473"/>
      <c r="DPN6" s="474"/>
      <c r="DPO6" s="473"/>
      <c r="DPP6" s="474"/>
      <c r="DPQ6" s="473"/>
      <c r="DPR6" s="474"/>
      <c r="DPS6" s="473"/>
      <c r="DPT6" s="474"/>
      <c r="DPU6" s="473"/>
      <c r="DPV6" s="474"/>
      <c r="DPW6" s="473"/>
      <c r="DPX6" s="474"/>
      <c r="DPY6" s="473"/>
      <c r="DPZ6" s="474"/>
      <c r="DQA6" s="473"/>
      <c r="DQB6" s="474"/>
      <c r="DQC6" s="473"/>
      <c r="DQD6" s="474"/>
      <c r="DQE6" s="473"/>
      <c r="DQF6" s="474"/>
      <c r="DQG6" s="473"/>
      <c r="DQH6" s="474"/>
      <c r="DQI6" s="473"/>
      <c r="DQJ6" s="474"/>
      <c r="DQK6" s="473"/>
      <c r="DQL6" s="474"/>
      <c r="DQM6" s="473"/>
      <c r="DQN6" s="474"/>
      <c r="DQO6" s="473"/>
      <c r="DQP6" s="474"/>
      <c r="DQQ6" s="473"/>
      <c r="DQR6" s="474"/>
      <c r="DQS6" s="473"/>
      <c r="DQT6" s="474"/>
      <c r="DQU6" s="473"/>
      <c r="DQV6" s="474"/>
      <c r="DQW6" s="473"/>
      <c r="DQX6" s="474"/>
      <c r="DQY6" s="473"/>
      <c r="DQZ6" s="474"/>
      <c r="DRA6" s="473"/>
      <c r="DRB6" s="474"/>
      <c r="DRC6" s="473"/>
      <c r="DRD6" s="474"/>
      <c r="DRE6" s="473"/>
      <c r="DRF6" s="474"/>
      <c r="DRG6" s="473"/>
      <c r="DRH6" s="474"/>
      <c r="DRI6" s="473"/>
      <c r="DRJ6" s="474"/>
      <c r="DRK6" s="473"/>
      <c r="DRL6" s="474"/>
      <c r="DRM6" s="473"/>
      <c r="DRN6" s="474"/>
      <c r="DRO6" s="473"/>
      <c r="DRP6" s="474"/>
      <c r="DRQ6" s="473"/>
      <c r="DRR6" s="474"/>
      <c r="DRS6" s="473"/>
      <c r="DRT6" s="474"/>
      <c r="DRU6" s="473"/>
      <c r="DRV6" s="474"/>
      <c r="DRW6" s="473"/>
      <c r="DRX6" s="474"/>
      <c r="DRY6" s="473"/>
      <c r="DRZ6" s="474"/>
      <c r="DSA6" s="473"/>
      <c r="DSB6" s="474"/>
      <c r="DSC6" s="473"/>
      <c r="DSD6" s="474"/>
      <c r="DSE6" s="473"/>
      <c r="DSF6" s="474"/>
      <c r="DSG6" s="473"/>
      <c r="DSH6" s="474"/>
      <c r="DSI6" s="473"/>
      <c r="DSJ6" s="474"/>
      <c r="DSK6" s="473"/>
      <c r="DSL6" s="474"/>
      <c r="DSM6" s="473"/>
      <c r="DSN6" s="474"/>
      <c r="DSO6" s="473"/>
      <c r="DSP6" s="474"/>
      <c r="DSQ6" s="473"/>
      <c r="DSR6" s="474"/>
      <c r="DSS6" s="473"/>
      <c r="DST6" s="474"/>
      <c r="DSU6" s="473"/>
      <c r="DSV6" s="474"/>
      <c r="DSW6" s="473"/>
      <c r="DSX6" s="474"/>
      <c r="DSY6" s="473"/>
      <c r="DSZ6" s="474"/>
      <c r="DTA6" s="473"/>
      <c r="DTB6" s="474"/>
      <c r="DTC6" s="473"/>
      <c r="DTD6" s="474"/>
      <c r="DTE6" s="473"/>
      <c r="DTF6" s="474"/>
      <c r="DTG6" s="473"/>
      <c r="DTH6" s="474"/>
      <c r="DTI6" s="473"/>
      <c r="DTJ6" s="474"/>
      <c r="DTK6" s="473"/>
      <c r="DTL6" s="474"/>
      <c r="DTM6" s="473"/>
      <c r="DTN6" s="474"/>
      <c r="DTO6" s="473"/>
      <c r="DTP6" s="474"/>
      <c r="DTQ6" s="473"/>
      <c r="DTR6" s="474"/>
      <c r="DTS6" s="473"/>
      <c r="DTT6" s="474"/>
      <c r="DTU6" s="473"/>
      <c r="DTV6" s="474"/>
      <c r="DTW6" s="473"/>
      <c r="DTX6" s="474"/>
      <c r="DTY6" s="473"/>
      <c r="DTZ6" s="474"/>
      <c r="DUA6" s="473"/>
      <c r="DUB6" s="474"/>
      <c r="DUC6" s="473"/>
      <c r="DUD6" s="474"/>
      <c r="DUE6" s="473"/>
      <c r="DUF6" s="474"/>
      <c r="DUG6" s="473"/>
      <c r="DUH6" s="474"/>
      <c r="DUI6" s="473"/>
      <c r="DUJ6" s="474"/>
      <c r="DUK6" s="473"/>
      <c r="DUL6" s="474"/>
      <c r="DUM6" s="473"/>
      <c r="DUN6" s="474"/>
      <c r="DUO6" s="473"/>
      <c r="DUP6" s="474"/>
      <c r="DUQ6" s="473"/>
      <c r="DUR6" s="474"/>
      <c r="DUS6" s="473"/>
      <c r="DUT6" s="474"/>
      <c r="DUU6" s="473"/>
      <c r="DUV6" s="474"/>
      <c r="DUW6" s="473"/>
      <c r="DUX6" s="474"/>
      <c r="DUY6" s="473"/>
      <c r="DUZ6" s="474"/>
      <c r="DVA6" s="473"/>
      <c r="DVB6" s="474"/>
      <c r="DVC6" s="473"/>
      <c r="DVD6" s="474"/>
      <c r="DVE6" s="473"/>
      <c r="DVF6" s="474"/>
      <c r="DVG6" s="473"/>
      <c r="DVH6" s="474"/>
      <c r="DVI6" s="473"/>
      <c r="DVJ6" s="474"/>
      <c r="DVK6" s="473"/>
      <c r="DVL6" s="474"/>
      <c r="DVM6" s="473"/>
      <c r="DVN6" s="474"/>
      <c r="DVO6" s="473"/>
      <c r="DVP6" s="474"/>
      <c r="DVQ6" s="473"/>
      <c r="DVR6" s="474"/>
      <c r="DVS6" s="473"/>
      <c r="DVT6" s="474"/>
      <c r="DVU6" s="473"/>
      <c r="DVV6" s="474"/>
      <c r="DVW6" s="473"/>
      <c r="DVX6" s="474"/>
      <c r="DVY6" s="473"/>
      <c r="DVZ6" s="474"/>
      <c r="DWA6" s="473"/>
      <c r="DWB6" s="474"/>
      <c r="DWC6" s="473"/>
      <c r="DWD6" s="474"/>
      <c r="DWE6" s="473"/>
      <c r="DWF6" s="474"/>
      <c r="DWG6" s="473"/>
      <c r="DWH6" s="474"/>
      <c r="DWI6" s="473"/>
      <c r="DWJ6" s="474"/>
      <c r="DWK6" s="473"/>
      <c r="DWL6" s="474"/>
      <c r="DWM6" s="473"/>
      <c r="DWN6" s="474"/>
      <c r="DWO6" s="473"/>
      <c r="DWP6" s="474"/>
      <c r="DWQ6" s="473"/>
      <c r="DWR6" s="474"/>
      <c r="DWS6" s="473"/>
      <c r="DWT6" s="474"/>
      <c r="DWU6" s="473"/>
      <c r="DWV6" s="474"/>
      <c r="DWW6" s="473"/>
      <c r="DWX6" s="474"/>
      <c r="DWY6" s="473"/>
      <c r="DWZ6" s="474"/>
      <c r="DXA6" s="473"/>
      <c r="DXB6" s="474"/>
      <c r="DXC6" s="473"/>
      <c r="DXD6" s="474"/>
      <c r="DXE6" s="473"/>
      <c r="DXF6" s="474"/>
      <c r="DXG6" s="473"/>
      <c r="DXH6" s="474"/>
      <c r="DXI6" s="473"/>
      <c r="DXJ6" s="474"/>
      <c r="DXK6" s="473"/>
      <c r="DXL6" s="474"/>
      <c r="DXM6" s="473"/>
      <c r="DXN6" s="474"/>
      <c r="DXO6" s="473"/>
      <c r="DXP6" s="474"/>
      <c r="DXQ6" s="473"/>
      <c r="DXR6" s="474"/>
      <c r="DXS6" s="473"/>
      <c r="DXT6" s="474"/>
      <c r="DXU6" s="473"/>
      <c r="DXV6" s="474"/>
      <c r="DXW6" s="473"/>
      <c r="DXX6" s="474"/>
      <c r="DXY6" s="473"/>
      <c r="DXZ6" s="474"/>
      <c r="DYA6" s="473"/>
      <c r="DYB6" s="474"/>
      <c r="DYC6" s="473"/>
      <c r="DYD6" s="474"/>
      <c r="DYE6" s="473"/>
      <c r="DYF6" s="474"/>
      <c r="DYG6" s="473"/>
      <c r="DYH6" s="474"/>
      <c r="DYI6" s="473"/>
      <c r="DYJ6" s="474"/>
      <c r="DYK6" s="473"/>
      <c r="DYL6" s="474"/>
      <c r="DYM6" s="473"/>
      <c r="DYN6" s="474"/>
      <c r="DYO6" s="473"/>
      <c r="DYP6" s="474"/>
      <c r="DYQ6" s="473"/>
      <c r="DYR6" s="474"/>
      <c r="DYS6" s="473"/>
      <c r="DYT6" s="474"/>
      <c r="DYU6" s="473"/>
      <c r="DYV6" s="474"/>
      <c r="DYW6" s="473"/>
      <c r="DYX6" s="474"/>
      <c r="DYY6" s="473"/>
      <c r="DYZ6" s="474"/>
      <c r="DZA6" s="473"/>
      <c r="DZB6" s="474"/>
      <c r="DZC6" s="473"/>
      <c r="DZD6" s="474"/>
      <c r="DZE6" s="473"/>
      <c r="DZF6" s="474"/>
      <c r="DZG6" s="473"/>
      <c r="DZH6" s="474"/>
      <c r="DZI6" s="473"/>
      <c r="DZJ6" s="474"/>
      <c r="DZK6" s="473"/>
      <c r="DZL6" s="474"/>
      <c r="DZM6" s="473"/>
      <c r="DZN6" s="474"/>
      <c r="DZO6" s="473"/>
      <c r="DZP6" s="474"/>
      <c r="DZQ6" s="473"/>
      <c r="DZR6" s="474"/>
      <c r="DZS6" s="473"/>
      <c r="DZT6" s="474"/>
      <c r="DZU6" s="473"/>
      <c r="DZV6" s="474"/>
      <c r="DZW6" s="473"/>
      <c r="DZX6" s="474"/>
      <c r="DZY6" s="473"/>
      <c r="DZZ6" s="474"/>
      <c r="EAA6" s="473"/>
      <c r="EAB6" s="474"/>
      <c r="EAC6" s="473"/>
      <c r="EAD6" s="474"/>
      <c r="EAE6" s="473"/>
      <c r="EAF6" s="474"/>
      <c r="EAG6" s="473"/>
      <c r="EAH6" s="474"/>
      <c r="EAI6" s="473"/>
      <c r="EAJ6" s="474"/>
      <c r="EAK6" s="473"/>
      <c r="EAL6" s="474"/>
      <c r="EAM6" s="473"/>
      <c r="EAN6" s="474"/>
      <c r="EAO6" s="473"/>
      <c r="EAP6" s="474"/>
      <c r="EAQ6" s="473"/>
      <c r="EAR6" s="474"/>
      <c r="EAS6" s="473"/>
      <c r="EAT6" s="474"/>
      <c r="EAU6" s="473"/>
      <c r="EAV6" s="474"/>
      <c r="EAW6" s="473"/>
      <c r="EAX6" s="474"/>
      <c r="EAY6" s="473"/>
      <c r="EAZ6" s="474"/>
      <c r="EBA6" s="473"/>
      <c r="EBB6" s="474"/>
      <c r="EBC6" s="473"/>
      <c r="EBD6" s="474"/>
      <c r="EBE6" s="473"/>
      <c r="EBF6" s="474"/>
      <c r="EBG6" s="473"/>
      <c r="EBH6" s="474"/>
      <c r="EBI6" s="473"/>
      <c r="EBJ6" s="474"/>
      <c r="EBK6" s="473"/>
      <c r="EBL6" s="474"/>
      <c r="EBM6" s="473"/>
      <c r="EBN6" s="474"/>
      <c r="EBO6" s="473"/>
      <c r="EBP6" s="474"/>
      <c r="EBQ6" s="473"/>
      <c r="EBR6" s="474"/>
      <c r="EBS6" s="473"/>
      <c r="EBT6" s="474"/>
      <c r="EBU6" s="473"/>
      <c r="EBV6" s="474"/>
      <c r="EBW6" s="473"/>
      <c r="EBX6" s="474"/>
      <c r="EBY6" s="473"/>
      <c r="EBZ6" s="474"/>
      <c r="ECA6" s="473"/>
      <c r="ECB6" s="474"/>
      <c r="ECC6" s="473"/>
      <c r="ECD6" s="474"/>
      <c r="ECE6" s="473"/>
      <c r="ECF6" s="474"/>
      <c r="ECG6" s="473"/>
      <c r="ECH6" s="474"/>
      <c r="ECI6" s="473"/>
      <c r="ECJ6" s="474"/>
      <c r="ECK6" s="473"/>
      <c r="ECL6" s="474"/>
      <c r="ECM6" s="473"/>
      <c r="ECN6" s="474"/>
      <c r="ECO6" s="473"/>
      <c r="ECP6" s="474"/>
      <c r="ECQ6" s="473"/>
      <c r="ECR6" s="474"/>
      <c r="ECS6" s="473"/>
      <c r="ECT6" s="474"/>
      <c r="ECU6" s="473"/>
      <c r="ECV6" s="474"/>
      <c r="ECW6" s="473"/>
      <c r="ECX6" s="474"/>
      <c r="ECY6" s="473"/>
      <c r="ECZ6" s="474"/>
      <c r="EDA6" s="473"/>
      <c r="EDB6" s="474"/>
      <c r="EDC6" s="473"/>
      <c r="EDD6" s="474"/>
      <c r="EDE6" s="473"/>
      <c r="EDF6" s="474"/>
      <c r="EDG6" s="473"/>
      <c r="EDH6" s="474"/>
      <c r="EDI6" s="473"/>
      <c r="EDJ6" s="474"/>
      <c r="EDK6" s="473"/>
      <c r="EDL6" s="474"/>
      <c r="EDM6" s="473"/>
      <c r="EDN6" s="474"/>
      <c r="EDO6" s="473"/>
      <c r="EDP6" s="474"/>
      <c r="EDQ6" s="473"/>
      <c r="EDR6" s="474"/>
      <c r="EDS6" s="473"/>
      <c r="EDT6" s="474"/>
      <c r="EDU6" s="473"/>
      <c r="EDV6" s="474"/>
      <c r="EDW6" s="473"/>
      <c r="EDX6" s="474"/>
      <c r="EDY6" s="473"/>
      <c r="EDZ6" s="474"/>
      <c r="EEA6" s="473"/>
      <c r="EEB6" s="474"/>
      <c r="EEC6" s="473"/>
      <c r="EED6" s="474"/>
      <c r="EEE6" s="473"/>
      <c r="EEF6" s="474"/>
      <c r="EEG6" s="473"/>
      <c r="EEH6" s="474"/>
      <c r="EEI6" s="473"/>
      <c r="EEJ6" s="474"/>
      <c r="EEK6" s="473"/>
      <c r="EEL6" s="474"/>
      <c r="EEM6" s="473"/>
      <c r="EEN6" s="474"/>
      <c r="EEO6" s="473"/>
      <c r="EEP6" s="474"/>
      <c r="EEQ6" s="473"/>
      <c r="EER6" s="474"/>
      <c r="EES6" s="473"/>
      <c r="EET6" s="474"/>
      <c r="EEU6" s="473"/>
      <c r="EEV6" s="474"/>
      <c r="EEW6" s="473"/>
      <c r="EEX6" s="474"/>
      <c r="EEY6" s="473"/>
      <c r="EEZ6" s="474"/>
      <c r="EFA6" s="473"/>
      <c r="EFB6" s="474"/>
      <c r="EFC6" s="473"/>
      <c r="EFD6" s="474"/>
      <c r="EFE6" s="473"/>
      <c r="EFF6" s="474"/>
      <c r="EFG6" s="473"/>
      <c r="EFH6" s="474"/>
      <c r="EFI6" s="473"/>
      <c r="EFJ6" s="474"/>
      <c r="EFK6" s="473"/>
      <c r="EFL6" s="474"/>
      <c r="EFM6" s="473"/>
      <c r="EFN6" s="474"/>
      <c r="EFO6" s="473"/>
      <c r="EFP6" s="474"/>
      <c r="EFQ6" s="473"/>
      <c r="EFR6" s="474"/>
      <c r="EFS6" s="473"/>
      <c r="EFT6" s="474"/>
      <c r="EFU6" s="473"/>
      <c r="EFV6" s="474"/>
      <c r="EFW6" s="473"/>
      <c r="EFX6" s="474"/>
      <c r="EFY6" s="473"/>
      <c r="EFZ6" s="474"/>
      <c r="EGA6" s="473"/>
      <c r="EGB6" s="474"/>
      <c r="EGC6" s="473"/>
      <c r="EGD6" s="474"/>
      <c r="EGE6" s="473"/>
      <c r="EGF6" s="474"/>
      <c r="EGG6" s="473"/>
      <c r="EGH6" s="474"/>
      <c r="EGI6" s="473"/>
      <c r="EGJ6" s="474"/>
      <c r="EGK6" s="473"/>
      <c r="EGL6" s="474"/>
      <c r="EGM6" s="473"/>
      <c r="EGN6" s="474"/>
      <c r="EGO6" s="473"/>
      <c r="EGP6" s="474"/>
      <c r="EGQ6" s="473"/>
      <c r="EGR6" s="474"/>
      <c r="EGS6" s="473"/>
      <c r="EGT6" s="474"/>
      <c r="EGU6" s="473"/>
      <c r="EGV6" s="474"/>
      <c r="EGW6" s="473"/>
      <c r="EGX6" s="474"/>
      <c r="EGY6" s="473"/>
      <c r="EGZ6" s="474"/>
      <c r="EHA6" s="473"/>
      <c r="EHB6" s="474"/>
      <c r="EHC6" s="473"/>
      <c r="EHD6" s="474"/>
      <c r="EHE6" s="473"/>
      <c r="EHF6" s="474"/>
      <c r="EHG6" s="473"/>
      <c r="EHH6" s="474"/>
      <c r="EHI6" s="473"/>
      <c r="EHJ6" s="474"/>
      <c r="EHK6" s="473"/>
      <c r="EHL6" s="474"/>
      <c r="EHM6" s="473"/>
      <c r="EHN6" s="474"/>
      <c r="EHO6" s="473"/>
      <c r="EHP6" s="474"/>
      <c r="EHQ6" s="473"/>
      <c r="EHR6" s="474"/>
      <c r="EHS6" s="473"/>
      <c r="EHT6" s="474"/>
      <c r="EHU6" s="473"/>
      <c r="EHV6" s="474"/>
      <c r="EHW6" s="473"/>
      <c r="EHX6" s="474"/>
      <c r="EHY6" s="473"/>
      <c r="EHZ6" s="474"/>
      <c r="EIA6" s="473"/>
      <c r="EIB6" s="474"/>
      <c r="EIC6" s="473"/>
      <c r="EID6" s="474"/>
      <c r="EIE6" s="473"/>
      <c r="EIF6" s="474"/>
      <c r="EIG6" s="473"/>
      <c r="EIH6" s="474"/>
      <c r="EII6" s="473"/>
      <c r="EIJ6" s="474"/>
      <c r="EIK6" s="473"/>
      <c r="EIL6" s="474"/>
      <c r="EIM6" s="473"/>
      <c r="EIN6" s="474"/>
      <c r="EIO6" s="473"/>
      <c r="EIP6" s="474"/>
      <c r="EIQ6" s="473"/>
      <c r="EIR6" s="474"/>
      <c r="EIS6" s="473"/>
      <c r="EIT6" s="474"/>
      <c r="EIU6" s="473"/>
      <c r="EIV6" s="474"/>
      <c r="EIW6" s="473"/>
      <c r="EIX6" s="474"/>
      <c r="EIY6" s="473"/>
      <c r="EIZ6" s="474"/>
      <c r="EJA6" s="473"/>
      <c r="EJB6" s="474"/>
      <c r="EJC6" s="473"/>
      <c r="EJD6" s="474"/>
      <c r="EJE6" s="473"/>
      <c r="EJF6" s="474"/>
      <c r="EJG6" s="473"/>
      <c r="EJH6" s="474"/>
      <c r="EJI6" s="473"/>
      <c r="EJJ6" s="474"/>
      <c r="EJK6" s="473"/>
      <c r="EJL6" s="474"/>
      <c r="EJM6" s="473"/>
      <c r="EJN6" s="474"/>
      <c r="EJO6" s="473"/>
      <c r="EJP6" s="474"/>
      <c r="EJQ6" s="473"/>
      <c r="EJR6" s="474"/>
      <c r="EJS6" s="473"/>
      <c r="EJT6" s="474"/>
      <c r="EJU6" s="473"/>
      <c r="EJV6" s="474"/>
      <c r="EJW6" s="473"/>
      <c r="EJX6" s="474"/>
      <c r="EJY6" s="473"/>
      <c r="EJZ6" s="474"/>
      <c r="EKA6" s="473"/>
      <c r="EKB6" s="474"/>
      <c r="EKC6" s="473"/>
      <c r="EKD6" s="474"/>
      <c r="EKE6" s="473"/>
      <c r="EKF6" s="474"/>
      <c r="EKG6" s="473"/>
      <c r="EKH6" s="474"/>
      <c r="EKI6" s="473"/>
      <c r="EKJ6" s="474"/>
      <c r="EKK6" s="473"/>
      <c r="EKL6" s="474"/>
      <c r="EKM6" s="473"/>
      <c r="EKN6" s="474"/>
      <c r="EKO6" s="473"/>
      <c r="EKP6" s="474"/>
      <c r="EKQ6" s="473"/>
      <c r="EKR6" s="474"/>
      <c r="EKS6" s="473"/>
      <c r="EKT6" s="474"/>
      <c r="EKU6" s="473"/>
      <c r="EKV6" s="474"/>
      <c r="EKW6" s="473"/>
      <c r="EKX6" s="474"/>
      <c r="EKY6" s="473"/>
      <c r="EKZ6" s="474"/>
      <c r="ELA6" s="473"/>
      <c r="ELB6" s="474"/>
      <c r="ELC6" s="473"/>
      <c r="ELD6" s="474"/>
      <c r="ELE6" s="473"/>
      <c r="ELF6" s="474"/>
      <c r="ELG6" s="473"/>
      <c r="ELH6" s="474"/>
      <c r="ELI6" s="473"/>
      <c r="ELJ6" s="474"/>
      <c r="ELK6" s="473"/>
      <c r="ELL6" s="474"/>
      <c r="ELM6" s="473"/>
      <c r="ELN6" s="474"/>
      <c r="ELO6" s="473"/>
      <c r="ELP6" s="474"/>
      <c r="ELQ6" s="473"/>
      <c r="ELR6" s="474"/>
      <c r="ELS6" s="473"/>
      <c r="ELT6" s="474"/>
      <c r="ELU6" s="473"/>
      <c r="ELV6" s="474"/>
      <c r="ELW6" s="473"/>
      <c r="ELX6" s="474"/>
      <c r="ELY6" s="473"/>
      <c r="ELZ6" s="474"/>
      <c r="EMA6" s="473"/>
      <c r="EMB6" s="474"/>
      <c r="EMC6" s="473"/>
      <c r="EMD6" s="474"/>
      <c r="EME6" s="473"/>
      <c r="EMF6" s="474"/>
      <c r="EMG6" s="473"/>
      <c r="EMH6" s="474"/>
      <c r="EMI6" s="473"/>
      <c r="EMJ6" s="474"/>
      <c r="EMK6" s="473"/>
      <c r="EML6" s="474"/>
      <c r="EMM6" s="473"/>
      <c r="EMN6" s="474"/>
      <c r="EMO6" s="473"/>
      <c r="EMP6" s="474"/>
      <c r="EMQ6" s="473"/>
      <c r="EMR6" s="474"/>
      <c r="EMS6" s="473"/>
      <c r="EMT6" s="474"/>
      <c r="EMU6" s="473"/>
      <c r="EMV6" s="474"/>
      <c r="EMW6" s="473"/>
      <c r="EMX6" s="474"/>
      <c r="EMY6" s="473"/>
      <c r="EMZ6" s="474"/>
      <c r="ENA6" s="473"/>
      <c r="ENB6" s="474"/>
      <c r="ENC6" s="473"/>
      <c r="END6" s="474"/>
      <c r="ENE6" s="473"/>
      <c r="ENF6" s="474"/>
      <c r="ENG6" s="473"/>
      <c r="ENH6" s="474"/>
      <c r="ENI6" s="473"/>
      <c r="ENJ6" s="474"/>
      <c r="ENK6" s="473"/>
      <c r="ENL6" s="474"/>
      <c r="ENM6" s="473"/>
      <c r="ENN6" s="474"/>
      <c r="ENO6" s="473"/>
      <c r="ENP6" s="474"/>
      <c r="ENQ6" s="473"/>
      <c r="ENR6" s="474"/>
      <c r="ENS6" s="473"/>
      <c r="ENT6" s="474"/>
      <c r="ENU6" s="473"/>
      <c r="ENV6" s="474"/>
      <c r="ENW6" s="473"/>
      <c r="ENX6" s="474"/>
      <c r="ENY6" s="473"/>
      <c r="ENZ6" s="474"/>
      <c r="EOA6" s="473"/>
      <c r="EOB6" s="474"/>
      <c r="EOC6" s="473"/>
      <c r="EOD6" s="474"/>
      <c r="EOE6" s="473"/>
      <c r="EOF6" s="474"/>
      <c r="EOG6" s="473"/>
      <c r="EOH6" s="474"/>
      <c r="EOI6" s="473"/>
      <c r="EOJ6" s="474"/>
      <c r="EOK6" s="473"/>
      <c r="EOL6" s="474"/>
      <c r="EOM6" s="473"/>
      <c r="EON6" s="474"/>
      <c r="EOO6" s="473"/>
      <c r="EOP6" s="474"/>
      <c r="EOQ6" s="473"/>
      <c r="EOR6" s="474"/>
      <c r="EOS6" s="473"/>
      <c r="EOT6" s="474"/>
      <c r="EOU6" s="473"/>
      <c r="EOV6" s="474"/>
      <c r="EOW6" s="473"/>
      <c r="EOX6" s="474"/>
      <c r="EOY6" s="473"/>
      <c r="EOZ6" s="474"/>
      <c r="EPA6" s="473"/>
      <c r="EPB6" s="474"/>
      <c r="EPC6" s="473"/>
      <c r="EPD6" s="474"/>
      <c r="EPE6" s="473"/>
      <c r="EPF6" s="474"/>
      <c r="EPG6" s="473"/>
      <c r="EPH6" s="474"/>
      <c r="EPI6" s="473"/>
      <c r="EPJ6" s="474"/>
      <c r="EPK6" s="473"/>
      <c r="EPL6" s="474"/>
      <c r="EPM6" s="473"/>
      <c r="EPN6" s="474"/>
      <c r="EPO6" s="473"/>
      <c r="EPP6" s="474"/>
      <c r="EPQ6" s="473"/>
      <c r="EPR6" s="474"/>
      <c r="EPS6" s="473"/>
      <c r="EPT6" s="474"/>
      <c r="EPU6" s="473"/>
      <c r="EPV6" s="474"/>
      <c r="EPW6" s="473"/>
      <c r="EPX6" s="474"/>
      <c r="EPY6" s="473"/>
      <c r="EPZ6" s="474"/>
      <c r="EQA6" s="473"/>
      <c r="EQB6" s="474"/>
      <c r="EQC6" s="473"/>
      <c r="EQD6" s="474"/>
      <c r="EQE6" s="473"/>
      <c r="EQF6" s="474"/>
      <c r="EQG6" s="473"/>
      <c r="EQH6" s="474"/>
      <c r="EQI6" s="473"/>
      <c r="EQJ6" s="474"/>
      <c r="EQK6" s="473"/>
      <c r="EQL6" s="474"/>
      <c r="EQM6" s="473"/>
      <c r="EQN6" s="474"/>
      <c r="EQO6" s="473"/>
      <c r="EQP6" s="474"/>
      <c r="EQQ6" s="473"/>
      <c r="EQR6" s="474"/>
      <c r="EQS6" s="473"/>
      <c r="EQT6" s="474"/>
      <c r="EQU6" s="473"/>
      <c r="EQV6" s="474"/>
      <c r="EQW6" s="473"/>
      <c r="EQX6" s="474"/>
      <c r="EQY6" s="473"/>
      <c r="EQZ6" s="474"/>
      <c r="ERA6" s="473"/>
      <c r="ERB6" s="474"/>
      <c r="ERC6" s="473"/>
      <c r="ERD6" s="474"/>
      <c r="ERE6" s="473"/>
      <c r="ERF6" s="474"/>
      <c r="ERG6" s="473"/>
      <c r="ERH6" s="474"/>
      <c r="ERI6" s="473"/>
      <c r="ERJ6" s="474"/>
      <c r="ERK6" s="473"/>
      <c r="ERL6" s="474"/>
      <c r="ERM6" s="473"/>
      <c r="ERN6" s="474"/>
      <c r="ERO6" s="473"/>
      <c r="ERP6" s="474"/>
      <c r="ERQ6" s="473"/>
      <c r="ERR6" s="474"/>
      <c r="ERS6" s="473"/>
      <c r="ERT6" s="474"/>
      <c r="ERU6" s="473"/>
      <c r="ERV6" s="474"/>
      <c r="ERW6" s="473"/>
      <c r="ERX6" s="474"/>
      <c r="ERY6" s="473"/>
      <c r="ERZ6" s="474"/>
      <c r="ESA6" s="473"/>
      <c r="ESB6" s="474"/>
      <c r="ESC6" s="473"/>
      <c r="ESD6" s="474"/>
      <c r="ESE6" s="473"/>
      <c r="ESF6" s="474"/>
      <c r="ESG6" s="473"/>
      <c r="ESH6" s="474"/>
      <c r="ESI6" s="473"/>
      <c r="ESJ6" s="474"/>
      <c r="ESK6" s="473"/>
      <c r="ESL6" s="474"/>
      <c r="ESM6" s="473"/>
      <c r="ESN6" s="474"/>
      <c r="ESO6" s="473"/>
      <c r="ESP6" s="474"/>
      <c r="ESQ6" s="473"/>
      <c r="ESR6" s="474"/>
      <c r="ESS6" s="473"/>
      <c r="EST6" s="474"/>
      <c r="ESU6" s="473"/>
      <c r="ESV6" s="474"/>
      <c r="ESW6" s="473"/>
      <c r="ESX6" s="474"/>
      <c r="ESY6" s="473"/>
      <c r="ESZ6" s="474"/>
      <c r="ETA6" s="473"/>
      <c r="ETB6" s="474"/>
      <c r="ETC6" s="473"/>
      <c r="ETD6" s="474"/>
      <c r="ETE6" s="473"/>
      <c r="ETF6" s="474"/>
      <c r="ETG6" s="473"/>
      <c r="ETH6" s="474"/>
      <c r="ETI6" s="473"/>
      <c r="ETJ6" s="474"/>
      <c r="ETK6" s="473"/>
      <c r="ETL6" s="474"/>
      <c r="ETM6" s="473"/>
      <c r="ETN6" s="474"/>
      <c r="ETO6" s="473"/>
      <c r="ETP6" s="474"/>
      <c r="ETQ6" s="473"/>
      <c r="ETR6" s="474"/>
      <c r="ETS6" s="473"/>
      <c r="ETT6" s="474"/>
      <c r="ETU6" s="473"/>
      <c r="ETV6" s="474"/>
      <c r="ETW6" s="473"/>
      <c r="ETX6" s="474"/>
      <c r="ETY6" s="473"/>
      <c r="ETZ6" s="474"/>
      <c r="EUA6" s="473"/>
      <c r="EUB6" s="474"/>
      <c r="EUC6" s="473"/>
      <c r="EUD6" s="474"/>
      <c r="EUE6" s="473"/>
      <c r="EUF6" s="474"/>
      <c r="EUG6" s="473"/>
      <c r="EUH6" s="474"/>
      <c r="EUI6" s="473"/>
      <c r="EUJ6" s="474"/>
      <c r="EUK6" s="473"/>
      <c r="EUL6" s="474"/>
      <c r="EUM6" s="473"/>
      <c r="EUN6" s="474"/>
      <c r="EUO6" s="473"/>
      <c r="EUP6" s="474"/>
      <c r="EUQ6" s="473"/>
      <c r="EUR6" s="474"/>
      <c r="EUS6" s="473"/>
      <c r="EUT6" s="474"/>
      <c r="EUU6" s="473"/>
      <c r="EUV6" s="474"/>
      <c r="EUW6" s="473"/>
      <c r="EUX6" s="474"/>
      <c r="EUY6" s="473"/>
      <c r="EUZ6" s="474"/>
      <c r="EVA6" s="473"/>
      <c r="EVB6" s="474"/>
      <c r="EVC6" s="473"/>
      <c r="EVD6" s="474"/>
      <c r="EVE6" s="473"/>
      <c r="EVF6" s="474"/>
      <c r="EVG6" s="473"/>
      <c r="EVH6" s="474"/>
      <c r="EVI6" s="473"/>
      <c r="EVJ6" s="474"/>
      <c r="EVK6" s="473"/>
      <c r="EVL6" s="474"/>
      <c r="EVM6" s="473"/>
      <c r="EVN6" s="474"/>
      <c r="EVO6" s="473"/>
      <c r="EVP6" s="474"/>
      <c r="EVQ6" s="473"/>
      <c r="EVR6" s="474"/>
      <c r="EVS6" s="473"/>
      <c r="EVT6" s="474"/>
      <c r="EVU6" s="473"/>
      <c r="EVV6" s="474"/>
      <c r="EVW6" s="473"/>
      <c r="EVX6" s="474"/>
      <c r="EVY6" s="473"/>
      <c r="EVZ6" s="474"/>
      <c r="EWA6" s="473"/>
      <c r="EWB6" s="474"/>
      <c r="EWC6" s="473"/>
      <c r="EWD6" s="474"/>
      <c r="EWE6" s="473"/>
      <c r="EWF6" s="474"/>
      <c r="EWG6" s="473"/>
      <c r="EWH6" s="474"/>
      <c r="EWI6" s="473"/>
      <c r="EWJ6" s="474"/>
      <c r="EWK6" s="473"/>
      <c r="EWL6" s="474"/>
      <c r="EWM6" s="473"/>
      <c r="EWN6" s="474"/>
      <c r="EWO6" s="473"/>
      <c r="EWP6" s="474"/>
      <c r="EWQ6" s="473"/>
      <c r="EWR6" s="474"/>
      <c r="EWS6" s="473"/>
      <c r="EWT6" s="474"/>
      <c r="EWU6" s="473"/>
      <c r="EWV6" s="474"/>
      <c r="EWW6" s="473"/>
      <c r="EWX6" s="474"/>
      <c r="EWY6" s="473"/>
      <c r="EWZ6" s="474"/>
      <c r="EXA6" s="473"/>
      <c r="EXB6" s="474"/>
      <c r="EXC6" s="473"/>
      <c r="EXD6" s="474"/>
      <c r="EXE6" s="473"/>
      <c r="EXF6" s="474"/>
      <c r="EXG6" s="473"/>
      <c r="EXH6" s="474"/>
      <c r="EXI6" s="473"/>
      <c r="EXJ6" s="474"/>
      <c r="EXK6" s="473"/>
      <c r="EXL6" s="474"/>
      <c r="EXM6" s="473"/>
      <c r="EXN6" s="474"/>
      <c r="EXO6" s="473"/>
      <c r="EXP6" s="474"/>
      <c r="EXQ6" s="473"/>
      <c r="EXR6" s="474"/>
      <c r="EXS6" s="473"/>
      <c r="EXT6" s="474"/>
      <c r="EXU6" s="473"/>
      <c r="EXV6" s="474"/>
      <c r="EXW6" s="473"/>
      <c r="EXX6" s="474"/>
      <c r="EXY6" s="473"/>
      <c r="EXZ6" s="474"/>
      <c r="EYA6" s="473"/>
      <c r="EYB6" s="474"/>
      <c r="EYC6" s="473"/>
      <c r="EYD6" s="474"/>
      <c r="EYE6" s="473"/>
      <c r="EYF6" s="474"/>
      <c r="EYG6" s="473"/>
      <c r="EYH6" s="474"/>
      <c r="EYI6" s="473"/>
      <c r="EYJ6" s="474"/>
      <c r="EYK6" s="473"/>
      <c r="EYL6" s="474"/>
      <c r="EYM6" s="473"/>
      <c r="EYN6" s="474"/>
      <c r="EYO6" s="473"/>
      <c r="EYP6" s="474"/>
      <c r="EYQ6" s="473"/>
      <c r="EYR6" s="474"/>
      <c r="EYS6" s="473"/>
      <c r="EYT6" s="474"/>
      <c r="EYU6" s="473"/>
      <c r="EYV6" s="474"/>
      <c r="EYW6" s="473"/>
      <c r="EYX6" s="474"/>
      <c r="EYY6" s="473"/>
      <c r="EYZ6" s="474"/>
      <c r="EZA6" s="473"/>
      <c r="EZB6" s="474"/>
      <c r="EZC6" s="473"/>
      <c r="EZD6" s="474"/>
      <c r="EZE6" s="473"/>
      <c r="EZF6" s="474"/>
      <c r="EZG6" s="473"/>
      <c r="EZH6" s="474"/>
      <c r="EZI6" s="473"/>
      <c r="EZJ6" s="474"/>
      <c r="EZK6" s="473"/>
      <c r="EZL6" s="474"/>
      <c r="EZM6" s="473"/>
      <c r="EZN6" s="474"/>
      <c r="EZO6" s="473"/>
      <c r="EZP6" s="474"/>
      <c r="EZQ6" s="473"/>
      <c r="EZR6" s="474"/>
      <c r="EZS6" s="473"/>
      <c r="EZT6" s="474"/>
      <c r="EZU6" s="473"/>
      <c r="EZV6" s="474"/>
      <c r="EZW6" s="473"/>
      <c r="EZX6" s="474"/>
      <c r="EZY6" s="473"/>
      <c r="EZZ6" s="474"/>
      <c r="FAA6" s="473"/>
      <c r="FAB6" s="474"/>
      <c r="FAC6" s="473"/>
      <c r="FAD6" s="474"/>
      <c r="FAE6" s="473"/>
      <c r="FAF6" s="474"/>
      <c r="FAG6" s="473"/>
      <c r="FAH6" s="474"/>
      <c r="FAI6" s="473"/>
      <c r="FAJ6" s="474"/>
      <c r="FAK6" s="473"/>
      <c r="FAL6" s="474"/>
      <c r="FAM6" s="473"/>
      <c r="FAN6" s="474"/>
      <c r="FAO6" s="473"/>
      <c r="FAP6" s="474"/>
      <c r="FAQ6" s="473"/>
      <c r="FAR6" s="474"/>
      <c r="FAS6" s="473"/>
      <c r="FAT6" s="474"/>
      <c r="FAU6" s="473"/>
      <c r="FAV6" s="474"/>
      <c r="FAW6" s="473"/>
      <c r="FAX6" s="474"/>
      <c r="FAY6" s="473"/>
      <c r="FAZ6" s="474"/>
      <c r="FBA6" s="473"/>
      <c r="FBB6" s="474"/>
      <c r="FBC6" s="473"/>
      <c r="FBD6" s="474"/>
      <c r="FBE6" s="473"/>
      <c r="FBF6" s="474"/>
      <c r="FBG6" s="473"/>
      <c r="FBH6" s="474"/>
      <c r="FBI6" s="473"/>
      <c r="FBJ6" s="474"/>
      <c r="FBK6" s="473"/>
      <c r="FBL6" s="474"/>
      <c r="FBM6" s="473"/>
      <c r="FBN6" s="474"/>
      <c r="FBO6" s="473"/>
      <c r="FBP6" s="474"/>
      <c r="FBQ6" s="473"/>
      <c r="FBR6" s="474"/>
      <c r="FBS6" s="473"/>
      <c r="FBT6" s="474"/>
      <c r="FBU6" s="473"/>
      <c r="FBV6" s="474"/>
      <c r="FBW6" s="473"/>
      <c r="FBX6" s="474"/>
      <c r="FBY6" s="473"/>
      <c r="FBZ6" s="474"/>
      <c r="FCA6" s="473"/>
      <c r="FCB6" s="474"/>
      <c r="FCC6" s="473"/>
      <c r="FCD6" s="474"/>
      <c r="FCE6" s="473"/>
      <c r="FCF6" s="474"/>
      <c r="FCG6" s="473"/>
      <c r="FCH6" s="474"/>
      <c r="FCI6" s="473"/>
      <c r="FCJ6" s="474"/>
      <c r="FCK6" s="473"/>
      <c r="FCL6" s="474"/>
      <c r="FCM6" s="473"/>
      <c r="FCN6" s="474"/>
      <c r="FCO6" s="473"/>
      <c r="FCP6" s="474"/>
      <c r="FCQ6" s="473"/>
      <c r="FCR6" s="474"/>
      <c r="FCS6" s="473"/>
      <c r="FCT6" s="474"/>
      <c r="FCU6" s="473"/>
      <c r="FCV6" s="474"/>
      <c r="FCW6" s="473"/>
      <c r="FCX6" s="474"/>
      <c r="FCY6" s="473"/>
      <c r="FCZ6" s="474"/>
      <c r="FDA6" s="473"/>
      <c r="FDB6" s="474"/>
      <c r="FDC6" s="473"/>
      <c r="FDD6" s="474"/>
      <c r="FDE6" s="473"/>
      <c r="FDF6" s="474"/>
      <c r="FDG6" s="473"/>
      <c r="FDH6" s="474"/>
      <c r="FDI6" s="473"/>
      <c r="FDJ6" s="474"/>
      <c r="FDK6" s="473"/>
      <c r="FDL6" s="474"/>
      <c r="FDM6" s="473"/>
      <c r="FDN6" s="474"/>
      <c r="FDO6" s="473"/>
      <c r="FDP6" s="474"/>
      <c r="FDQ6" s="473"/>
      <c r="FDR6" s="474"/>
      <c r="FDS6" s="473"/>
      <c r="FDT6" s="474"/>
      <c r="FDU6" s="473"/>
      <c r="FDV6" s="474"/>
      <c r="FDW6" s="473"/>
      <c r="FDX6" s="474"/>
      <c r="FDY6" s="473"/>
      <c r="FDZ6" s="474"/>
      <c r="FEA6" s="473"/>
      <c r="FEB6" s="474"/>
      <c r="FEC6" s="473"/>
      <c r="FED6" s="474"/>
      <c r="FEE6" s="473"/>
      <c r="FEF6" s="474"/>
      <c r="FEG6" s="473"/>
      <c r="FEH6" s="474"/>
      <c r="FEI6" s="473"/>
      <c r="FEJ6" s="474"/>
      <c r="FEK6" s="473"/>
      <c r="FEL6" s="474"/>
      <c r="FEM6" s="473"/>
      <c r="FEN6" s="474"/>
      <c r="FEO6" s="473"/>
      <c r="FEP6" s="474"/>
      <c r="FEQ6" s="473"/>
      <c r="FER6" s="474"/>
      <c r="FES6" s="473"/>
      <c r="FET6" s="474"/>
      <c r="FEU6" s="473"/>
      <c r="FEV6" s="474"/>
      <c r="FEW6" s="473"/>
      <c r="FEX6" s="474"/>
      <c r="FEY6" s="473"/>
      <c r="FEZ6" s="474"/>
      <c r="FFA6" s="473"/>
      <c r="FFB6" s="474"/>
      <c r="FFC6" s="473"/>
      <c r="FFD6" s="474"/>
      <c r="FFE6" s="473"/>
      <c r="FFF6" s="474"/>
      <c r="FFG6" s="473"/>
      <c r="FFH6" s="474"/>
      <c r="FFI6" s="473"/>
      <c r="FFJ6" s="474"/>
      <c r="FFK6" s="473"/>
      <c r="FFL6" s="474"/>
      <c r="FFM6" s="473"/>
      <c r="FFN6" s="474"/>
      <c r="FFO6" s="473"/>
      <c r="FFP6" s="474"/>
      <c r="FFQ6" s="473"/>
      <c r="FFR6" s="474"/>
      <c r="FFS6" s="473"/>
      <c r="FFT6" s="474"/>
      <c r="FFU6" s="473"/>
      <c r="FFV6" s="474"/>
      <c r="FFW6" s="473"/>
      <c r="FFX6" s="474"/>
      <c r="FFY6" s="473"/>
      <c r="FFZ6" s="474"/>
      <c r="FGA6" s="473"/>
      <c r="FGB6" s="474"/>
      <c r="FGC6" s="473"/>
      <c r="FGD6" s="474"/>
      <c r="FGE6" s="473"/>
      <c r="FGF6" s="474"/>
      <c r="FGG6" s="473"/>
      <c r="FGH6" s="474"/>
      <c r="FGI6" s="473"/>
      <c r="FGJ6" s="474"/>
      <c r="FGK6" s="473"/>
      <c r="FGL6" s="474"/>
      <c r="FGM6" s="473"/>
      <c r="FGN6" s="474"/>
      <c r="FGO6" s="473"/>
      <c r="FGP6" s="474"/>
      <c r="FGQ6" s="473"/>
      <c r="FGR6" s="474"/>
      <c r="FGS6" s="473"/>
      <c r="FGT6" s="474"/>
      <c r="FGU6" s="473"/>
      <c r="FGV6" s="474"/>
      <c r="FGW6" s="473"/>
      <c r="FGX6" s="474"/>
      <c r="FGY6" s="473"/>
      <c r="FGZ6" s="474"/>
      <c r="FHA6" s="473"/>
      <c r="FHB6" s="474"/>
      <c r="FHC6" s="473"/>
      <c r="FHD6" s="474"/>
      <c r="FHE6" s="473"/>
      <c r="FHF6" s="474"/>
      <c r="FHG6" s="473"/>
      <c r="FHH6" s="474"/>
      <c r="FHI6" s="473"/>
      <c r="FHJ6" s="474"/>
      <c r="FHK6" s="473"/>
      <c r="FHL6" s="474"/>
      <c r="FHM6" s="473"/>
      <c r="FHN6" s="474"/>
      <c r="FHO6" s="473"/>
      <c r="FHP6" s="474"/>
      <c r="FHQ6" s="473"/>
      <c r="FHR6" s="474"/>
      <c r="FHS6" s="473"/>
      <c r="FHT6" s="474"/>
      <c r="FHU6" s="473"/>
      <c r="FHV6" s="474"/>
      <c r="FHW6" s="473"/>
      <c r="FHX6" s="474"/>
      <c r="FHY6" s="473"/>
      <c r="FHZ6" s="474"/>
      <c r="FIA6" s="473"/>
      <c r="FIB6" s="474"/>
      <c r="FIC6" s="473"/>
      <c r="FID6" s="474"/>
      <c r="FIE6" s="473"/>
      <c r="FIF6" s="474"/>
      <c r="FIG6" s="473"/>
      <c r="FIH6" s="474"/>
      <c r="FII6" s="473"/>
      <c r="FIJ6" s="474"/>
      <c r="FIK6" s="473"/>
      <c r="FIL6" s="474"/>
      <c r="FIM6" s="473"/>
      <c r="FIN6" s="474"/>
      <c r="FIO6" s="473"/>
      <c r="FIP6" s="474"/>
      <c r="FIQ6" s="473"/>
      <c r="FIR6" s="474"/>
      <c r="FIS6" s="473"/>
      <c r="FIT6" s="474"/>
      <c r="FIU6" s="473"/>
      <c r="FIV6" s="474"/>
      <c r="FIW6" s="473"/>
      <c r="FIX6" s="474"/>
      <c r="FIY6" s="473"/>
      <c r="FIZ6" s="474"/>
      <c r="FJA6" s="473"/>
      <c r="FJB6" s="474"/>
      <c r="FJC6" s="473"/>
      <c r="FJD6" s="474"/>
      <c r="FJE6" s="473"/>
      <c r="FJF6" s="474"/>
      <c r="FJG6" s="473"/>
      <c r="FJH6" s="474"/>
      <c r="FJI6" s="473"/>
      <c r="FJJ6" s="474"/>
      <c r="FJK6" s="473"/>
      <c r="FJL6" s="474"/>
      <c r="FJM6" s="473"/>
      <c r="FJN6" s="474"/>
      <c r="FJO6" s="473"/>
      <c r="FJP6" s="474"/>
      <c r="FJQ6" s="473"/>
      <c r="FJR6" s="474"/>
      <c r="FJS6" s="473"/>
      <c r="FJT6" s="474"/>
      <c r="FJU6" s="473"/>
      <c r="FJV6" s="474"/>
      <c r="FJW6" s="473"/>
      <c r="FJX6" s="474"/>
      <c r="FJY6" s="473"/>
      <c r="FJZ6" s="474"/>
      <c r="FKA6" s="473"/>
      <c r="FKB6" s="474"/>
      <c r="FKC6" s="473"/>
      <c r="FKD6" s="474"/>
      <c r="FKE6" s="473"/>
      <c r="FKF6" s="474"/>
      <c r="FKG6" s="473"/>
      <c r="FKH6" s="474"/>
      <c r="FKI6" s="473"/>
      <c r="FKJ6" s="474"/>
      <c r="FKK6" s="473"/>
      <c r="FKL6" s="474"/>
      <c r="FKM6" s="473"/>
      <c r="FKN6" s="474"/>
      <c r="FKO6" s="473"/>
      <c r="FKP6" s="474"/>
      <c r="FKQ6" s="473"/>
      <c r="FKR6" s="474"/>
      <c r="FKS6" s="473"/>
      <c r="FKT6" s="474"/>
      <c r="FKU6" s="473"/>
      <c r="FKV6" s="474"/>
      <c r="FKW6" s="473"/>
      <c r="FKX6" s="474"/>
      <c r="FKY6" s="473"/>
      <c r="FKZ6" s="474"/>
      <c r="FLA6" s="473"/>
      <c r="FLB6" s="474"/>
      <c r="FLC6" s="473"/>
      <c r="FLD6" s="474"/>
      <c r="FLE6" s="473"/>
      <c r="FLF6" s="474"/>
      <c r="FLG6" s="473"/>
      <c r="FLH6" s="474"/>
      <c r="FLI6" s="473"/>
      <c r="FLJ6" s="474"/>
      <c r="FLK6" s="473"/>
      <c r="FLL6" s="474"/>
      <c r="FLM6" s="473"/>
      <c r="FLN6" s="474"/>
      <c r="FLO6" s="473"/>
      <c r="FLP6" s="474"/>
      <c r="FLQ6" s="473"/>
      <c r="FLR6" s="474"/>
      <c r="FLS6" s="473"/>
      <c r="FLT6" s="474"/>
      <c r="FLU6" s="473"/>
      <c r="FLV6" s="474"/>
      <c r="FLW6" s="473"/>
      <c r="FLX6" s="474"/>
      <c r="FLY6" s="473"/>
      <c r="FLZ6" s="474"/>
      <c r="FMA6" s="473"/>
      <c r="FMB6" s="474"/>
      <c r="FMC6" s="473"/>
      <c r="FMD6" s="474"/>
      <c r="FME6" s="473"/>
      <c r="FMF6" s="474"/>
      <c r="FMG6" s="473"/>
      <c r="FMH6" s="474"/>
      <c r="FMI6" s="473"/>
      <c r="FMJ6" s="474"/>
      <c r="FMK6" s="473"/>
      <c r="FML6" s="474"/>
      <c r="FMM6" s="473"/>
      <c r="FMN6" s="474"/>
      <c r="FMO6" s="473"/>
      <c r="FMP6" s="474"/>
      <c r="FMQ6" s="473"/>
      <c r="FMR6" s="474"/>
      <c r="FMS6" s="473"/>
      <c r="FMT6" s="474"/>
      <c r="FMU6" s="473"/>
      <c r="FMV6" s="474"/>
      <c r="FMW6" s="473"/>
      <c r="FMX6" s="474"/>
      <c r="FMY6" s="473"/>
      <c r="FMZ6" s="474"/>
      <c r="FNA6" s="473"/>
      <c r="FNB6" s="474"/>
      <c r="FNC6" s="473"/>
      <c r="FND6" s="474"/>
      <c r="FNE6" s="473"/>
      <c r="FNF6" s="474"/>
      <c r="FNG6" s="473"/>
      <c r="FNH6" s="474"/>
      <c r="FNI6" s="473"/>
      <c r="FNJ6" s="474"/>
      <c r="FNK6" s="473"/>
      <c r="FNL6" s="474"/>
      <c r="FNM6" s="473"/>
      <c r="FNN6" s="474"/>
      <c r="FNO6" s="473"/>
      <c r="FNP6" s="474"/>
      <c r="FNQ6" s="473"/>
      <c r="FNR6" s="474"/>
      <c r="FNS6" s="473"/>
      <c r="FNT6" s="474"/>
      <c r="FNU6" s="473"/>
      <c r="FNV6" s="474"/>
      <c r="FNW6" s="473"/>
      <c r="FNX6" s="474"/>
      <c r="FNY6" s="473"/>
      <c r="FNZ6" s="474"/>
      <c r="FOA6" s="473"/>
      <c r="FOB6" s="474"/>
      <c r="FOC6" s="473"/>
      <c r="FOD6" s="474"/>
      <c r="FOE6" s="473"/>
      <c r="FOF6" s="474"/>
      <c r="FOG6" s="473"/>
      <c r="FOH6" s="474"/>
      <c r="FOI6" s="473"/>
      <c r="FOJ6" s="474"/>
      <c r="FOK6" s="473"/>
      <c r="FOL6" s="474"/>
      <c r="FOM6" s="473"/>
      <c r="FON6" s="474"/>
      <c r="FOO6" s="473"/>
      <c r="FOP6" s="474"/>
      <c r="FOQ6" s="473"/>
      <c r="FOR6" s="474"/>
      <c r="FOS6" s="473"/>
      <c r="FOT6" s="474"/>
      <c r="FOU6" s="473"/>
      <c r="FOV6" s="474"/>
      <c r="FOW6" s="473"/>
      <c r="FOX6" s="474"/>
      <c r="FOY6" s="473"/>
      <c r="FOZ6" s="474"/>
      <c r="FPA6" s="473"/>
      <c r="FPB6" s="474"/>
      <c r="FPC6" s="473"/>
      <c r="FPD6" s="474"/>
      <c r="FPE6" s="473"/>
      <c r="FPF6" s="474"/>
      <c r="FPG6" s="473"/>
      <c r="FPH6" s="474"/>
      <c r="FPI6" s="473"/>
      <c r="FPJ6" s="474"/>
      <c r="FPK6" s="473"/>
      <c r="FPL6" s="474"/>
      <c r="FPM6" s="473"/>
      <c r="FPN6" s="474"/>
      <c r="FPO6" s="473"/>
      <c r="FPP6" s="474"/>
      <c r="FPQ6" s="473"/>
      <c r="FPR6" s="474"/>
      <c r="FPS6" s="473"/>
      <c r="FPT6" s="474"/>
      <c r="FPU6" s="473"/>
      <c r="FPV6" s="474"/>
      <c r="FPW6" s="473"/>
      <c r="FPX6" s="474"/>
      <c r="FPY6" s="473"/>
      <c r="FPZ6" s="474"/>
      <c r="FQA6" s="473"/>
      <c r="FQB6" s="474"/>
      <c r="FQC6" s="473"/>
      <c r="FQD6" s="474"/>
      <c r="FQE6" s="473"/>
      <c r="FQF6" s="474"/>
      <c r="FQG6" s="473"/>
      <c r="FQH6" s="474"/>
      <c r="FQI6" s="473"/>
      <c r="FQJ6" s="474"/>
      <c r="FQK6" s="473"/>
      <c r="FQL6" s="474"/>
      <c r="FQM6" s="473"/>
      <c r="FQN6" s="474"/>
      <c r="FQO6" s="473"/>
      <c r="FQP6" s="474"/>
      <c r="FQQ6" s="473"/>
      <c r="FQR6" s="474"/>
      <c r="FQS6" s="473"/>
      <c r="FQT6" s="474"/>
      <c r="FQU6" s="473"/>
      <c r="FQV6" s="474"/>
      <c r="FQW6" s="473"/>
      <c r="FQX6" s="474"/>
      <c r="FQY6" s="473"/>
      <c r="FQZ6" s="474"/>
      <c r="FRA6" s="473"/>
      <c r="FRB6" s="474"/>
      <c r="FRC6" s="473"/>
      <c r="FRD6" s="474"/>
      <c r="FRE6" s="473"/>
      <c r="FRF6" s="474"/>
      <c r="FRG6" s="473"/>
      <c r="FRH6" s="474"/>
      <c r="FRI6" s="473"/>
      <c r="FRJ6" s="474"/>
      <c r="FRK6" s="473"/>
      <c r="FRL6" s="474"/>
      <c r="FRM6" s="473"/>
      <c r="FRN6" s="474"/>
      <c r="FRO6" s="473"/>
      <c r="FRP6" s="474"/>
      <c r="FRQ6" s="473"/>
      <c r="FRR6" s="474"/>
      <c r="FRS6" s="473"/>
      <c r="FRT6" s="474"/>
      <c r="FRU6" s="473"/>
      <c r="FRV6" s="474"/>
      <c r="FRW6" s="473"/>
      <c r="FRX6" s="474"/>
      <c r="FRY6" s="473"/>
      <c r="FRZ6" s="474"/>
      <c r="FSA6" s="473"/>
      <c r="FSB6" s="474"/>
      <c r="FSC6" s="473"/>
      <c r="FSD6" s="474"/>
      <c r="FSE6" s="473"/>
      <c r="FSF6" s="474"/>
      <c r="FSG6" s="473"/>
      <c r="FSH6" s="474"/>
      <c r="FSI6" s="473"/>
      <c r="FSJ6" s="474"/>
      <c r="FSK6" s="473"/>
      <c r="FSL6" s="474"/>
      <c r="FSM6" s="473"/>
      <c r="FSN6" s="474"/>
      <c r="FSO6" s="473"/>
      <c r="FSP6" s="474"/>
      <c r="FSQ6" s="473"/>
      <c r="FSR6" s="474"/>
      <c r="FSS6" s="473"/>
      <c r="FST6" s="474"/>
      <c r="FSU6" s="473"/>
      <c r="FSV6" s="474"/>
      <c r="FSW6" s="473"/>
      <c r="FSX6" s="474"/>
      <c r="FSY6" s="473"/>
      <c r="FSZ6" s="474"/>
      <c r="FTA6" s="473"/>
      <c r="FTB6" s="474"/>
      <c r="FTC6" s="473"/>
      <c r="FTD6" s="474"/>
      <c r="FTE6" s="473"/>
      <c r="FTF6" s="474"/>
      <c r="FTG6" s="473"/>
      <c r="FTH6" s="474"/>
      <c r="FTI6" s="473"/>
      <c r="FTJ6" s="474"/>
      <c r="FTK6" s="473"/>
      <c r="FTL6" s="474"/>
      <c r="FTM6" s="473"/>
      <c r="FTN6" s="474"/>
      <c r="FTO6" s="473"/>
      <c r="FTP6" s="474"/>
      <c r="FTQ6" s="473"/>
      <c r="FTR6" s="474"/>
      <c r="FTS6" s="473"/>
      <c r="FTT6" s="474"/>
      <c r="FTU6" s="473"/>
      <c r="FTV6" s="474"/>
      <c r="FTW6" s="473"/>
      <c r="FTX6" s="474"/>
      <c r="FTY6" s="473"/>
      <c r="FTZ6" s="474"/>
      <c r="FUA6" s="473"/>
      <c r="FUB6" s="474"/>
      <c r="FUC6" s="473"/>
      <c r="FUD6" s="474"/>
      <c r="FUE6" s="473"/>
      <c r="FUF6" s="474"/>
      <c r="FUG6" s="473"/>
      <c r="FUH6" s="474"/>
      <c r="FUI6" s="473"/>
      <c r="FUJ6" s="474"/>
      <c r="FUK6" s="473"/>
      <c r="FUL6" s="474"/>
      <c r="FUM6" s="473"/>
      <c r="FUN6" s="474"/>
      <c r="FUO6" s="473"/>
      <c r="FUP6" s="474"/>
      <c r="FUQ6" s="473"/>
      <c r="FUR6" s="474"/>
      <c r="FUS6" s="473"/>
      <c r="FUT6" s="474"/>
      <c r="FUU6" s="473"/>
      <c r="FUV6" s="474"/>
      <c r="FUW6" s="473"/>
      <c r="FUX6" s="474"/>
      <c r="FUY6" s="473"/>
      <c r="FUZ6" s="474"/>
      <c r="FVA6" s="473"/>
      <c r="FVB6" s="474"/>
      <c r="FVC6" s="473"/>
      <c r="FVD6" s="474"/>
      <c r="FVE6" s="473"/>
      <c r="FVF6" s="474"/>
      <c r="FVG6" s="473"/>
      <c r="FVH6" s="474"/>
      <c r="FVI6" s="473"/>
      <c r="FVJ6" s="474"/>
      <c r="FVK6" s="473"/>
      <c r="FVL6" s="474"/>
      <c r="FVM6" s="473"/>
      <c r="FVN6" s="474"/>
      <c r="FVO6" s="473"/>
      <c r="FVP6" s="474"/>
      <c r="FVQ6" s="473"/>
      <c r="FVR6" s="474"/>
      <c r="FVS6" s="473"/>
      <c r="FVT6" s="474"/>
      <c r="FVU6" s="473"/>
      <c r="FVV6" s="474"/>
      <c r="FVW6" s="473"/>
      <c r="FVX6" s="474"/>
      <c r="FVY6" s="473"/>
      <c r="FVZ6" s="474"/>
      <c r="FWA6" s="473"/>
      <c r="FWB6" s="474"/>
      <c r="FWC6" s="473"/>
      <c r="FWD6" s="474"/>
      <c r="FWE6" s="473"/>
      <c r="FWF6" s="474"/>
      <c r="FWG6" s="473"/>
      <c r="FWH6" s="474"/>
      <c r="FWI6" s="473"/>
      <c r="FWJ6" s="474"/>
      <c r="FWK6" s="473"/>
      <c r="FWL6" s="474"/>
      <c r="FWM6" s="473"/>
      <c r="FWN6" s="474"/>
      <c r="FWO6" s="473"/>
      <c r="FWP6" s="474"/>
      <c r="FWQ6" s="473"/>
      <c r="FWR6" s="474"/>
      <c r="FWS6" s="473"/>
      <c r="FWT6" s="474"/>
      <c r="FWU6" s="473"/>
      <c r="FWV6" s="474"/>
      <c r="FWW6" s="473"/>
      <c r="FWX6" s="474"/>
      <c r="FWY6" s="473"/>
      <c r="FWZ6" s="474"/>
      <c r="FXA6" s="473"/>
      <c r="FXB6" s="474"/>
      <c r="FXC6" s="473"/>
      <c r="FXD6" s="474"/>
      <c r="FXE6" s="473"/>
      <c r="FXF6" s="474"/>
      <c r="FXG6" s="473"/>
      <c r="FXH6" s="474"/>
      <c r="FXI6" s="473"/>
      <c r="FXJ6" s="474"/>
      <c r="FXK6" s="473"/>
      <c r="FXL6" s="474"/>
      <c r="FXM6" s="473"/>
      <c r="FXN6" s="474"/>
      <c r="FXO6" s="473"/>
      <c r="FXP6" s="474"/>
      <c r="FXQ6" s="473"/>
      <c r="FXR6" s="474"/>
      <c r="FXS6" s="473"/>
      <c r="FXT6" s="474"/>
      <c r="FXU6" s="473"/>
      <c r="FXV6" s="474"/>
      <c r="FXW6" s="473"/>
      <c r="FXX6" s="474"/>
      <c r="FXY6" s="473"/>
      <c r="FXZ6" s="474"/>
      <c r="FYA6" s="473"/>
      <c r="FYB6" s="474"/>
      <c r="FYC6" s="473"/>
      <c r="FYD6" s="474"/>
      <c r="FYE6" s="473"/>
      <c r="FYF6" s="474"/>
      <c r="FYG6" s="473"/>
      <c r="FYH6" s="474"/>
      <c r="FYI6" s="473"/>
      <c r="FYJ6" s="474"/>
      <c r="FYK6" s="473"/>
      <c r="FYL6" s="474"/>
      <c r="FYM6" s="473"/>
      <c r="FYN6" s="474"/>
      <c r="FYO6" s="473"/>
      <c r="FYP6" s="474"/>
      <c r="FYQ6" s="473"/>
      <c r="FYR6" s="474"/>
      <c r="FYS6" s="473"/>
      <c r="FYT6" s="474"/>
      <c r="FYU6" s="473"/>
      <c r="FYV6" s="474"/>
      <c r="FYW6" s="473"/>
      <c r="FYX6" s="474"/>
      <c r="FYY6" s="473"/>
      <c r="FYZ6" s="474"/>
      <c r="FZA6" s="473"/>
      <c r="FZB6" s="474"/>
      <c r="FZC6" s="473"/>
      <c r="FZD6" s="474"/>
      <c r="FZE6" s="473"/>
      <c r="FZF6" s="474"/>
      <c r="FZG6" s="473"/>
      <c r="FZH6" s="474"/>
      <c r="FZI6" s="473"/>
      <c r="FZJ6" s="474"/>
      <c r="FZK6" s="473"/>
      <c r="FZL6" s="474"/>
      <c r="FZM6" s="473"/>
      <c r="FZN6" s="474"/>
      <c r="FZO6" s="473"/>
      <c r="FZP6" s="474"/>
      <c r="FZQ6" s="473"/>
      <c r="FZR6" s="474"/>
      <c r="FZS6" s="473"/>
      <c r="FZT6" s="474"/>
      <c r="FZU6" s="473"/>
      <c r="FZV6" s="474"/>
      <c r="FZW6" s="473"/>
      <c r="FZX6" s="474"/>
      <c r="FZY6" s="473"/>
      <c r="FZZ6" s="474"/>
      <c r="GAA6" s="473"/>
      <c r="GAB6" s="474"/>
      <c r="GAC6" s="473"/>
      <c r="GAD6" s="474"/>
      <c r="GAE6" s="473"/>
      <c r="GAF6" s="474"/>
      <c r="GAG6" s="473"/>
      <c r="GAH6" s="474"/>
      <c r="GAI6" s="473"/>
      <c r="GAJ6" s="474"/>
      <c r="GAK6" s="473"/>
      <c r="GAL6" s="474"/>
      <c r="GAM6" s="473"/>
      <c r="GAN6" s="474"/>
      <c r="GAO6" s="473"/>
      <c r="GAP6" s="474"/>
      <c r="GAQ6" s="473"/>
      <c r="GAR6" s="474"/>
      <c r="GAS6" s="473"/>
      <c r="GAT6" s="474"/>
      <c r="GAU6" s="473"/>
      <c r="GAV6" s="474"/>
      <c r="GAW6" s="473"/>
      <c r="GAX6" s="474"/>
      <c r="GAY6" s="473"/>
      <c r="GAZ6" s="474"/>
      <c r="GBA6" s="473"/>
      <c r="GBB6" s="474"/>
      <c r="GBC6" s="473"/>
      <c r="GBD6" s="474"/>
      <c r="GBE6" s="473"/>
      <c r="GBF6" s="474"/>
      <c r="GBG6" s="473"/>
      <c r="GBH6" s="474"/>
      <c r="GBI6" s="473"/>
      <c r="GBJ6" s="474"/>
      <c r="GBK6" s="473"/>
      <c r="GBL6" s="474"/>
      <c r="GBM6" s="473"/>
      <c r="GBN6" s="474"/>
      <c r="GBO6" s="473"/>
      <c r="GBP6" s="474"/>
      <c r="GBQ6" s="473"/>
      <c r="GBR6" s="474"/>
      <c r="GBS6" s="473"/>
      <c r="GBT6" s="474"/>
      <c r="GBU6" s="473"/>
      <c r="GBV6" s="474"/>
      <c r="GBW6" s="473"/>
      <c r="GBX6" s="474"/>
      <c r="GBY6" s="473"/>
      <c r="GBZ6" s="474"/>
      <c r="GCA6" s="473"/>
      <c r="GCB6" s="474"/>
      <c r="GCC6" s="473"/>
      <c r="GCD6" s="474"/>
      <c r="GCE6" s="473"/>
      <c r="GCF6" s="474"/>
      <c r="GCG6" s="473"/>
      <c r="GCH6" s="474"/>
      <c r="GCI6" s="473"/>
      <c r="GCJ6" s="474"/>
      <c r="GCK6" s="473"/>
      <c r="GCL6" s="474"/>
      <c r="GCM6" s="473"/>
      <c r="GCN6" s="474"/>
      <c r="GCO6" s="473"/>
      <c r="GCP6" s="474"/>
      <c r="GCQ6" s="473"/>
      <c r="GCR6" s="474"/>
      <c r="GCS6" s="473"/>
      <c r="GCT6" s="474"/>
      <c r="GCU6" s="473"/>
      <c r="GCV6" s="474"/>
      <c r="GCW6" s="473"/>
      <c r="GCX6" s="474"/>
      <c r="GCY6" s="473"/>
      <c r="GCZ6" s="474"/>
      <c r="GDA6" s="473"/>
      <c r="GDB6" s="474"/>
      <c r="GDC6" s="473"/>
      <c r="GDD6" s="474"/>
      <c r="GDE6" s="473"/>
      <c r="GDF6" s="474"/>
      <c r="GDG6" s="473"/>
      <c r="GDH6" s="474"/>
      <c r="GDI6" s="473"/>
      <c r="GDJ6" s="474"/>
      <c r="GDK6" s="473"/>
      <c r="GDL6" s="474"/>
      <c r="GDM6" s="473"/>
      <c r="GDN6" s="474"/>
      <c r="GDO6" s="473"/>
      <c r="GDP6" s="474"/>
      <c r="GDQ6" s="473"/>
      <c r="GDR6" s="474"/>
      <c r="GDS6" s="473"/>
      <c r="GDT6" s="474"/>
      <c r="GDU6" s="473"/>
      <c r="GDV6" s="474"/>
      <c r="GDW6" s="473"/>
      <c r="GDX6" s="474"/>
      <c r="GDY6" s="473"/>
      <c r="GDZ6" s="474"/>
      <c r="GEA6" s="473"/>
      <c r="GEB6" s="474"/>
      <c r="GEC6" s="473"/>
      <c r="GED6" s="474"/>
      <c r="GEE6" s="473"/>
      <c r="GEF6" s="474"/>
      <c r="GEG6" s="473"/>
      <c r="GEH6" s="474"/>
      <c r="GEI6" s="473"/>
      <c r="GEJ6" s="474"/>
      <c r="GEK6" s="473"/>
      <c r="GEL6" s="474"/>
      <c r="GEM6" s="473"/>
      <c r="GEN6" s="474"/>
      <c r="GEO6" s="473"/>
      <c r="GEP6" s="474"/>
      <c r="GEQ6" s="473"/>
      <c r="GER6" s="474"/>
      <c r="GES6" s="473"/>
      <c r="GET6" s="474"/>
      <c r="GEU6" s="473"/>
      <c r="GEV6" s="474"/>
      <c r="GEW6" s="473"/>
      <c r="GEX6" s="474"/>
      <c r="GEY6" s="473"/>
      <c r="GEZ6" s="474"/>
      <c r="GFA6" s="473"/>
      <c r="GFB6" s="474"/>
      <c r="GFC6" s="473"/>
      <c r="GFD6" s="474"/>
      <c r="GFE6" s="473"/>
      <c r="GFF6" s="474"/>
      <c r="GFG6" s="473"/>
      <c r="GFH6" s="474"/>
      <c r="GFI6" s="473"/>
      <c r="GFJ6" s="474"/>
      <c r="GFK6" s="473"/>
      <c r="GFL6" s="474"/>
      <c r="GFM6" s="473"/>
      <c r="GFN6" s="474"/>
      <c r="GFO6" s="473"/>
      <c r="GFP6" s="474"/>
      <c r="GFQ6" s="473"/>
      <c r="GFR6" s="474"/>
      <c r="GFS6" s="473"/>
      <c r="GFT6" s="474"/>
      <c r="GFU6" s="473"/>
      <c r="GFV6" s="474"/>
      <c r="GFW6" s="473"/>
      <c r="GFX6" s="474"/>
      <c r="GFY6" s="473"/>
      <c r="GFZ6" s="474"/>
      <c r="GGA6" s="473"/>
      <c r="GGB6" s="474"/>
      <c r="GGC6" s="473"/>
      <c r="GGD6" s="474"/>
      <c r="GGE6" s="473"/>
      <c r="GGF6" s="474"/>
      <c r="GGG6" s="473"/>
      <c r="GGH6" s="474"/>
      <c r="GGI6" s="473"/>
      <c r="GGJ6" s="474"/>
      <c r="GGK6" s="473"/>
      <c r="GGL6" s="474"/>
      <c r="GGM6" s="473"/>
      <c r="GGN6" s="474"/>
      <c r="GGO6" s="473"/>
      <c r="GGP6" s="474"/>
      <c r="GGQ6" s="473"/>
      <c r="GGR6" s="474"/>
      <c r="GGS6" s="473"/>
      <c r="GGT6" s="474"/>
      <c r="GGU6" s="473"/>
      <c r="GGV6" s="474"/>
      <c r="GGW6" s="473"/>
      <c r="GGX6" s="474"/>
      <c r="GGY6" s="473"/>
      <c r="GGZ6" s="474"/>
      <c r="GHA6" s="473"/>
      <c r="GHB6" s="474"/>
      <c r="GHC6" s="473"/>
      <c r="GHD6" s="474"/>
      <c r="GHE6" s="473"/>
      <c r="GHF6" s="474"/>
      <c r="GHG6" s="473"/>
      <c r="GHH6" s="474"/>
      <c r="GHI6" s="473"/>
      <c r="GHJ6" s="474"/>
      <c r="GHK6" s="473"/>
      <c r="GHL6" s="474"/>
      <c r="GHM6" s="473"/>
      <c r="GHN6" s="474"/>
      <c r="GHO6" s="473"/>
      <c r="GHP6" s="474"/>
      <c r="GHQ6" s="473"/>
      <c r="GHR6" s="474"/>
      <c r="GHS6" s="473"/>
      <c r="GHT6" s="474"/>
      <c r="GHU6" s="473"/>
      <c r="GHV6" s="474"/>
      <c r="GHW6" s="473"/>
      <c r="GHX6" s="474"/>
      <c r="GHY6" s="473"/>
      <c r="GHZ6" s="474"/>
      <c r="GIA6" s="473"/>
      <c r="GIB6" s="474"/>
      <c r="GIC6" s="473"/>
      <c r="GID6" s="474"/>
      <c r="GIE6" s="473"/>
      <c r="GIF6" s="474"/>
      <c r="GIG6" s="473"/>
      <c r="GIH6" s="474"/>
      <c r="GII6" s="473"/>
      <c r="GIJ6" s="474"/>
      <c r="GIK6" s="473"/>
      <c r="GIL6" s="474"/>
      <c r="GIM6" s="473"/>
      <c r="GIN6" s="474"/>
      <c r="GIO6" s="473"/>
      <c r="GIP6" s="474"/>
      <c r="GIQ6" s="473"/>
      <c r="GIR6" s="474"/>
      <c r="GIS6" s="473"/>
      <c r="GIT6" s="474"/>
      <c r="GIU6" s="473"/>
      <c r="GIV6" s="474"/>
      <c r="GIW6" s="473"/>
      <c r="GIX6" s="474"/>
      <c r="GIY6" s="473"/>
      <c r="GIZ6" s="474"/>
      <c r="GJA6" s="473"/>
      <c r="GJB6" s="474"/>
      <c r="GJC6" s="473"/>
      <c r="GJD6" s="474"/>
      <c r="GJE6" s="473"/>
      <c r="GJF6" s="474"/>
      <c r="GJG6" s="473"/>
      <c r="GJH6" s="474"/>
      <c r="GJI6" s="473"/>
      <c r="GJJ6" s="474"/>
      <c r="GJK6" s="473"/>
      <c r="GJL6" s="474"/>
      <c r="GJM6" s="473"/>
      <c r="GJN6" s="474"/>
      <c r="GJO6" s="473"/>
      <c r="GJP6" s="474"/>
      <c r="GJQ6" s="473"/>
      <c r="GJR6" s="474"/>
      <c r="GJS6" s="473"/>
      <c r="GJT6" s="474"/>
      <c r="GJU6" s="473"/>
      <c r="GJV6" s="474"/>
      <c r="GJW6" s="473"/>
      <c r="GJX6" s="474"/>
      <c r="GJY6" s="473"/>
      <c r="GJZ6" s="474"/>
      <c r="GKA6" s="473"/>
      <c r="GKB6" s="474"/>
      <c r="GKC6" s="473"/>
      <c r="GKD6" s="474"/>
      <c r="GKE6" s="473"/>
      <c r="GKF6" s="474"/>
      <c r="GKG6" s="473"/>
      <c r="GKH6" s="474"/>
      <c r="GKI6" s="473"/>
      <c r="GKJ6" s="474"/>
      <c r="GKK6" s="473"/>
      <c r="GKL6" s="474"/>
      <c r="GKM6" s="473"/>
      <c r="GKN6" s="474"/>
      <c r="GKO6" s="473"/>
      <c r="GKP6" s="474"/>
      <c r="GKQ6" s="473"/>
      <c r="GKR6" s="474"/>
      <c r="GKS6" s="473"/>
      <c r="GKT6" s="474"/>
      <c r="GKU6" s="473"/>
      <c r="GKV6" s="474"/>
      <c r="GKW6" s="473"/>
      <c r="GKX6" s="474"/>
      <c r="GKY6" s="473"/>
      <c r="GKZ6" s="474"/>
      <c r="GLA6" s="473"/>
      <c r="GLB6" s="474"/>
      <c r="GLC6" s="473"/>
      <c r="GLD6" s="474"/>
      <c r="GLE6" s="473"/>
      <c r="GLF6" s="474"/>
      <c r="GLG6" s="473"/>
      <c r="GLH6" s="474"/>
      <c r="GLI6" s="473"/>
      <c r="GLJ6" s="474"/>
      <c r="GLK6" s="473"/>
      <c r="GLL6" s="474"/>
      <c r="GLM6" s="473"/>
      <c r="GLN6" s="474"/>
      <c r="GLO6" s="473"/>
      <c r="GLP6" s="474"/>
      <c r="GLQ6" s="473"/>
      <c r="GLR6" s="474"/>
      <c r="GLS6" s="473"/>
      <c r="GLT6" s="474"/>
      <c r="GLU6" s="473"/>
      <c r="GLV6" s="474"/>
      <c r="GLW6" s="473"/>
      <c r="GLX6" s="474"/>
      <c r="GLY6" s="473"/>
      <c r="GLZ6" s="474"/>
      <c r="GMA6" s="473"/>
      <c r="GMB6" s="474"/>
      <c r="GMC6" s="473"/>
      <c r="GMD6" s="474"/>
      <c r="GME6" s="473"/>
      <c r="GMF6" s="474"/>
      <c r="GMG6" s="473"/>
      <c r="GMH6" s="474"/>
      <c r="GMI6" s="473"/>
      <c r="GMJ6" s="474"/>
      <c r="GMK6" s="473"/>
      <c r="GML6" s="474"/>
      <c r="GMM6" s="473"/>
      <c r="GMN6" s="474"/>
      <c r="GMO6" s="473"/>
      <c r="GMP6" s="474"/>
      <c r="GMQ6" s="473"/>
      <c r="GMR6" s="474"/>
      <c r="GMS6" s="473"/>
      <c r="GMT6" s="474"/>
      <c r="GMU6" s="473"/>
      <c r="GMV6" s="474"/>
      <c r="GMW6" s="473"/>
      <c r="GMX6" s="474"/>
      <c r="GMY6" s="473"/>
      <c r="GMZ6" s="474"/>
      <c r="GNA6" s="473"/>
      <c r="GNB6" s="474"/>
      <c r="GNC6" s="473"/>
      <c r="GND6" s="474"/>
      <c r="GNE6" s="473"/>
      <c r="GNF6" s="474"/>
      <c r="GNG6" s="473"/>
      <c r="GNH6" s="474"/>
      <c r="GNI6" s="473"/>
      <c r="GNJ6" s="474"/>
      <c r="GNK6" s="473"/>
      <c r="GNL6" s="474"/>
      <c r="GNM6" s="473"/>
      <c r="GNN6" s="474"/>
      <c r="GNO6" s="473"/>
      <c r="GNP6" s="474"/>
      <c r="GNQ6" s="473"/>
      <c r="GNR6" s="474"/>
      <c r="GNS6" s="473"/>
      <c r="GNT6" s="474"/>
      <c r="GNU6" s="473"/>
      <c r="GNV6" s="474"/>
      <c r="GNW6" s="473"/>
      <c r="GNX6" s="474"/>
      <c r="GNY6" s="473"/>
      <c r="GNZ6" s="474"/>
      <c r="GOA6" s="473"/>
      <c r="GOB6" s="474"/>
      <c r="GOC6" s="473"/>
      <c r="GOD6" s="474"/>
      <c r="GOE6" s="473"/>
      <c r="GOF6" s="474"/>
      <c r="GOG6" s="473"/>
      <c r="GOH6" s="474"/>
      <c r="GOI6" s="473"/>
      <c r="GOJ6" s="474"/>
      <c r="GOK6" s="473"/>
      <c r="GOL6" s="474"/>
      <c r="GOM6" s="473"/>
      <c r="GON6" s="474"/>
      <c r="GOO6" s="473"/>
      <c r="GOP6" s="474"/>
      <c r="GOQ6" s="473"/>
      <c r="GOR6" s="474"/>
      <c r="GOS6" s="473"/>
      <c r="GOT6" s="474"/>
      <c r="GOU6" s="473"/>
      <c r="GOV6" s="474"/>
      <c r="GOW6" s="473"/>
      <c r="GOX6" s="474"/>
      <c r="GOY6" s="473"/>
      <c r="GOZ6" s="474"/>
      <c r="GPA6" s="473"/>
      <c r="GPB6" s="474"/>
      <c r="GPC6" s="473"/>
      <c r="GPD6" s="474"/>
      <c r="GPE6" s="473"/>
      <c r="GPF6" s="474"/>
      <c r="GPG6" s="473"/>
      <c r="GPH6" s="474"/>
      <c r="GPI6" s="473"/>
      <c r="GPJ6" s="474"/>
      <c r="GPK6" s="473"/>
      <c r="GPL6" s="474"/>
      <c r="GPM6" s="473"/>
      <c r="GPN6" s="474"/>
      <c r="GPO6" s="473"/>
      <c r="GPP6" s="474"/>
      <c r="GPQ6" s="473"/>
      <c r="GPR6" s="474"/>
      <c r="GPS6" s="473"/>
      <c r="GPT6" s="474"/>
      <c r="GPU6" s="473"/>
      <c r="GPV6" s="474"/>
      <c r="GPW6" s="473"/>
      <c r="GPX6" s="474"/>
      <c r="GPY6" s="473"/>
      <c r="GPZ6" s="474"/>
      <c r="GQA6" s="473"/>
      <c r="GQB6" s="474"/>
      <c r="GQC6" s="473"/>
      <c r="GQD6" s="474"/>
      <c r="GQE6" s="473"/>
      <c r="GQF6" s="474"/>
      <c r="GQG6" s="473"/>
      <c r="GQH6" s="474"/>
      <c r="GQI6" s="473"/>
      <c r="GQJ6" s="474"/>
      <c r="GQK6" s="473"/>
      <c r="GQL6" s="474"/>
      <c r="GQM6" s="473"/>
      <c r="GQN6" s="474"/>
      <c r="GQO6" s="473"/>
      <c r="GQP6" s="474"/>
      <c r="GQQ6" s="473"/>
      <c r="GQR6" s="474"/>
      <c r="GQS6" s="473"/>
      <c r="GQT6" s="474"/>
      <c r="GQU6" s="473"/>
      <c r="GQV6" s="474"/>
      <c r="GQW6" s="473"/>
      <c r="GQX6" s="474"/>
      <c r="GQY6" s="473"/>
      <c r="GQZ6" s="474"/>
      <c r="GRA6" s="473"/>
      <c r="GRB6" s="474"/>
      <c r="GRC6" s="473"/>
      <c r="GRD6" s="474"/>
      <c r="GRE6" s="473"/>
      <c r="GRF6" s="474"/>
      <c r="GRG6" s="473"/>
      <c r="GRH6" s="474"/>
      <c r="GRI6" s="473"/>
      <c r="GRJ6" s="474"/>
      <c r="GRK6" s="473"/>
      <c r="GRL6" s="474"/>
      <c r="GRM6" s="473"/>
      <c r="GRN6" s="474"/>
      <c r="GRO6" s="473"/>
      <c r="GRP6" s="474"/>
      <c r="GRQ6" s="473"/>
      <c r="GRR6" s="474"/>
      <c r="GRS6" s="473"/>
      <c r="GRT6" s="474"/>
      <c r="GRU6" s="473"/>
      <c r="GRV6" s="474"/>
      <c r="GRW6" s="473"/>
      <c r="GRX6" s="474"/>
      <c r="GRY6" s="473"/>
      <c r="GRZ6" s="474"/>
      <c r="GSA6" s="473"/>
      <c r="GSB6" s="474"/>
      <c r="GSC6" s="473"/>
      <c r="GSD6" s="474"/>
      <c r="GSE6" s="473"/>
      <c r="GSF6" s="474"/>
      <c r="GSG6" s="473"/>
      <c r="GSH6" s="474"/>
      <c r="GSI6" s="473"/>
      <c r="GSJ6" s="474"/>
      <c r="GSK6" s="473"/>
      <c r="GSL6" s="474"/>
      <c r="GSM6" s="473"/>
      <c r="GSN6" s="474"/>
      <c r="GSO6" s="473"/>
      <c r="GSP6" s="474"/>
      <c r="GSQ6" s="473"/>
      <c r="GSR6" s="474"/>
      <c r="GSS6" s="473"/>
      <c r="GST6" s="474"/>
      <c r="GSU6" s="473"/>
      <c r="GSV6" s="474"/>
      <c r="GSW6" s="473"/>
      <c r="GSX6" s="474"/>
      <c r="GSY6" s="473"/>
      <c r="GSZ6" s="474"/>
      <c r="GTA6" s="473"/>
      <c r="GTB6" s="474"/>
      <c r="GTC6" s="473"/>
      <c r="GTD6" s="474"/>
      <c r="GTE6" s="473"/>
      <c r="GTF6" s="474"/>
      <c r="GTG6" s="473"/>
      <c r="GTH6" s="474"/>
      <c r="GTI6" s="473"/>
      <c r="GTJ6" s="474"/>
      <c r="GTK6" s="473"/>
      <c r="GTL6" s="474"/>
      <c r="GTM6" s="473"/>
      <c r="GTN6" s="474"/>
      <c r="GTO6" s="473"/>
      <c r="GTP6" s="474"/>
      <c r="GTQ6" s="473"/>
      <c r="GTR6" s="474"/>
      <c r="GTS6" s="473"/>
      <c r="GTT6" s="474"/>
      <c r="GTU6" s="473"/>
      <c r="GTV6" s="474"/>
      <c r="GTW6" s="473"/>
      <c r="GTX6" s="474"/>
      <c r="GTY6" s="473"/>
      <c r="GTZ6" s="474"/>
      <c r="GUA6" s="473"/>
      <c r="GUB6" s="474"/>
      <c r="GUC6" s="473"/>
      <c r="GUD6" s="474"/>
      <c r="GUE6" s="473"/>
      <c r="GUF6" s="474"/>
      <c r="GUG6" s="473"/>
      <c r="GUH6" s="474"/>
      <c r="GUI6" s="473"/>
      <c r="GUJ6" s="474"/>
      <c r="GUK6" s="473"/>
      <c r="GUL6" s="474"/>
      <c r="GUM6" s="473"/>
      <c r="GUN6" s="474"/>
      <c r="GUO6" s="473"/>
      <c r="GUP6" s="474"/>
      <c r="GUQ6" s="473"/>
      <c r="GUR6" s="474"/>
      <c r="GUS6" s="473"/>
      <c r="GUT6" s="474"/>
      <c r="GUU6" s="473"/>
      <c r="GUV6" s="474"/>
      <c r="GUW6" s="473"/>
      <c r="GUX6" s="474"/>
      <c r="GUY6" s="473"/>
      <c r="GUZ6" s="474"/>
      <c r="GVA6" s="473"/>
      <c r="GVB6" s="474"/>
      <c r="GVC6" s="473"/>
      <c r="GVD6" s="474"/>
      <c r="GVE6" s="473"/>
      <c r="GVF6" s="474"/>
      <c r="GVG6" s="473"/>
      <c r="GVH6" s="474"/>
      <c r="GVI6" s="473"/>
      <c r="GVJ6" s="474"/>
      <c r="GVK6" s="473"/>
      <c r="GVL6" s="474"/>
      <c r="GVM6" s="473"/>
      <c r="GVN6" s="474"/>
      <c r="GVO6" s="473"/>
      <c r="GVP6" s="474"/>
      <c r="GVQ6" s="473"/>
      <c r="GVR6" s="474"/>
      <c r="GVS6" s="473"/>
      <c r="GVT6" s="474"/>
      <c r="GVU6" s="473"/>
      <c r="GVV6" s="474"/>
      <c r="GVW6" s="473"/>
      <c r="GVX6" s="474"/>
      <c r="GVY6" s="473"/>
      <c r="GVZ6" s="474"/>
      <c r="GWA6" s="473"/>
      <c r="GWB6" s="474"/>
      <c r="GWC6" s="473"/>
      <c r="GWD6" s="474"/>
      <c r="GWE6" s="473"/>
      <c r="GWF6" s="474"/>
      <c r="GWG6" s="473"/>
      <c r="GWH6" s="474"/>
      <c r="GWI6" s="473"/>
      <c r="GWJ6" s="474"/>
      <c r="GWK6" s="473"/>
      <c r="GWL6" s="474"/>
      <c r="GWM6" s="473"/>
      <c r="GWN6" s="474"/>
      <c r="GWO6" s="473"/>
      <c r="GWP6" s="474"/>
      <c r="GWQ6" s="473"/>
      <c r="GWR6" s="474"/>
      <c r="GWS6" s="473"/>
      <c r="GWT6" s="474"/>
      <c r="GWU6" s="473"/>
      <c r="GWV6" s="474"/>
      <c r="GWW6" s="473"/>
      <c r="GWX6" s="474"/>
      <c r="GWY6" s="473"/>
      <c r="GWZ6" s="474"/>
      <c r="GXA6" s="473"/>
      <c r="GXB6" s="474"/>
      <c r="GXC6" s="473"/>
      <c r="GXD6" s="474"/>
      <c r="GXE6" s="473"/>
      <c r="GXF6" s="474"/>
      <c r="GXG6" s="473"/>
      <c r="GXH6" s="474"/>
      <c r="GXI6" s="473"/>
      <c r="GXJ6" s="474"/>
      <c r="GXK6" s="473"/>
      <c r="GXL6" s="474"/>
      <c r="GXM6" s="473"/>
      <c r="GXN6" s="474"/>
      <c r="GXO6" s="473"/>
      <c r="GXP6" s="474"/>
      <c r="GXQ6" s="473"/>
      <c r="GXR6" s="474"/>
      <c r="GXS6" s="473"/>
      <c r="GXT6" s="474"/>
      <c r="GXU6" s="473"/>
      <c r="GXV6" s="474"/>
      <c r="GXW6" s="473"/>
      <c r="GXX6" s="474"/>
      <c r="GXY6" s="473"/>
      <c r="GXZ6" s="474"/>
      <c r="GYA6" s="473"/>
      <c r="GYB6" s="474"/>
      <c r="GYC6" s="473"/>
      <c r="GYD6" s="474"/>
      <c r="GYE6" s="473"/>
      <c r="GYF6" s="474"/>
      <c r="GYG6" s="473"/>
      <c r="GYH6" s="474"/>
      <c r="GYI6" s="473"/>
      <c r="GYJ6" s="474"/>
      <c r="GYK6" s="473"/>
      <c r="GYL6" s="474"/>
      <c r="GYM6" s="473"/>
      <c r="GYN6" s="474"/>
      <c r="GYO6" s="473"/>
      <c r="GYP6" s="474"/>
      <c r="GYQ6" s="473"/>
      <c r="GYR6" s="474"/>
      <c r="GYS6" s="473"/>
      <c r="GYT6" s="474"/>
      <c r="GYU6" s="473"/>
      <c r="GYV6" s="474"/>
      <c r="GYW6" s="473"/>
      <c r="GYX6" s="474"/>
      <c r="GYY6" s="473"/>
      <c r="GYZ6" s="474"/>
      <c r="GZA6" s="473"/>
      <c r="GZB6" s="474"/>
      <c r="GZC6" s="473"/>
      <c r="GZD6" s="474"/>
      <c r="GZE6" s="473"/>
      <c r="GZF6" s="474"/>
      <c r="GZG6" s="473"/>
      <c r="GZH6" s="474"/>
      <c r="GZI6" s="473"/>
      <c r="GZJ6" s="474"/>
      <c r="GZK6" s="473"/>
      <c r="GZL6" s="474"/>
      <c r="GZM6" s="473"/>
      <c r="GZN6" s="474"/>
      <c r="GZO6" s="473"/>
      <c r="GZP6" s="474"/>
      <c r="GZQ6" s="473"/>
      <c r="GZR6" s="474"/>
      <c r="GZS6" s="473"/>
      <c r="GZT6" s="474"/>
      <c r="GZU6" s="473"/>
      <c r="GZV6" s="474"/>
      <c r="GZW6" s="473"/>
      <c r="GZX6" s="474"/>
      <c r="GZY6" s="473"/>
      <c r="GZZ6" s="474"/>
      <c r="HAA6" s="473"/>
      <c r="HAB6" s="474"/>
      <c r="HAC6" s="473"/>
      <c r="HAD6" s="474"/>
      <c r="HAE6" s="473"/>
      <c r="HAF6" s="474"/>
      <c r="HAG6" s="473"/>
      <c r="HAH6" s="474"/>
      <c r="HAI6" s="473"/>
      <c r="HAJ6" s="474"/>
      <c r="HAK6" s="473"/>
      <c r="HAL6" s="474"/>
      <c r="HAM6" s="473"/>
      <c r="HAN6" s="474"/>
      <c r="HAO6" s="473"/>
      <c r="HAP6" s="474"/>
      <c r="HAQ6" s="473"/>
      <c r="HAR6" s="474"/>
      <c r="HAS6" s="473"/>
      <c r="HAT6" s="474"/>
      <c r="HAU6" s="473"/>
      <c r="HAV6" s="474"/>
      <c r="HAW6" s="473"/>
      <c r="HAX6" s="474"/>
      <c r="HAY6" s="473"/>
      <c r="HAZ6" s="474"/>
      <c r="HBA6" s="473"/>
      <c r="HBB6" s="474"/>
      <c r="HBC6" s="473"/>
      <c r="HBD6" s="474"/>
      <c r="HBE6" s="473"/>
      <c r="HBF6" s="474"/>
      <c r="HBG6" s="473"/>
      <c r="HBH6" s="474"/>
      <c r="HBI6" s="473"/>
      <c r="HBJ6" s="474"/>
      <c r="HBK6" s="473"/>
      <c r="HBL6" s="474"/>
      <c r="HBM6" s="473"/>
      <c r="HBN6" s="474"/>
      <c r="HBO6" s="473"/>
      <c r="HBP6" s="474"/>
      <c r="HBQ6" s="473"/>
      <c r="HBR6" s="474"/>
      <c r="HBS6" s="473"/>
      <c r="HBT6" s="474"/>
      <c r="HBU6" s="473"/>
      <c r="HBV6" s="474"/>
      <c r="HBW6" s="473"/>
      <c r="HBX6" s="474"/>
      <c r="HBY6" s="473"/>
      <c r="HBZ6" s="474"/>
      <c r="HCA6" s="473"/>
      <c r="HCB6" s="474"/>
      <c r="HCC6" s="473"/>
      <c r="HCD6" s="474"/>
      <c r="HCE6" s="473"/>
      <c r="HCF6" s="474"/>
      <c r="HCG6" s="473"/>
      <c r="HCH6" s="474"/>
      <c r="HCI6" s="473"/>
      <c r="HCJ6" s="474"/>
      <c r="HCK6" s="473"/>
      <c r="HCL6" s="474"/>
      <c r="HCM6" s="473"/>
      <c r="HCN6" s="474"/>
      <c r="HCO6" s="473"/>
      <c r="HCP6" s="474"/>
      <c r="HCQ6" s="473"/>
      <c r="HCR6" s="474"/>
      <c r="HCS6" s="473"/>
      <c r="HCT6" s="474"/>
      <c r="HCU6" s="473"/>
      <c r="HCV6" s="474"/>
      <c r="HCW6" s="473"/>
      <c r="HCX6" s="474"/>
      <c r="HCY6" s="473"/>
      <c r="HCZ6" s="474"/>
      <c r="HDA6" s="473"/>
      <c r="HDB6" s="474"/>
      <c r="HDC6" s="473"/>
      <c r="HDD6" s="474"/>
      <c r="HDE6" s="473"/>
      <c r="HDF6" s="474"/>
      <c r="HDG6" s="473"/>
      <c r="HDH6" s="474"/>
      <c r="HDI6" s="473"/>
      <c r="HDJ6" s="474"/>
      <c r="HDK6" s="473"/>
      <c r="HDL6" s="474"/>
      <c r="HDM6" s="473"/>
      <c r="HDN6" s="474"/>
      <c r="HDO6" s="473"/>
      <c r="HDP6" s="474"/>
      <c r="HDQ6" s="473"/>
      <c r="HDR6" s="474"/>
      <c r="HDS6" s="473"/>
      <c r="HDT6" s="474"/>
      <c r="HDU6" s="473"/>
      <c r="HDV6" s="474"/>
      <c r="HDW6" s="473"/>
      <c r="HDX6" s="474"/>
      <c r="HDY6" s="473"/>
      <c r="HDZ6" s="474"/>
      <c r="HEA6" s="473"/>
      <c r="HEB6" s="474"/>
      <c r="HEC6" s="473"/>
      <c r="HED6" s="474"/>
      <c r="HEE6" s="473"/>
      <c r="HEF6" s="474"/>
      <c r="HEG6" s="473"/>
      <c r="HEH6" s="474"/>
      <c r="HEI6" s="473"/>
      <c r="HEJ6" s="474"/>
      <c r="HEK6" s="473"/>
      <c r="HEL6" s="474"/>
      <c r="HEM6" s="473"/>
      <c r="HEN6" s="474"/>
      <c r="HEO6" s="473"/>
      <c r="HEP6" s="474"/>
      <c r="HEQ6" s="473"/>
      <c r="HER6" s="474"/>
      <c r="HES6" s="473"/>
      <c r="HET6" s="474"/>
      <c r="HEU6" s="473"/>
      <c r="HEV6" s="474"/>
      <c r="HEW6" s="473"/>
      <c r="HEX6" s="474"/>
      <c r="HEY6" s="473"/>
      <c r="HEZ6" s="474"/>
      <c r="HFA6" s="473"/>
      <c r="HFB6" s="474"/>
      <c r="HFC6" s="473"/>
      <c r="HFD6" s="474"/>
      <c r="HFE6" s="473"/>
      <c r="HFF6" s="474"/>
      <c r="HFG6" s="473"/>
      <c r="HFH6" s="474"/>
      <c r="HFI6" s="473"/>
      <c r="HFJ6" s="474"/>
      <c r="HFK6" s="473"/>
      <c r="HFL6" s="474"/>
      <c r="HFM6" s="473"/>
      <c r="HFN6" s="474"/>
      <c r="HFO6" s="473"/>
      <c r="HFP6" s="474"/>
      <c r="HFQ6" s="473"/>
      <c r="HFR6" s="474"/>
      <c r="HFS6" s="473"/>
      <c r="HFT6" s="474"/>
      <c r="HFU6" s="473"/>
      <c r="HFV6" s="474"/>
      <c r="HFW6" s="473"/>
      <c r="HFX6" s="474"/>
      <c r="HFY6" s="473"/>
      <c r="HFZ6" s="474"/>
      <c r="HGA6" s="473"/>
      <c r="HGB6" s="474"/>
      <c r="HGC6" s="473"/>
      <c r="HGD6" s="474"/>
      <c r="HGE6" s="473"/>
      <c r="HGF6" s="474"/>
      <c r="HGG6" s="473"/>
      <c r="HGH6" s="474"/>
      <c r="HGI6" s="473"/>
      <c r="HGJ6" s="474"/>
      <c r="HGK6" s="473"/>
      <c r="HGL6" s="474"/>
      <c r="HGM6" s="473"/>
      <c r="HGN6" s="474"/>
      <c r="HGO6" s="473"/>
      <c r="HGP6" s="474"/>
      <c r="HGQ6" s="473"/>
      <c r="HGR6" s="474"/>
      <c r="HGS6" s="473"/>
      <c r="HGT6" s="474"/>
      <c r="HGU6" s="473"/>
      <c r="HGV6" s="474"/>
      <c r="HGW6" s="473"/>
      <c r="HGX6" s="474"/>
      <c r="HGY6" s="473"/>
      <c r="HGZ6" s="474"/>
      <c r="HHA6" s="473"/>
      <c r="HHB6" s="474"/>
      <c r="HHC6" s="473"/>
      <c r="HHD6" s="474"/>
      <c r="HHE6" s="473"/>
      <c r="HHF6" s="474"/>
      <c r="HHG6" s="473"/>
      <c r="HHH6" s="474"/>
      <c r="HHI6" s="473"/>
      <c r="HHJ6" s="474"/>
      <c r="HHK6" s="473"/>
      <c r="HHL6" s="474"/>
      <c r="HHM6" s="473"/>
      <c r="HHN6" s="474"/>
      <c r="HHO6" s="473"/>
      <c r="HHP6" s="474"/>
      <c r="HHQ6" s="473"/>
      <c r="HHR6" s="474"/>
      <c r="HHS6" s="473"/>
      <c r="HHT6" s="474"/>
      <c r="HHU6" s="473"/>
      <c r="HHV6" s="474"/>
      <c r="HHW6" s="473"/>
      <c r="HHX6" s="474"/>
      <c r="HHY6" s="473"/>
      <c r="HHZ6" s="474"/>
      <c r="HIA6" s="473"/>
      <c r="HIB6" s="474"/>
      <c r="HIC6" s="473"/>
      <c r="HID6" s="474"/>
      <c r="HIE6" s="473"/>
      <c r="HIF6" s="474"/>
      <c r="HIG6" s="473"/>
      <c r="HIH6" s="474"/>
      <c r="HII6" s="473"/>
      <c r="HIJ6" s="474"/>
      <c r="HIK6" s="473"/>
      <c r="HIL6" s="474"/>
      <c r="HIM6" s="473"/>
      <c r="HIN6" s="474"/>
      <c r="HIO6" s="473"/>
      <c r="HIP6" s="474"/>
      <c r="HIQ6" s="473"/>
      <c r="HIR6" s="474"/>
      <c r="HIS6" s="473"/>
      <c r="HIT6" s="474"/>
      <c r="HIU6" s="473"/>
      <c r="HIV6" s="474"/>
      <c r="HIW6" s="473"/>
      <c r="HIX6" s="474"/>
      <c r="HIY6" s="473"/>
      <c r="HIZ6" s="474"/>
      <c r="HJA6" s="473"/>
      <c r="HJB6" s="474"/>
      <c r="HJC6" s="473"/>
      <c r="HJD6" s="474"/>
      <c r="HJE6" s="473"/>
      <c r="HJF6" s="474"/>
      <c r="HJG6" s="473"/>
      <c r="HJH6" s="474"/>
      <c r="HJI6" s="473"/>
      <c r="HJJ6" s="474"/>
      <c r="HJK6" s="473"/>
      <c r="HJL6" s="474"/>
      <c r="HJM6" s="473"/>
      <c r="HJN6" s="474"/>
      <c r="HJO6" s="473"/>
      <c r="HJP6" s="474"/>
      <c r="HJQ6" s="473"/>
      <c r="HJR6" s="474"/>
      <c r="HJS6" s="473"/>
      <c r="HJT6" s="474"/>
      <c r="HJU6" s="473"/>
      <c r="HJV6" s="474"/>
      <c r="HJW6" s="473"/>
      <c r="HJX6" s="474"/>
      <c r="HJY6" s="473"/>
      <c r="HJZ6" s="474"/>
      <c r="HKA6" s="473"/>
      <c r="HKB6" s="474"/>
      <c r="HKC6" s="473"/>
      <c r="HKD6" s="474"/>
      <c r="HKE6" s="473"/>
      <c r="HKF6" s="474"/>
      <c r="HKG6" s="473"/>
      <c r="HKH6" s="474"/>
      <c r="HKI6" s="473"/>
      <c r="HKJ6" s="474"/>
      <c r="HKK6" s="473"/>
      <c r="HKL6" s="474"/>
      <c r="HKM6" s="473"/>
      <c r="HKN6" s="474"/>
      <c r="HKO6" s="473"/>
      <c r="HKP6" s="474"/>
      <c r="HKQ6" s="473"/>
      <c r="HKR6" s="474"/>
      <c r="HKS6" s="473"/>
      <c r="HKT6" s="474"/>
      <c r="HKU6" s="473"/>
      <c r="HKV6" s="474"/>
      <c r="HKW6" s="473"/>
      <c r="HKX6" s="474"/>
      <c r="HKY6" s="473"/>
      <c r="HKZ6" s="474"/>
      <c r="HLA6" s="473"/>
      <c r="HLB6" s="474"/>
      <c r="HLC6" s="473"/>
      <c r="HLD6" s="474"/>
      <c r="HLE6" s="473"/>
      <c r="HLF6" s="474"/>
      <c r="HLG6" s="473"/>
      <c r="HLH6" s="474"/>
      <c r="HLI6" s="473"/>
      <c r="HLJ6" s="474"/>
      <c r="HLK6" s="473"/>
      <c r="HLL6" s="474"/>
      <c r="HLM6" s="473"/>
      <c r="HLN6" s="474"/>
      <c r="HLO6" s="473"/>
      <c r="HLP6" s="474"/>
      <c r="HLQ6" s="473"/>
      <c r="HLR6" s="474"/>
      <c r="HLS6" s="473"/>
      <c r="HLT6" s="474"/>
      <c r="HLU6" s="473"/>
      <c r="HLV6" s="474"/>
      <c r="HLW6" s="473"/>
      <c r="HLX6" s="474"/>
      <c r="HLY6" s="473"/>
      <c r="HLZ6" s="474"/>
      <c r="HMA6" s="473"/>
      <c r="HMB6" s="474"/>
      <c r="HMC6" s="473"/>
      <c r="HMD6" s="474"/>
      <c r="HME6" s="473"/>
      <c r="HMF6" s="474"/>
      <c r="HMG6" s="473"/>
      <c r="HMH6" s="474"/>
      <c r="HMI6" s="473"/>
      <c r="HMJ6" s="474"/>
      <c r="HMK6" s="473"/>
      <c r="HML6" s="474"/>
      <c r="HMM6" s="473"/>
      <c r="HMN6" s="474"/>
      <c r="HMO6" s="473"/>
      <c r="HMP6" s="474"/>
      <c r="HMQ6" s="473"/>
      <c r="HMR6" s="474"/>
      <c r="HMS6" s="473"/>
      <c r="HMT6" s="474"/>
      <c r="HMU6" s="473"/>
      <c r="HMV6" s="474"/>
      <c r="HMW6" s="473"/>
      <c r="HMX6" s="474"/>
      <c r="HMY6" s="473"/>
      <c r="HMZ6" s="474"/>
      <c r="HNA6" s="473"/>
      <c r="HNB6" s="474"/>
      <c r="HNC6" s="473"/>
      <c r="HND6" s="474"/>
      <c r="HNE6" s="473"/>
      <c r="HNF6" s="474"/>
      <c r="HNG6" s="473"/>
      <c r="HNH6" s="474"/>
      <c r="HNI6" s="473"/>
      <c r="HNJ6" s="474"/>
      <c r="HNK6" s="473"/>
      <c r="HNL6" s="474"/>
      <c r="HNM6" s="473"/>
      <c r="HNN6" s="474"/>
      <c r="HNO6" s="473"/>
      <c r="HNP6" s="474"/>
      <c r="HNQ6" s="473"/>
      <c r="HNR6" s="474"/>
      <c r="HNS6" s="473"/>
      <c r="HNT6" s="474"/>
      <c r="HNU6" s="473"/>
      <c r="HNV6" s="474"/>
      <c r="HNW6" s="473"/>
      <c r="HNX6" s="474"/>
      <c r="HNY6" s="473"/>
      <c r="HNZ6" s="474"/>
      <c r="HOA6" s="473"/>
      <c r="HOB6" s="474"/>
      <c r="HOC6" s="473"/>
      <c r="HOD6" s="474"/>
      <c r="HOE6" s="473"/>
      <c r="HOF6" s="474"/>
      <c r="HOG6" s="473"/>
      <c r="HOH6" s="474"/>
      <c r="HOI6" s="473"/>
      <c r="HOJ6" s="474"/>
      <c r="HOK6" s="473"/>
      <c r="HOL6" s="474"/>
      <c r="HOM6" s="473"/>
      <c r="HON6" s="474"/>
      <c r="HOO6" s="473"/>
      <c r="HOP6" s="474"/>
      <c r="HOQ6" s="473"/>
      <c r="HOR6" s="474"/>
      <c r="HOS6" s="473"/>
      <c r="HOT6" s="474"/>
      <c r="HOU6" s="473"/>
      <c r="HOV6" s="474"/>
      <c r="HOW6" s="473"/>
      <c r="HOX6" s="474"/>
      <c r="HOY6" s="473"/>
      <c r="HOZ6" s="474"/>
      <c r="HPA6" s="473"/>
      <c r="HPB6" s="474"/>
      <c r="HPC6" s="473"/>
      <c r="HPD6" s="474"/>
      <c r="HPE6" s="473"/>
      <c r="HPF6" s="474"/>
      <c r="HPG6" s="473"/>
      <c r="HPH6" s="474"/>
      <c r="HPI6" s="473"/>
      <c r="HPJ6" s="474"/>
      <c r="HPK6" s="473"/>
      <c r="HPL6" s="474"/>
      <c r="HPM6" s="473"/>
      <c r="HPN6" s="474"/>
      <c r="HPO6" s="473"/>
      <c r="HPP6" s="474"/>
      <c r="HPQ6" s="473"/>
      <c r="HPR6" s="474"/>
      <c r="HPS6" s="473"/>
      <c r="HPT6" s="474"/>
      <c r="HPU6" s="473"/>
      <c r="HPV6" s="474"/>
      <c r="HPW6" s="473"/>
      <c r="HPX6" s="474"/>
      <c r="HPY6" s="473"/>
      <c r="HPZ6" s="474"/>
      <c r="HQA6" s="473"/>
      <c r="HQB6" s="474"/>
      <c r="HQC6" s="473"/>
      <c r="HQD6" s="474"/>
      <c r="HQE6" s="473"/>
      <c r="HQF6" s="474"/>
      <c r="HQG6" s="473"/>
      <c r="HQH6" s="474"/>
      <c r="HQI6" s="473"/>
      <c r="HQJ6" s="474"/>
      <c r="HQK6" s="473"/>
      <c r="HQL6" s="474"/>
      <c r="HQM6" s="473"/>
      <c r="HQN6" s="474"/>
      <c r="HQO6" s="473"/>
      <c r="HQP6" s="474"/>
      <c r="HQQ6" s="473"/>
      <c r="HQR6" s="474"/>
      <c r="HQS6" s="473"/>
      <c r="HQT6" s="474"/>
      <c r="HQU6" s="473"/>
      <c r="HQV6" s="474"/>
      <c r="HQW6" s="473"/>
      <c r="HQX6" s="474"/>
      <c r="HQY6" s="473"/>
      <c r="HQZ6" s="474"/>
      <c r="HRA6" s="473"/>
      <c r="HRB6" s="474"/>
      <c r="HRC6" s="473"/>
      <c r="HRD6" s="474"/>
      <c r="HRE6" s="473"/>
      <c r="HRF6" s="474"/>
      <c r="HRG6" s="473"/>
      <c r="HRH6" s="474"/>
      <c r="HRI6" s="473"/>
      <c r="HRJ6" s="474"/>
      <c r="HRK6" s="473"/>
      <c r="HRL6" s="474"/>
      <c r="HRM6" s="473"/>
      <c r="HRN6" s="474"/>
      <c r="HRO6" s="473"/>
      <c r="HRP6" s="474"/>
      <c r="HRQ6" s="473"/>
      <c r="HRR6" s="474"/>
      <c r="HRS6" s="473"/>
      <c r="HRT6" s="474"/>
      <c r="HRU6" s="473"/>
      <c r="HRV6" s="474"/>
      <c r="HRW6" s="473"/>
      <c r="HRX6" s="474"/>
      <c r="HRY6" s="473"/>
      <c r="HRZ6" s="474"/>
      <c r="HSA6" s="473"/>
      <c r="HSB6" s="474"/>
      <c r="HSC6" s="473"/>
      <c r="HSD6" s="474"/>
      <c r="HSE6" s="473"/>
      <c r="HSF6" s="474"/>
      <c r="HSG6" s="473"/>
      <c r="HSH6" s="474"/>
      <c r="HSI6" s="473"/>
      <c r="HSJ6" s="474"/>
      <c r="HSK6" s="473"/>
      <c r="HSL6" s="474"/>
      <c r="HSM6" s="473"/>
      <c r="HSN6" s="474"/>
      <c r="HSO6" s="473"/>
      <c r="HSP6" s="474"/>
      <c r="HSQ6" s="473"/>
      <c r="HSR6" s="474"/>
      <c r="HSS6" s="473"/>
      <c r="HST6" s="474"/>
      <c r="HSU6" s="473"/>
      <c r="HSV6" s="474"/>
      <c r="HSW6" s="473"/>
      <c r="HSX6" s="474"/>
      <c r="HSY6" s="473"/>
      <c r="HSZ6" s="474"/>
      <c r="HTA6" s="473"/>
      <c r="HTB6" s="474"/>
      <c r="HTC6" s="473"/>
      <c r="HTD6" s="474"/>
      <c r="HTE6" s="473"/>
      <c r="HTF6" s="474"/>
      <c r="HTG6" s="473"/>
      <c r="HTH6" s="474"/>
      <c r="HTI6" s="473"/>
      <c r="HTJ6" s="474"/>
      <c r="HTK6" s="473"/>
      <c r="HTL6" s="474"/>
      <c r="HTM6" s="473"/>
      <c r="HTN6" s="474"/>
      <c r="HTO6" s="473"/>
      <c r="HTP6" s="474"/>
      <c r="HTQ6" s="473"/>
      <c r="HTR6" s="474"/>
      <c r="HTS6" s="473"/>
      <c r="HTT6" s="474"/>
      <c r="HTU6" s="473"/>
      <c r="HTV6" s="474"/>
      <c r="HTW6" s="473"/>
      <c r="HTX6" s="474"/>
      <c r="HTY6" s="473"/>
      <c r="HTZ6" s="474"/>
      <c r="HUA6" s="473"/>
      <c r="HUB6" s="474"/>
      <c r="HUC6" s="473"/>
      <c r="HUD6" s="474"/>
      <c r="HUE6" s="473"/>
      <c r="HUF6" s="474"/>
      <c r="HUG6" s="473"/>
      <c r="HUH6" s="474"/>
      <c r="HUI6" s="473"/>
      <c r="HUJ6" s="474"/>
      <c r="HUK6" s="473"/>
      <c r="HUL6" s="474"/>
      <c r="HUM6" s="473"/>
      <c r="HUN6" s="474"/>
      <c r="HUO6" s="473"/>
      <c r="HUP6" s="474"/>
      <c r="HUQ6" s="473"/>
      <c r="HUR6" s="474"/>
      <c r="HUS6" s="473"/>
      <c r="HUT6" s="474"/>
      <c r="HUU6" s="473"/>
      <c r="HUV6" s="474"/>
      <c r="HUW6" s="473"/>
      <c r="HUX6" s="474"/>
      <c r="HUY6" s="473"/>
      <c r="HUZ6" s="474"/>
      <c r="HVA6" s="473"/>
      <c r="HVB6" s="474"/>
      <c r="HVC6" s="473"/>
      <c r="HVD6" s="474"/>
      <c r="HVE6" s="473"/>
      <c r="HVF6" s="474"/>
      <c r="HVG6" s="473"/>
      <c r="HVH6" s="474"/>
      <c r="HVI6" s="473"/>
      <c r="HVJ6" s="474"/>
      <c r="HVK6" s="473"/>
      <c r="HVL6" s="474"/>
      <c r="HVM6" s="473"/>
      <c r="HVN6" s="474"/>
      <c r="HVO6" s="473"/>
      <c r="HVP6" s="474"/>
      <c r="HVQ6" s="473"/>
      <c r="HVR6" s="474"/>
      <c r="HVS6" s="473"/>
      <c r="HVT6" s="474"/>
      <c r="HVU6" s="473"/>
      <c r="HVV6" s="474"/>
      <c r="HVW6" s="473"/>
      <c r="HVX6" s="474"/>
      <c r="HVY6" s="473"/>
      <c r="HVZ6" s="474"/>
      <c r="HWA6" s="473"/>
      <c r="HWB6" s="474"/>
      <c r="HWC6" s="473"/>
      <c r="HWD6" s="474"/>
      <c r="HWE6" s="473"/>
      <c r="HWF6" s="474"/>
      <c r="HWG6" s="473"/>
      <c r="HWH6" s="474"/>
      <c r="HWI6" s="473"/>
      <c r="HWJ6" s="474"/>
      <c r="HWK6" s="473"/>
      <c r="HWL6" s="474"/>
      <c r="HWM6" s="473"/>
      <c r="HWN6" s="474"/>
      <c r="HWO6" s="473"/>
      <c r="HWP6" s="474"/>
      <c r="HWQ6" s="473"/>
      <c r="HWR6" s="474"/>
      <c r="HWS6" s="473"/>
      <c r="HWT6" s="474"/>
      <c r="HWU6" s="473"/>
      <c r="HWV6" s="474"/>
      <c r="HWW6" s="473"/>
      <c r="HWX6" s="474"/>
      <c r="HWY6" s="473"/>
      <c r="HWZ6" s="474"/>
      <c r="HXA6" s="473"/>
      <c r="HXB6" s="474"/>
      <c r="HXC6" s="473"/>
      <c r="HXD6" s="474"/>
      <c r="HXE6" s="473"/>
      <c r="HXF6" s="474"/>
      <c r="HXG6" s="473"/>
      <c r="HXH6" s="474"/>
      <c r="HXI6" s="473"/>
      <c r="HXJ6" s="474"/>
      <c r="HXK6" s="473"/>
      <c r="HXL6" s="474"/>
      <c r="HXM6" s="473"/>
      <c r="HXN6" s="474"/>
      <c r="HXO6" s="473"/>
      <c r="HXP6" s="474"/>
      <c r="HXQ6" s="473"/>
      <c r="HXR6" s="474"/>
      <c r="HXS6" s="473"/>
      <c r="HXT6" s="474"/>
      <c r="HXU6" s="473"/>
      <c r="HXV6" s="474"/>
      <c r="HXW6" s="473"/>
      <c r="HXX6" s="474"/>
      <c r="HXY6" s="473"/>
      <c r="HXZ6" s="474"/>
      <c r="HYA6" s="473"/>
      <c r="HYB6" s="474"/>
      <c r="HYC6" s="473"/>
      <c r="HYD6" s="474"/>
      <c r="HYE6" s="473"/>
      <c r="HYF6" s="474"/>
      <c r="HYG6" s="473"/>
      <c r="HYH6" s="474"/>
      <c r="HYI6" s="473"/>
      <c r="HYJ6" s="474"/>
      <c r="HYK6" s="473"/>
      <c r="HYL6" s="474"/>
      <c r="HYM6" s="473"/>
      <c r="HYN6" s="474"/>
      <c r="HYO6" s="473"/>
      <c r="HYP6" s="474"/>
      <c r="HYQ6" s="473"/>
      <c r="HYR6" s="474"/>
      <c r="HYS6" s="473"/>
      <c r="HYT6" s="474"/>
      <c r="HYU6" s="473"/>
      <c r="HYV6" s="474"/>
      <c r="HYW6" s="473"/>
      <c r="HYX6" s="474"/>
      <c r="HYY6" s="473"/>
      <c r="HYZ6" s="474"/>
      <c r="HZA6" s="473"/>
      <c r="HZB6" s="474"/>
      <c r="HZC6" s="473"/>
      <c r="HZD6" s="474"/>
      <c r="HZE6" s="473"/>
      <c r="HZF6" s="474"/>
      <c r="HZG6" s="473"/>
      <c r="HZH6" s="474"/>
      <c r="HZI6" s="473"/>
      <c r="HZJ6" s="474"/>
      <c r="HZK6" s="473"/>
      <c r="HZL6" s="474"/>
      <c r="HZM6" s="473"/>
      <c r="HZN6" s="474"/>
      <c r="HZO6" s="473"/>
      <c r="HZP6" s="474"/>
      <c r="HZQ6" s="473"/>
      <c r="HZR6" s="474"/>
      <c r="HZS6" s="473"/>
      <c r="HZT6" s="474"/>
      <c r="HZU6" s="473"/>
      <c r="HZV6" s="474"/>
      <c r="HZW6" s="473"/>
      <c r="HZX6" s="474"/>
      <c r="HZY6" s="473"/>
      <c r="HZZ6" s="474"/>
      <c r="IAA6" s="473"/>
      <c r="IAB6" s="474"/>
      <c r="IAC6" s="473"/>
      <c r="IAD6" s="474"/>
      <c r="IAE6" s="473"/>
      <c r="IAF6" s="474"/>
      <c r="IAG6" s="473"/>
      <c r="IAH6" s="474"/>
      <c r="IAI6" s="473"/>
      <c r="IAJ6" s="474"/>
      <c r="IAK6" s="473"/>
      <c r="IAL6" s="474"/>
      <c r="IAM6" s="473"/>
      <c r="IAN6" s="474"/>
      <c r="IAO6" s="473"/>
      <c r="IAP6" s="474"/>
      <c r="IAQ6" s="473"/>
      <c r="IAR6" s="474"/>
      <c r="IAS6" s="473"/>
      <c r="IAT6" s="474"/>
      <c r="IAU6" s="473"/>
      <c r="IAV6" s="474"/>
      <c r="IAW6" s="473"/>
      <c r="IAX6" s="474"/>
      <c r="IAY6" s="473"/>
      <c r="IAZ6" s="474"/>
      <c r="IBA6" s="473"/>
      <c r="IBB6" s="474"/>
      <c r="IBC6" s="473"/>
      <c r="IBD6" s="474"/>
      <c r="IBE6" s="473"/>
      <c r="IBF6" s="474"/>
      <c r="IBG6" s="473"/>
      <c r="IBH6" s="474"/>
      <c r="IBI6" s="473"/>
      <c r="IBJ6" s="474"/>
      <c r="IBK6" s="473"/>
      <c r="IBL6" s="474"/>
      <c r="IBM6" s="473"/>
      <c r="IBN6" s="474"/>
      <c r="IBO6" s="473"/>
      <c r="IBP6" s="474"/>
      <c r="IBQ6" s="473"/>
      <c r="IBR6" s="474"/>
      <c r="IBS6" s="473"/>
      <c r="IBT6" s="474"/>
      <c r="IBU6" s="473"/>
      <c r="IBV6" s="474"/>
      <c r="IBW6" s="473"/>
      <c r="IBX6" s="474"/>
      <c r="IBY6" s="473"/>
      <c r="IBZ6" s="474"/>
      <c r="ICA6" s="473"/>
      <c r="ICB6" s="474"/>
      <c r="ICC6" s="473"/>
      <c r="ICD6" s="474"/>
      <c r="ICE6" s="473"/>
      <c r="ICF6" s="474"/>
      <c r="ICG6" s="473"/>
      <c r="ICH6" s="474"/>
      <c r="ICI6" s="473"/>
      <c r="ICJ6" s="474"/>
      <c r="ICK6" s="473"/>
      <c r="ICL6" s="474"/>
      <c r="ICM6" s="473"/>
      <c r="ICN6" s="474"/>
      <c r="ICO6" s="473"/>
      <c r="ICP6" s="474"/>
      <c r="ICQ6" s="473"/>
      <c r="ICR6" s="474"/>
      <c r="ICS6" s="473"/>
      <c r="ICT6" s="474"/>
      <c r="ICU6" s="473"/>
      <c r="ICV6" s="474"/>
      <c r="ICW6" s="473"/>
      <c r="ICX6" s="474"/>
      <c r="ICY6" s="473"/>
      <c r="ICZ6" s="474"/>
      <c r="IDA6" s="473"/>
      <c r="IDB6" s="474"/>
      <c r="IDC6" s="473"/>
      <c r="IDD6" s="474"/>
      <c r="IDE6" s="473"/>
      <c r="IDF6" s="474"/>
      <c r="IDG6" s="473"/>
      <c r="IDH6" s="474"/>
      <c r="IDI6" s="473"/>
      <c r="IDJ6" s="474"/>
      <c r="IDK6" s="473"/>
      <c r="IDL6" s="474"/>
      <c r="IDM6" s="473"/>
      <c r="IDN6" s="474"/>
      <c r="IDO6" s="473"/>
      <c r="IDP6" s="474"/>
      <c r="IDQ6" s="473"/>
      <c r="IDR6" s="474"/>
      <c r="IDS6" s="473"/>
      <c r="IDT6" s="474"/>
      <c r="IDU6" s="473"/>
      <c r="IDV6" s="474"/>
      <c r="IDW6" s="473"/>
      <c r="IDX6" s="474"/>
      <c r="IDY6" s="473"/>
      <c r="IDZ6" s="474"/>
      <c r="IEA6" s="473"/>
      <c r="IEB6" s="474"/>
      <c r="IEC6" s="473"/>
      <c r="IED6" s="474"/>
      <c r="IEE6" s="473"/>
      <c r="IEF6" s="474"/>
      <c r="IEG6" s="473"/>
      <c r="IEH6" s="474"/>
      <c r="IEI6" s="473"/>
      <c r="IEJ6" s="474"/>
      <c r="IEK6" s="473"/>
      <c r="IEL6" s="474"/>
      <c r="IEM6" s="473"/>
      <c r="IEN6" s="474"/>
      <c r="IEO6" s="473"/>
      <c r="IEP6" s="474"/>
      <c r="IEQ6" s="473"/>
      <c r="IER6" s="474"/>
      <c r="IES6" s="473"/>
      <c r="IET6" s="474"/>
      <c r="IEU6" s="473"/>
      <c r="IEV6" s="474"/>
      <c r="IEW6" s="473"/>
      <c r="IEX6" s="474"/>
      <c r="IEY6" s="473"/>
      <c r="IEZ6" s="474"/>
      <c r="IFA6" s="473"/>
      <c r="IFB6" s="474"/>
      <c r="IFC6" s="473"/>
      <c r="IFD6" s="474"/>
      <c r="IFE6" s="473"/>
      <c r="IFF6" s="474"/>
      <c r="IFG6" s="473"/>
      <c r="IFH6" s="474"/>
      <c r="IFI6" s="473"/>
      <c r="IFJ6" s="474"/>
      <c r="IFK6" s="473"/>
      <c r="IFL6" s="474"/>
      <c r="IFM6" s="473"/>
      <c r="IFN6" s="474"/>
      <c r="IFO6" s="473"/>
      <c r="IFP6" s="474"/>
      <c r="IFQ6" s="473"/>
      <c r="IFR6" s="474"/>
      <c r="IFS6" s="473"/>
      <c r="IFT6" s="474"/>
      <c r="IFU6" s="473"/>
      <c r="IFV6" s="474"/>
      <c r="IFW6" s="473"/>
      <c r="IFX6" s="474"/>
      <c r="IFY6" s="473"/>
      <c r="IFZ6" s="474"/>
      <c r="IGA6" s="473"/>
      <c r="IGB6" s="474"/>
      <c r="IGC6" s="473"/>
      <c r="IGD6" s="474"/>
      <c r="IGE6" s="473"/>
      <c r="IGF6" s="474"/>
      <c r="IGG6" s="473"/>
      <c r="IGH6" s="474"/>
      <c r="IGI6" s="473"/>
      <c r="IGJ6" s="474"/>
      <c r="IGK6" s="473"/>
      <c r="IGL6" s="474"/>
      <c r="IGM6" s="473"/>
      <c r="IGN6" s="474"/>
      <c r="IGO6" s="473"/>
      <c r="IGP6" s="474"/>
      <c r="IGQ6" s="473"/>
      <c r="IGR6" s="474"/>
      <c r="IGS6" s="473"/>
      <c r="IGT6" s="474"/>
      <c r="IGU6" s="473"/>
      <c r="IGV6" s="474"/>
      <c r="IGW6" s="473"/>
      <c r="IGX6" s="474"/>
      <c r="IGY6" s="473"/>
      <c r="IGZ6" s="474"/>
      <c r="IHA6" s="473"/>
      <c r="IHB6" s="474"/>
      <c r="IHC6" s="473"/>
      <c r="IHD6" s="474"/>
      <c r="IHE6" s="473"/>
      <c r="IHF6" s="474"/>
      <c r="IHG6" s="473"/>
      <c r="IHH6" s="474"/>
      <c r="IHI6" s="473"/>
      <c r="IHJ6" s="474"/>
      <c r="IHK6" s="473"/>
      <c r="IHL6" s="474"/>
      <c r="IHM6" s="473"/>
      <c r="IHN6" s="474"/>
      <c r="IHO6" s="473"/>
      <c r="IHP6" s="474"/>
      <c r="IHQ6" s="473"/>
      <c r="IHR6" s="474"/>
      <c r="IHS6" s="473"/>
      <c r="IHT6" s="474"/>
      <c r="IHU6" s="473"/>
      <c r="IHV6" s="474"/>
      <c r="IHW6" s="473"/>
      <c r="IHX6" s="474"/>
      <c r="IHY6" s="473"/>
      <c r="IHZ6" s="474"/>
      <c r="IIA6" s="473"/>
      <c r="IIB6" s="474"/>
      <c r="IIC6" s="473"/>
      <c r="IID6" s="474"/>
      <c r="IIE6" s="473"/>
      <c r="IIF6" s="474"/>
      <c r="IIG6" s="473"/>
      <c r="IIH6" s="474"/>
      <c r="III6" s="473"/>
      <c r="IIJ6" s="474"/>
      <c r="IIK6" s="473"/>
      <c r="IIL6" s="474"/>
      <c r="IIM6" s="473"/>
      <c r="IIN6" s="474"/>
      <c r="IIO6" s="473"/>
      <c r="IIP6" s="474"/>
      <c r="IIQ6" s="473"/>
      <c r="IIR6" s="474"/>
      <c r="IIS6" s="473"/>
      <c r="IIT6" s="474"/>
      <c r="IIU6" s="473"/>
      <c r="IIV6" s="474"/>
      <c r="IIW6" s="473"/>
      <c r="IIX6" s="474"/>
      <c r="IIY6" s="473"/>
      <c r="IIZ6" s="474"/>
      <c r="IJA6" s="473"/>
      <c r="IJB6" s="474"/>
      <c r="IJC6" s="473"/>
      <c r="IJD6" s="474"/>
      <c r="IJE6" s="473"/>
      <c r="IJF6" s="474"/>
      <c r="IJG6" s="473"/>
      <c r="IJH6" s="474"/>
      <c r="IJI6" s="473"/>
      <c r="IJJ6" s="474"/>
      <c r="IJK6" s="473"/>
      <c r="IJL6" s="474"/>
      <c r="IJM6" s="473"/>
      <c r="IJN6" s="474"/>
      <c r="IJO6" s="473"/>
      <c r="IJP6" s="474"/>
      <c r="IJQ6" s="473"/>
      <c r="IJR6" s="474"/>
      <c r="IJS6" s="473"/>
      <c r="IJT6" s="474"/>
      <c r="IJU6" s="473"/>
      <c r="IJV6" s="474"/>
      <c r="IJW6" s="473"/>
      <c r="IJX6" s="474"/>
      <c r="IJY6" s="473"/>
      <c r="IJZ6" s="474"/>
      <c r="IKA6" s="473"/>
      <c r="IKB6" s="474"/>
      <c r="IKC6" s="473"/>
      <c r="IKD6" s="474"/>
      <c r="IKE6" s="473"/>
      <c r="IKF6" s="474"/>
      <c r="IKG6" s="473"/>
      <c r="IKH6" s="474"/>
      <c r="IKI6" s="473"/>
      <c r="IKJ6" s="474"/>
      <c r="IKK6" s="473"/>
      <c r="IKL6" s="474"/>
      <c r="IKM6" s="473"/>
      <c r="IKN6" s="474"/>
      <c r="IKO6" s="473"/>
      <c r="IKP6" s="474"/>
      <c r="IKQ6" s="473"/>
      <c r="IKR6" s="474"/>
      <c r="IKS6" s="473"/>
      <c r="IKT6" s="474"/>
      <c r="IKU6" s="473"/>
      <c r="IKV6" s="474"/>
      <c r="IKW6" s="473"/>
      <c r="IKX6" s="474"/>
      <c r="IKY6" s="473"/>
      <c r="IKZ6" s="474"/>
      <c r="ILA6" s="473"/>
      <c r="ILB6" s="474"/>
      <c r="ILC6" s="473"/>
      <c r="ILD6" s="474"/>
      <c r="ILE6" s="473"/>
      <c r="ILF6" s="474"/>
      <c r="ILG6" s="473"/>
      <c r="ILH6" s="474"/>
      <c r="ILI6" s="473"/>
      <c r="ILJ6" s="474"/>
      <c r="ILK6" s="473"/>
      <c r="ILL6" s="474"/>
      <c r="ILM6" s="473"/>
      <c r="ILN6" s="474"/>
      <c r="ILO6" s="473"/>
      <c r="ILP6" s="474"/>
      <c r="ILQ6" s="473"/>
      <c r="ILR6" s="474"/>
      <c r="ILS6" s="473"/>
      <c r="ILT6" s="474"/>
      <c r="ILU6" s="473"/>
      <c r="ILV6" s="474"/>
      <c r="ILW6" s="473"/>
      <c r="ILX6" s="474"/>
      <c r="ILY6" s="473"/>
      <c r="ILZ6" s="474"/>
      <c r="IMA6" s="473"/>
      <c r="IMB6" s="474"/>
      <c r="IMC6" s="473"/>
      <c r="IMD6" s="474"/>
      <c r="IME6" s="473"/>
      <c r="IMF6" s="474"/>
      <c r="IMG6" s="473"/>
      <c r="IMH6" s="474"/>
      <c r="IMI6" s="473"/>
      <c r="IMJ6" s="474"/>
      <c r="IMK6" s="473"/>
      <c r="IML6" s="474"/>
      <c r="IMM6" s="473"/>
      <c r="IMN6" s="474"/>
      <c r="IMO6" s="473"/>
      <c r="IMP6" s="474"/>
      <c r="IMQ6" s="473"/>
      <c r="IMR6" s="474"/>
      <c r="IMS6" s="473"/>
      <c r="IMT6" s="474"/>
      <c r="IMU6" s="473"/>
      <c r="IMV6" s="474"/>
      <c r="IMW6" s="473"/>
      <c r="IMX6" s="474"/>
      <c r="IMY6" s="473"/>
      <c r="IMZ6" s="474"/>
      <c r="INA6" s="473"/>
      <c r="INB6" s="474"/>
      <c r="INC6" s="473"/>
      <c r="IND6" s="474"/>
      <c r="INE6" s="473"/>
      <c r="INF6" s="474"/>
      <c r="ING6" s="473"/>
      <c r="INH6" s="474"/>
      <c r="INI6" s="473"/>
      <c r="INJ6" s="474"/>
      <c r="INK6" s="473"/>
      <c r="INL6" s="474"/>
      <c r="INM6" s="473"/>
      <c r="INN6" s="474"/>
      <c r="INO6" s="473"/>
      <c r="INP6" s="474"/>
      <c r="INQ6" s="473"/>
      <c r="INR6" s="474"/>
      <c r="INS6" s="473"/>
      <c r="INT6" s="474"/>
      <c r="INU6" s="473"/>
      <c r="INV6" s="474"/>
      <c r="INW6" s="473"/>
      <c r="INX6" s="474"/>
      <c r="INY6" s="473"/>
      <c r="INZ6" s="474"/>
      <c r="IOA6" s="473"/>
      <c r="IOB6" s="474"/>
      <c r="IOC6" s="473"/>
      <c r="IOD6" s="474"/>
      <c r="IOE6" s="473"/>
      <c r="IOF6" s="474"/>
      <c r="IOG6" s="473"/>
      <c r="IOH6" s="474"/>
      <c r="IOI6" s="473"/>
      <c r="IOJ6" s="474"/>
      <c r="IOK6" s="473"/>
      <c r="IOL6" s="474"/>
      <c r="IOM6" s="473"/>
      <c r="ION6" s="474"/>
      <c r="IOO6" s="473"/>
      <c r="IOP6" s="474"/>
      <c r="IOQ6" s="473"/>
      <c r="IOR6" s="474"/>
      <c r="IOS6" s="473"/>
      <c r="IOT6" s="474"/>
      <c r="IOU6" s="473"/>
      <c r="IOV6" s="474"/>
      <c r="IOW6" s="473"/>
      <c r="IOX6" s="474"/>
      <c r="IOY6" s="473"/>
      <c r="IOZ6" s="474"/>
      <c r="IPA6" s="473"/>
      <c r="IPB6" s="474"/>
      <c r="IPC6" s="473"/>
      <c r="IPD6" s="474"/>
      <c r="IPE6" s="473"/>
      <c r="IPF6" s="474"/>
      <c r="IPG6" s="473"/>
      <c r="IPH6" s="474"/>
      <c r="IPI6" s="473"/>
      <c r="IPJ6" s="474"/>
      <c r="IPK6" s="473"/>
      <c r="IPL6" s="474"/>
      <c r="IPM6" s="473"/>
      <c r="IPN6" s="474"/>
      <c r="IPO6" s="473"/>
      <c r="IPP6" s="474"/>
      <c r="IPQ6" s="473"/>
      <c r="IPR6" s="474"/>
      <c r="IPS6" s="473"/>
      <c r="IPT6" s="474"/>
      <c r="IPU6" s="473"/>
      <c r="IPV6" s="474"/>
      <c r="IPW6" s="473"/>
      <c r="IPX6" s="474"/>
      <c r="IPY6" s="473"/>
      <c r="IPZ6" s="474"/>
      <c r="IQA6" s="473"/>
      <c r="IQB6" s="474"/>
      <c r="IQC6" s="473"/>
      <c r="IQD6" s="474"/>
      <c r="IQE6" s="473"/>
      <c r="IQF6" s="474"/>
      <c r="IQG6" s="473"/>
      <c r="IQH6" s="474"/>
      <c r="IQI6" s="473"/>
      <c r="IQJ6" s="474"/>
      <c r="IQK6" s="473"/>
      <c r="IQL6" s="474"/>
      <c r="IQM6" s="473"/>
      <c r="IQN6" s="474"/>
      <c r="IQO6" s="473"/>
      <c r="IQP6" s="474"/>
      <c r="IQQ6" s="473"/>
      <c r="IQR6" s="474"/>
      <c r="IQS6" s="473"/>
      <c r="IQT6" s="474"/>
      <c r="IQU6" s="473"/>
      <c r="IQV6" s="474"/>
      <c r="IQW6" s="473"/>
      <c r="IQX6" s="474"/>
      <c r="IQY6" s="473"/>
      <c r="IQZ6" s="474"/>
      <c r="IRA6" s="473"/>
      <c r="IRB6" s="474"/>
      <c r="IRC6" s="473"/>
      <c r="IRD6" s="474"/>
      <c r="IRE6" s="473"/>
      <c r="IRF6" s="474"/>
      <c r="IRG6" s="473"/>
      <c r="IRH6" s="474"/>
      <c r="IRI6" s="473"/>
      <c r="IRJ6" s="474"/>
      <c r="IRK6" s="473"/>
      <c r="IRL6" s="474"/>
      <c r="IRM6" s="473"/>
      <c r="IRN6" s="474"/>
      <c r="IRO6" s="473"/>
      <c r="IRP6" s="474"/>
      <c r="IRQ6" s="473"/>
      <c r="IRR6" s="474"/>
      <c r="IRS6" s="473"/>
      <c r="IRT6" s="474"/>
      <c r="IRU6" s="473"/>
      <c r="IRV6" s="474"/>
      <c r="IRW6" s="473"/>
      <c r="IRX6" s="474"/>
      <c r="IRY6" s="473"/>
      <c r="IRZ6" s="474"/>
      <c r="ISA6" s="473"/>
      <c r="ISB6" s="474"/>
      <c r="ISC6" s="473"/>
      <c r="ISD6" s="474"/>
      <c r="ISE6" s="473"/>
      <c r="ISF6" s="474"/>
      <c r="ISG6" s="473"/>
      <c r="ISH6" s="474"/>
      <c r="ISI6" s="473"/>
      <c r="ISJ6" s="474"/>
      <c r="ISK6" s="473"/>
      <c r="ISL6" s="474"/>
      <c r="ISM6" s="473"/>
      <c r="ISN6" s="474"/>
      <c r="ISO6" s="473"/>
      <c r="ISP6" s="474"/>
      <c r="ISQ6" s="473"/>
      <c r="ISR6" s="474"/>
      <c r="ISS6" s="473"/>
      <c r="IST6" s="474"/>
      <c r="ISU6" s="473"/>
      <c r="ISV6" s="474"/>
      <c r="ISW6" s="473"/>
      <c r="ISX6" s="474"/>
      <c r="ISY6" s="473"/>
      <c r="ISZ6" s="474"/>
      <c r="ITA6" s="473"/>
      <c r="ITB6" s="474"/>
      <c r="ITC6" s="473"/>
      <c r="ITD6" s="474"/>
      <c r="ITE6" s="473"/>
      <c r="ITF6" s="474"/>
      <c r="ITG6" s="473"/>
      <c r="ITH6" s="474"/>
      <c r="ITI6" s="473"/>
      <c r="ITJ6" s="474"/>
      <c r="ITK6" s="473"/>
      <c r="ITL6" s="474"/>
      <c r="ITM6" s="473"/>
      <c r="ITN6" s="474"/>
      <c r="ITO6" s="473"/>
      <c r="ITP6" s="474"/>
      <c r="ITQ6" s="473"/>
      <c r="ITR6" s="474"/>
      <c r="ITS6" s="473"/>
      <c r="ITT6" s="474"/>
      <c r="ITU6" s="473"/>
      <c r="ITV6" s="474"/>
      <c r="ITW6" s="473"/>
      <c r="ITX6" s="474"/>
      <c r="ITY6" s="473"/>
      <c r="ITZ6" s="474"/>
      <c r="IUA6" s="473"/>
      <c r="IUB6" s="474"/>
      <c r="IUC6" s="473"/>
      <c r="IUD6" s="474"/>
      <c r="IUE6" s="473"/>
      <c r="IUF6" s="474"/>
      <c r="IUG6" s="473"/>
      <c r="IUH6" s="474"/>
      <c r="IUI6" s="473"/>
      <c r="IUJ6" s="474"/>
      <c r="IUK6" s="473"/>
      <c r="IUL6" s="474"/>
      <c r="IUM6" s="473"/>
      <c r="IUN6" s="474"/>
      <c r="IUO6" s="473"/>
      <c r="IUP6" s="474"/>
      <c r="IUQ6" s="473"/>
      <c r="IUR6" s="474"/>
      <c r="IUS6" s="473"/>
      <c r="IUT6" s="474"/>
      <c r="IUU6" s="473"/>
      <c r="IUV6" s="474"/>
      <c r="IUW6" s="473"/>
      <c r="IUX6" s="474"/>
      <c r="IUY6" s="473"/>
      <c r="IUZ6" s="474"/>
      <c r="IVA6" s="473"/>
      <c r="IVB6" s="474"/>
      <c r="IVC6" s="473"/>
      <c r="IVD6" s="474"/>
      <c r="IVE6" s="473"/>
      <c r="IVF6" s="474"/>
      <c r="IVG6" s="473"/>
      <c r="IVH6" s="474"/>
      <c r="IVI6" s="473"/>
      <c r="IVJ6" s="474"/>
      <c r="IVK6" s="473"/>
      <c r="IVL6" s="474"/>
      <c r="IVM6" s="473"/>
      <c r="IVN6" s="474"/>
      <c r="IVO6" s="473"/>
      <c r="IVP6" s="474"/>
      <c r="IVQ6" s="473"/>
      <c r="IVR6" s="474"/>
      <c r="IVS6" s="473"/>
      <c r="IVT6" s="474"/>
      <c r="IVU6" s="473"/>
      <c r="IVV6" s="474"/>
      <c r="IVW6" s="473"/>
      <c r="IVX6" s="474"/>
      <c r="IVY6" s="473"/>
      <c r="IVZ6" s="474"/>
      <c r="IWA6" s="473"/>
      <c r="IWB6" s="474"/>
      <c r="IWC6" s="473"/>
      <c r="IWD6" s="474"/>
      <c r="IWE6" s="473"/>
      <c r="IWF6" s="474"/>
      <c r="IWG6" s="473"/>
      <c r="IWH6" s="474"/>
      <c r="IWI6" s="473"/>
      <c r="IWJ6" s="474"/>
      <c r="IWK6" s="473"/>
      <c r="IWL6" s="474"/>
      <c r="IWM6" s="473"/>
      <c r="IWN6" s="474"/>
      <c r="IWO6" s="473"/>
      <c r="IWP6" s="474"/>
      <c r="IWQ6" s="473"/>
      <c r="IWR6" s="474"/>
      <c r="IWS6" s="473"/>
      <c r="IWT6" s="474"/>
      <c r="IWU6" s="473"/>
      <c r="IWV6" s="474"/>
      <c r="IWW6" s="473"/>
      <c r="IWX6" s="474"/>
      <c r="IWY6" s="473"/>
      <c r="IWZ6" s="474"/>
      <c r="IXA6" s="473"/>
      <c r="IXB6" s="474"/>
      <c r="IXC6" s="473"/>
      <c r="IXD6" s="474"/>
      <c r="IXE6" s="473"/>
      <c r="IXF6" s="474"/>
      <c r="IXG6" s="473"/>
      <c r="IXH6" s="474"/>
      <c r="IXI6" s="473"/>
      <c r="IXJ6" s="474"/>
      <c r="IXK6" s="473"/>
      <c r="IXL6" s="474"/>
      <c r="IXM6" s="473"/>
      <c r="IXN6" s="474"/>
      <c r="IXO6" s="473"/>
      <c r="IXP6" s="474"/>
      <c r="IXQ6" s="473"/>
      <c r="IXR6" s="474"/>
      <c r="IXS6" s="473"/>
      <c r="IXT6" s="474"/>
      <c r="IXU6" s="473"/>
      <c r="IXV6" s="474"/>
      <c r="IXW6" s="473"/>
      <c r="IXX6" s="474"/>
      <c r="IXY6" s="473"/>
      <c r="IXZ6" s="474"/>
      <c r="IYA6" s="473"/>
      <c r="IYB6" s="474"/>
      <c r="IYC6" s="473"/>
      <c r="IYD6" s="474"/>
      <c r="IYE6" s="473"/>
      <c r="IYF6" s="474"/>
      <c r="IYG6" s="473"/>
      <c r="IYH6" s="474"/>
      <c r="IYI6" s="473"/>
      <c r="IYJ6" s="474"/>
      <c r="IYK6" s="473"/>
      <c r="IYL6" s="474"/>
      <c r="IYM6" s="473"/>
      <c r="IYN6" s="474"/>
      <c r="IYO6" s="473"/>
      <c r="IYP6" s="474"/>
      <c r="IYQ6" s="473"/>
      <c r="IYR6" s="474"/>
      <c r="IYS6" s="473"/>
      <c r="IYT6" s="474"/>
      <c r="IYU6" s="473"/>
      <c r="IYV6" s="474"/>
      <c r="IYW6" s="473"/>
      <c r="IYX6" s="474"/>
      <c r="IYY6" s="473"/>
      <c r="IYZ6" s="474"/>
      <c r="IZA6" s="473"/>
      <c r="IZB6" s="474"/>
      <c r="IZC6" s="473"/>
      <c r="IZD6" s="474"/>
      <c r="IZE6" s="473"/>
      <c r="IZF6" s="474"/>
      <c r="IZG6" s="473"/>
      <c r="IZH6" s="474"/>
      <c r="IZI6" s="473"/>
      <c r="IZJ6" s="474"/>
      <c r="IZK6" s="473"/>
      <c r="IZL6" s="474"/>
      <c r="IZM6" s="473"/>
      <c r="IZN6" s="474"/>
      <c r="IZO6" s="473"/>
      <c r="IZP6" s="474"/>
      <c r="IZQ6" s="473"/>
      <c r="IZR6" s="474"/>
      <c r="IZS6" s="473"/>
      <c r="IZT6" s="474"/>
      <c r="IZU6" s="473"/>
      <c r="IZV6" s="474"/>
      <c r="IZW6" s="473"/>
      <c r="IZX6" s="474"/>
      <c r="IZY6" s="473"/>
      <c r="IZZ6" s="474"/>
      <c r="JAA6" s="473"/>
      <c r="JAB6" s="474"/>
      <c r="JAC6" s="473"/>
      <c r="JAD6" s="474"/>
      <c r="JAE6" s="473"/>
      <c r="JAF6" s="474"/>
      <c r="JAG6" s="473"/>
      <c r="JAH6" s="474"/>
      <c r="JAI6" s="473"/>
      <c r="JAJ6" s="474"/>
      <c r="JAK6" s="473"/>
      <c r="JAL6" s="474"/>
      <c r="JAM6" s="473"/>
      <c r="JAN6" s="474"/>
      <c r="JAO6" s="473"/>
      <c r="JAP6" s="474"/>
      <c r="JAQ6" s="473"/>
      <c r="JAR6" s="474"/>
      <c r="JAS6" s="473"/>
      <c r="JAT6" s="474"/>
      <c r="JAU6" s="473"/>
      <c r="JAV6" s="474"/>
      <c r="JAW6" s="473"/>
      <c r="JAX6" s="474"/>
      <c r="JAY6" s="473"/>
      <c r="JAZ6" s="474"/>
      <c r="JBA6" s="473"/>
      <c r="JBB6" s="474"/>
      <c r="JBC6" s="473"/>
      <c r="JBD6" s="474"/>
      <c r="JBE6" s="473"/>
      <c r="JBF6" s="474"/>
      <c r="JBG6" s="473"/>
      <c r="JBH6" s="474"/>
      <c r="JBI6" s="473"/>
      <c r="JBJ6" s="474"/>
      <c r="JBK6" s="473"/>
      <c r="JBL6" s="474"/>
      <c r="JBM6" s="473"/>
      <c r="JBN6" s="474"/>
      <c r="JBO6" s="473"/>
      <c r="JBP6" s="474"/>
      <c r="JBQ6" s="473"/>
      <c r="JBR6" s="474"/>
      <c r="JBS6" s="473"/>
      <c r="JBT6" s="474"/>
      <c r="JBU6" s="473"/>
      <c r="JBV6" s="474"/>
      <c r="JBW6" s="473"/>
      <c r="JBX6" s="474"/>
      <c r="JBY6" s="473"/>
      <c r="JBZ6" s="474"/>
      <c r="JCA6" s="473"/>
      <c r="JCB6" s="474"/>
      <c r="JCC6" s="473"/>
      <c r="JCD6" s="474"/>
      <c r="JCE6" s="473"/>
      <c r="JCF6" s="474"/>
      <c r="JCG6" s="473"/>
      <c r="JCH6" s="474"/>
      <c r="JCI6" s="473"/>
      <c r="JCJ6" s="474"/>
      <c r="JCK6" s="473"/>
      <c r="JCL6" s="474"/>
      <c r="JCM6" s="473"/>
      <c r="JCN6" s="474"/>
      <c r="JCO6" s="473"/>
      <c r="JCP6" s="474"/>
      <c r="JCQ6" s="473"/>
      <c r="JCR6" s="474"/>
      <c r="JCS6" s="473"/>
      <c r="JCT6" s="474"/>
      <c r="JCU6" s="473"/>
      <c r="JCV6" s="474"/>
      <c r="JCW6" s="473"/>
      <c r="JCX6" s="474"/>
      <c r="JCY6" s="473"/>
      <c r="JCZ6" s="474"/>
      <c r="JDA6" s="473"/>
      <c r="JDB6" s="474"/>
      <c r="JDC6" s="473"/>
      <c r="JDD6" s="474"/>
      <c r="JDE6" s="473"/>
      <c r="JDF6" s="474"/>
      <c r="JDG6" s="473"/>
      <c r="JDH6" s="474"/>
      <c r="JDI6" s="473"/>
      <c r="JDJ6" s="474"/>
      <c r="JDK6" s="473"/>
      <c r="JDL6" s="474"/>
      <c r="JDM6" s="473"/>
      <c r="JDN6" s="474"/>
      <c r="JDO6" s="473"/>
      <c r="JDP6" s="474"/>
      <c r="JDQ6" s="473"/>
      <c r="JDR6" s="474"/>
      <c r="JDS6" s="473"/>
      <c r="JDT6" s="474"/>
      <c r="JDU6" s="473"/>
      <c r="JDV6" s="474"/>
      <c r="JDW6" s="473"/>
      <c r="JDX6" s="474"/>
      <c r="JDY6" s="473"/>
      <c r="JDZ6" s="474"/>
      <c r="JEA6" s="473"/>
      <c r="JEB6" s="474"/>
      <c r="JEC6" s="473"/>
      <c r="JED6" s="474"/>
      <c r="JEE6" s="473"/>
      <c r="JEF6" s="474"/>
      <c r="JEG6" s="473"/>
      <c r="JEH6" s="474"/>
      <c r="JEI6" s="473"/>
      <c r="JEJ6" s="474"/>
      <c r="JEK6" s="473"/>
      <c r="JEL6" s="474"/>
      <c r="JEM6" s="473"/>
      <c r="JEN6" s="474"/>
      <c r="JEO6" s="473"/>
      <c r="JEP6" s="474"/>
      <c r="JEQ6" s="473"/>
      <c r="JER6" s="474"/>
      <c r="JES6" s="473"/>
      <c r="JET6" s="474"/>
      <c r="JEU6" s="473"/>
      <c r="JEV6" s="474"/>
      <c r="JEW6" s="473"/>
      <c r="JEX6" s="474"/>
      <c r="JEY6" s="473"/>
      <c r="JEZ6" s="474"/>
      <c r="JFA6" s="473"/>
      <c r="JFB6" s="474"/>
      <c r="JFC6" s="473"/>
      <c r="JFD6" s="474"/>
      <c r="JFE6" s="473"/>
      <c r="JFF6" s="474"/>
      <c r="JFG6" s="473"/>
      <c r="JFH6" s="474"/>
      <c r="JFI6" s="473"/>
      <c r="JFJ6" s="474"/>
      <c r="JFK6" s="473"/>
      <c r="JFL6" s="474"/>
      <c r="JFM6" s="473"/>
      <c r="JFN6" s="474"/>
      <c r="JFO6" s="473"/>
      <c r="JFP6" s="474"/>
      <c r="JFQ6" s="473"/>
      <c r="JFR6" s="474"/>
      <c r="JFS6" s="473"/>
      <c r="JFT6" s="474"/>
      <c r="JFU6" s="473"/>
      <c r="JFV6" s="474"/>
      <c r="JFW6" s="473"/>
      <c r="JFX6" s="474"/>
      <c r="JFY6" s="473"/>
      <c r="JFZ6" s="474"/>
      <c r="JGA6" s="473"/>
      <c r="JGB6" s="474"/>
      <c r="JGC6" s="473"/>
      <c r="JGD6" s="474"/>
      <c r="JGE6" s="473"/>
      <c r="JGF6" s="474"/>
      <c r="JGG6" s="473"/>
      <c r="JGH6" s="474"/>
      <c r="JGI6" s="473"/>
      <c r="JGJ6" s="474"/>
      <c r="JGK6" s="473"/>
      <c r="JGL6" s="474"/>
      <c r="JGM6" s="473"/>
      <c r="JGN6" s="474"/>
      <c r="JGO6" s="473"/>
      <c r="JGP6" s="474"/>
      <c r="JGQ6" s="473"/>
      <c r="JGR6" s="474"/>
      <c r="JGS6" s="473"/>
      <c r="JGT6" s="474"/>
      <c r="JGU6" s="473"/>
      <c r="JGV6" s="474"/>
      <c r="JGW6" s="473"/>
      <c r="JGX6" s="474"/>
      <c r="JGY6" s="473"/>
      <c r="JGZ6" s="474"/>
      <c r="JHA6" s="473"/>
      <c r="JHB6" s="474"/>
      <c r="JHC6" s="473"/>
      <c r="JHD6" s="474"/>
      <c r="JHE6" s="473"/>
      <c r="JHF6" s="474"/>
      <c r="JHG6" s="473"/>
      <c r="JHH6" s="474"/>
      <c r="JHI6" s="473"/>
      <c r="JHJ6" s="474"/>
      <c r="JHK6" s="473"/>
      <c r="JHL6" s="474"/>
      <c r="JHM6" s="473"/>
      <c r="JHN6" s="474"/>
      <c r="JHO6" s="473"/>
      <c r="JHP6" s="474"/>
      <c r="JHQ6" s="473"/>
      <c r="JHR6" s="474"/>
      <c r="JHS6" s="473"/>
      <c r="JHT6" s="474"/>
      <c r="JHU6" s="473"/>
      <c r="JHV6" s="474"/>
      <c r="JHW6" s="473"/>
      <c r="JHX6" s="474"/>
      <c r="JHY6" s="473"/>
      <c r="JHZ6" s="474"/>
      <c r="JIA6" s="473"/>
      <c r="JIB6" s="474"/>
      <c r="JIC6" s="473"/>
      <c r="JID6" s="474"/>
      <c r="JIE6" s="473"/>
      <c r="JIF6" s="474"/>
      <c r="JIG6" s="473"/>
      <c r="JIH6" s="474"/>
      <c r="JII6" s="473"/>
      <c r="JIJ6" s="474"/>
      <c r="JIK6" s="473"/>
      <c r="JIL6" s="474"/>
      <c r="JIM6" s="473"/>
      <c r="JIN6" s="474"/>
      <c r="JIO6" s="473"/>
      <c r="JIP6" s="474"/>
      <c r="JIQ6" s="473"/>
      <c r="JIR6" s="474"/>
      <c r="JIS6" s="473"/>
      <c r="JIT6" s="474"/>
      <c r="JIU6" s="473"/>
      <c r="JIV6" s="474"/>
      <c r="JIW6" s="473"/>
      <c r="JIX6" s="474"/>
      <c r="JIY6" s="473"/>
      <c r="JIZ6" s="474"/>
      <c r="JJA6" s="473"/>
      <c r="JJB6" s="474"/>
      <c r="JJC6" s="473"/>
      <c r="JJD6" s="474"/>
      <c r="JJE6" s="473"/>
      <c r="JJF6" s="474"/>
      <c r="JJG6" s="473"/>
      <c r="JJH6" s="474"/>
      <c r="JJI6" s="473"/>
      <c r="JJJ6" s="474"/>
      <c r="JJK6" s="473"/>
      <c r="JJL6" s="474"/>
      <c r="JJM6" s="473"/>
      <c r="JJN6" s="474"/>
      <c r="JJO6" s="473"/>
      <c r="JJP6" s="474"/>
      <c r="JJQ6" s="473"/>
      <c r="JJR6" s="474"/>
      <c r="JJS6" s="473"/>
      <c r="JJT6" s="474"/>
      <c r="JJU6" s="473"/>
      <c r="JJV6" s="474"/>
      <c r="JJW6" s="473"/>
      <c r="JJX6" s="474"/>
      <c r="JJY6" s="473"/>
      <c r="JJZ6" s="474"/>
      <c r="JKA6" s="473"/>
      <c r="JKB6" s="474"/>
      <c r="JKC6" s="473"/>
      <c r="JKD6" s="474"/>
      <c r="JKE6" s="473"/>
      <c r="JKF6" s="474"/>
      <c r="JKG6" s="473"/>
      <c r="JKH6" s="474"/>
      <c r="JKI6" s="473"/>
      <c r="JKJ6" s="474"/>
      <c r="JKK6" s="473"/>
      <c r="JKL6" s="474"/>
      <c r="JKM6" s="473"/>
      <c r="JKN6" s="474"/>
      <c r="JKO6" s="473"/>
      <c r="JKP6" s="474"/>
      <c r="JKQ6" s="473"/>
      <c r="JKR6" s="474"/>
      <c r="JKS6" s="473"/>
      <c r="JKT6" s="474"/>
      <c r="JKU6" s="473"/>
      <c r="JKV6" s="474"/>
      <c r="JKW6" s="473"/>
      <c r="JKX6" s="474"/>
      <c r="JKY6" s="473"/>
      <c r="JKZ6" s="474"/>
      <c r="JLA6" s="473"/>
      <c r="JLB6" s="474"/>
      <c r="JLC6" s="473"/>
      <c r="JLD6" s="474"/>
      <c r="JLE6" s="473"/>
      <c r="JLF6" s="474"/>
      <c r="JLG6" s="473"/>
      <c r="JLH6" s="474"/>
      <c r="JLI6" s="473"/>
      <c r="JLJ6" s="474"/>
      <c r="JLK6" s="473"/>
      <c r="JLL6" s="474"/>
      <c r="JLM6" s="473"/>
      <c r="JLN6" s="474"/>
      <c r="JLO6" s="473"/>
      <c r="JLP6" s="474"/>
      <c r="JLQ6" s="473"/>
      <c r="JLR6" s="474"/>
      <c r="JLS6" s="473"/>
      <c r="JLT6" s="474"/>
      <c r="JLU6" s="473"/>
      <c r="JLV6" s="474"/>
      <c r="JLW6" s="473"/>
      <c r="JLX6" s="474"/>
      <c r="JLY6" s="473"/>
      <c r="JLZ6" s="474"/>
      <c r="JMA6" s="473"/>
      <c r="JMB6" s="474"/>
      <c r="JMC6" s="473"/>
      <c r="JMD6" s="474"/>
      <c r="JME6" s="473"/>
      <c r="JMF6" s="474"/>
      <c r="JMG6" s="473"/>
      <c r="JMH6" s="474"/>
      <c r="JMI6" s="473"/>
      <c r="JMJ6" s="474"/>
      <c r="JMK6" s="473"/>
      <c r="JML6" s="474"/>
      <c r="JMM6" s="473"/>
      <c r="JMN6" s="474"/>
      <c r="JMO6" s="473"/>
      <c r="JMP6" s="474"/>
      <c r="JMQ6" s="473"/>
      <c r="JMR6" s="474"/>
      <c r="JMS6" s="473"/>
      <c r="JMT6" s="474"/>
      <c r="JMU6" s="473"/>
      <c r="JMV6" s="474"/>
      <c r="JMW6" s="473"/>
      <c r="JMX6" s="474"/>
      <c r="JMY6" s="473"/>
      <c r="JMZ6" s="474"/>
      <c r="JNA6" s="473"/>
      <c r="JNB6" s="474"/>
      <c r="JNC6" s="473"/>
      <c r="JND6" s="474"/>
      <c r="JNE6" s="473"/>
      <c r="JNF6" s="474"/>
      <c r="JNG6" s="473"/>
      <c r="JNH6" s="474"/>
      <c r="JNI6" s="473"/>
      <c r="JNJ6" s="474"/>
      <c r="JNK6" s="473"/>
      <c r="JNL6" s="474"/>
      <c r="JNM6" s="473"/>
      <c r="JNN6" s="474"/>
      <c r="JNO6" s="473"/>
      <c r="JNP6" s="474"/>
      <c r="JNQ6" s="473"/>
      <c r="JNR6" s="474"/>
      <c r="JNS6" s="473"/>
      <c r="JNT6" s="474"/>
      <c r="JNU6" s="473"/>
      <c r="JNV6" s="474"/>
      <c r="JNW6" s="473"/>
      <c r="JNX6" s="474"/>
      <c r="JNY6" s="473"/>
      <c r="JNZ6" s="474"/>
      <c r="JOA6" s="473"/>
      <c r="JOB6" s="474"/>
      <c r="JOC6" s="473"/>
      <c r="JOD6" s="474"/>
      <c r="JOE6" s="473"/>
      <c r="JOF6" s="474"/>
      <c r="JOG6" s="473"/>
      <c r="JOH6" s="474"/>
      <c r="JOI6" s="473"/>
      <c r="JOJ6" s="474"/>
      <c r="JOK6" s="473"/>
      <c r="JOL6" s="474"/>
      <c r="JOM6" s="473"/>
      <c r="JON6" s="474"/>
      <c r="JOO6" s="473"/>
      <c r="JOP6" s="474"/>
      <c r="JOQ6" s="473"/>
      <c r="JOR6" s="474"/>
      <c r="JOS6" s="473"/>
      <c r="JOT6" s="474"/>
      <c r="JOU6" s="473"/>
      <c r="JOV6" s="474"/>
      <c r="JOW6" s="473"/>
      <c r="JOX6" s="474"/>
      <c r="JOY6" s="473"/>
      <c r="JOZ6" s="474"/>
      <c r="JPA6" s="473"/>
      <c r="JPB6" s="474"/>
      <c r="JPC6" s="473"/>
      <c r="JPD6" s="474"/>
      <c r="JPE6" s="473"/>
      <c r="JPF6" s="474"/>
      <c r="JPG6" s="473"/>
      <c r="JPH6" s="474"/>
      <c r="JPI6" s="473"/>
      <c r="JPJ6" s="474"/>
      <c r="JPK6" s="473"/>
      <c r="JPL6" s="474"/>
      <c r="JPM6" s="473"/>
      <c r="JPN6" s="474"/>
      <c r="JPO6" s="473"/>
      <c r="JPP6" s="474"/>
      <c r="JPQ6" s="473"/>
      <c r="JPR6" s="474"/>
      <c r="JPS6" s="473"/>
      <c r="JPT6" s="474"/>
      <c r="JPU6" s="473"/>
      <c r="JPV6" s="474"/>
      <c r="JPW6" s="473"/>
      <c r="JPX6" s="474"/>
      <c r="JPY6" s="473"/>
      <c r="JPZ6" s="474"/>
      <c r="JQA6" s="473"/>
      <c r="JQB6" s="474"/>
      <c r="JQC6" s="473"/>
      <c r="JQD6" s="474"/>
      <c r="JQE6" s="473"/>
      <c r="JQF6" s="474"/>
      <c r="JQG6" s="473"/>
      <c r="JQH6" s="474"/>
      <c r="JQI6" s="473"/>
      <c r="JQJ6" s="474"/>
      <c r="JQK6" s="473"/>
      <c r="JQL6" s="474"/>
      <c r="JQM6" s="473"/>
      <c r="JQN6" s="474"/>
      <c r="JQO6" s="473"/>
      <c r="JQP6" s="474"/>
      <c r="JQQ6" s="473"/>
      <c r="JQR6" s="474"/>
      <c r="JQS6" s="473"/>
      <c r="JQT6" s="474"/>
      <c r="JQU6" s="473"/>
      <c r="JQV6" s="474"/>
      <c r="JQW6" s="473"/>
      <c r="JQX6" s="474"/>
      <c r="JQY6" s="473"/>
      <c r="JQZ6" s="474"/>
      <c r="JRA6" s="473"/>
      <c r="JRB6" s="474"/>
      <c r="JRC6" s="473"/>
      <c r="JRD6" s="474"/>
      <c r="JRE6" s="473"/>
      <c r="JRF6" s="474"/>
      <c r="JRG6" s="473"/>
      <c r="JRH6" s="474"/>
      <c r="JRI6" s="473"/>
      <c r="JRJ6" s="474"/>
      <c r="JRK6" s="473"/>
      <c r="JRL6" s="474"/>
      <c r="JRM6" s="473"/>
      <c r="JRN6" s="474"/>
      <c r="JRO6" s="473"/>
      <c r="JRP6" s="474"/>
      <c r="JRQ6" s="473"/>
      <c r="JRR6" s="474"/>
      <c r="JRS6" s="473"/>
      <c r="JRT6" s="474"/>
      <c r="JRU6" s="473"/>
      <c r="JRV6" s="474"/>
      <c r="JRW6" s="473"/>
      <c r="JRX6" s="474"/>
      <c r="JRY6" s="473"/>
      <c r="JRZ6" s="474"/>
      <c r="JSA6" s="473"/>
      <c r="JSB6" s="474"/>
      <c r="JSC6" s="473"/>
      <c r="JSD6" s="474"/>
      <c r="JSE6" s="473"/>
      <c r="JSF6" s="474"/>
      <c r="JSG6" s="473"/>
      <c r="JSH6" s="474"/>
      <c r="JSI6" s="473"/>
      <c r="JSJ6" s="474"/>
      <c r="JSK6" s="473"/>
      <c r="JSL6" s="474"/>
      <c r="JSM6" s="473"/>
      <c r="JSN6" s="474"/>
      <c r="JSO6" s="473"/>
      <c r="JSP6" s="474"/>
      <c r="JSQ6" s="473"/>
      <c r="JSR6" s="474"/>
      <c r="JSS6" s="473"/>
      <c r="JST6" s="474"/>
      <c r="JSU6" s="473"/>
      <c r="JSV6" s="474"/>
      <c r="JSW6" s="473"/>
      <c r="JSX6" s="474"/>
      <c r="JSY6" s="473"/>
      <c r="JSZ6" s="474"/>
      <c r="JTA6" s="473"/>
      <c r="JTB6" s="474"/>
      <c r="JTC6" s="473"/>
      <c r="JTD6" s="474"/>
      <c r="JTE6" s="473"/>
      <c r="JTF6" s="474"/>
      <c r="JTG6" s="473"/>
      <c r="JTH6" s="474"/>
      <c r="JTI6" s="473"/>
      <c r="JTJ6" s="474"/>
      <c r="JTK6" s="473"/>
      <c r="JTL6" s="474"/>
      <c r="JTM6" s="473"/>
      <c r="JTN6" s="474"/>
      <c r="JTO6" s="473"/>
      <c r="JTP6" s="474"/>
      <c r="JTQ6" s="473"/>
      <c r="JTR6" s="474"/>
      <c r="JTS6" s="473"/>
      <c r="JTT6" s="474"/>
      <c r="JTU6" s="473"/>
      <c r="JTV6" s="474"/>
      <c r="JTW6" s="473"/>
      <c r="JTX6" s="474"/>
      <c r="JTY6" s="473"/>
      <c r="JTZ6" s="474"/>
      <c r="JUA6" s="473"/>
      <c r="JUB6" s="474"/>
      <c r="JUC6" s="473"/>
      <c r="JUD6" s="474"/>
      <c r="JUE6" s="473"/>
      <c r="JUF6" s="474"/>
      <c r="JUG6" s="473"/>
      <c r="JUH6" s="474"/>
      <c r="JUI6" s="473"/>
      <c r="JUJ6" s="474"/>
      <c r="JUK6" s="473"/>
      <c r="JUL6" s="474"/>
      <c r="JUM6" s="473"/>
      <c r="JUN6" s="474"/>
      <c r="JUO6" s="473"/>
      <c r="JUP6" s="474"/>
      <c r="JUQ6" s="473"/>
      <c r="JUR6" s="474"/>
      <c r="JUS6" s="473"/>
      <c r="JUT6" s="474"/>
      <c r="JUU6" s="473"/>
      <c r="JUV6" s="474"/>
      <c r="JUW6" s="473"/>
      <c r="JUX6" s="474"/>
      <c r="JUY6" s="473"/>
      <c r="JUZ6" s="474"/>
      <c r="JVA6" s="473"/>
      <c r="JVB6" s="474"/>
      <c r="JVC6" s="473"/>
      <c r="JVD6" s="474"/>
      <c r="JVE6" s="473"/>
      <c r="JVF6" s="474"/>
      <c r="JVG6" s="473"/>
      <c r="JVH6" s="474"/>
      <c r="JVI6" s="473"/>
      <c r="JVJ6" s="474"/>
      <c r="JVK6" s="473"/>
      <c r="JVL6" s="474"/>
      <c r="JVM6" s="473"/>
      <c r="JVN6" s="474"/>
      <c r="JVO6" s="473"/>
      <c r="JVP6" s="474"/>
      <c r="JVQ6" s="473"/>
      <c r="JVR6" s="474"/>
      <c r="JVS6" s="473"/>
      <c r="JVT6" s="474"/>
      <c r="JVU6" s="473"/>
      <c r="JVV6" s="474"/>
      <c r="JVW6" s="473"/>
      <c r="JVX6" s="474"/>
      <c r="JVY6" s="473"/>
      <c r="JVZ6" s="474"/>
      <c r="JWA6" s="473"/>
      <c r="JWB6" s="474"/>
      <c r="JWC6" s="473"/>
      <c r="JWD6" s="474"/>
      <c r="JWE6" s="473"/>
      <c r="JWF6" s="474"/>
      <c r="JWG6" s="473"/>
      <c r="JWH6" s="474"/>
      <c r="JWI6" s="473"/>
      <c r="JWJ6" s="474"/>
      <c r="JWK6" s="473"/>
      <c r="JWL6" s="474"/>
      <c r="JWM6" s="473"/>
      <c r="JWN6" s="474"/>
      <c r="JWO6" s="473"/>
      <c r="JWP6" s="474"/>
      <c r="JWQ6" s="473"/>
      <c r="JWR6" s="474"/>
      <c r="JWS6" s="473"/>
      <c r="JWT6" s="474"/>
      <c r="JWU6" s="473"/>
      <c r="JWV6" s="474"/>
      <c r="JWW6" s="473"/>
      <c r="JWX6" s="474"/>
      <c r="JWY6" s="473"/>
      <c r="JWZ6" s="474"/>
      <c r="JXA6" s="473"/>
      <c r="JXB6" s="474"/>
      <c r="JXC6" s="473"/>
      <c r="JXD6" s="474"/>
      <c r="JXE6" s="473"/>
      <c r="JXF6" s="474"/>
      <c r="JXG6" s="473"/>
      <c r="JXH6" s="474"/>
      <c r="JXI6" s="473"/>
      <c r="JXJ6" s="474"/>
      <c r="JXK6" s="473"/>
      <c r="JXL6" s="474"/>
      <c r="JXM6" s="473"/>
      <c r="JXN6" s="474"/>
      <c r="JXO6" s="473"/>
      <c r="JXP6" s="474"/>
      <c r="JXQ6" s="473"/>
      <c r="JXR6" s="474"/>
      <c r="JXS6" s="473"/>
      <c r="JXT6" s="474"/>
      <c r="JXU6" s="473"/>
      <c r="JXV6" s="474"/>
      <c r="JXW6" s="473"/>
      <c r="JXX6" s="474"/>
      <c r="JXY6" s="473"/>
      <c r="JXZ6" s="474"/>
      <c r="JYA6" s="473"/>
      <c r="JYB6" s="474"/>
      <c r="JYC6" s="473"/>
      <c r="JYD6" s="474"/>
      <c r="JYE6" s="473"/>
      <c r="JYF6" s="474"/>
      <c r="JYG6" s="473"/>
      <c r="JYH6" s="474"/>
      <c r="JYI6" s="473"/>
      <c r="JYJ6" s="474"/>
      <c r="JYK6" s="473"/>
      <c r="JYL6" s="474"/>
      <c r="JYM6" s="473"/>
      <c r="JYN6" s="474"/>
      <c r="JYO6" s="473"/>
      <c r="JYP6" s="474"/>
      <c r="JYQ6" s="473"/>
      <c r="JYR6" s="474"/>
      <c r="JYS6" s="473"/>
      <c r="JYT6" s="474"/>
      <c r="JYU6" s="473"/>
      <c r="JYV6" s="474"/>
      <c r="JYW6" s="473"/>
      <c r="JYX6" s="474"/>
      <c r="JYY6" s="473"/>
      <c r="JYZ6" s="474"/>
      <c r="JZA6" s="473"/>
      <c r="JZB6" s="474"/>
      <c r="JZC6" s="473"/>
      <c r="JZD6" s="474"/>
      <c r="JZE6" s="473"/>
      <c r="JZF6" s="474"/>
      <c r="JZG6" s="473"/>
      <c r="JZH6" s="474"/>
      <c r="JZI6" s="473"/>
      <c r="JZJ6" s="474"/>
      <c r="JZK6" s="473"/>
      <c r="JZL6" s="474"/>
      <c r="JZM6" s="473"/>
      <c r="JZN6" s="474"/>
      <c r="JZO6" s="473"/>
      <c r="JZP6" s="474"/>
      <c r="JZQ6" s="473"/>
      <c r="JZR6" s="474"/>
      <c r="JZS6" s="473"/>
      <c r="JZT6" s="474"/>
      <c r="JZU6" s="473"/>
      <c r="JZV6" s="474"/>
      <c r="JZW6" s="473"/>
      <c r="JZX6" s="474"/>
      <c r="JZY6" s="473"/>
      <c r="JZZ6" s="474"/>
      <c r="KAA6" s="473"/>
      <c r="KAB6" s="474"/>
      <c r="KAC6" s="473"/>
      <c r="KAD6" s="474"/>
      <c r="KAE6" s="473"/>
      <c r="KAF6" s="474"/>
      <c r="KAG6" s="473"/>
      <c r="KAH6" s="474"/>
      <c r="KAI6" s="473"/>
      <c r="KAJ6" s="474"/>
      <c r="KAK6" s="473"/>
      <c r="KAL6" s="474"/>
      <c r="KAM6" s="473"/>
      <c r="KAN6" s="474"/>
      <c r="KAO6" s="473"/>
      <c r="KAP6" s="474"/>
      <c r="KAQ6" s="473"/>
      <c r="KAR6" s="474"/>
      <c r="KAS6" s="473"/>
      <c r="KAT6" s="474"/>
      <c r="KAU6" s="473"/>
      <c r="KAV6" s="474"/>
      <c r="KAW6" s="473"/>
      <c r="KAX6" s="474"/>
      <c r="KAY6" s="473"/>
      <c r="KAZ6" s="474"/>
      <c r="KBA6" s="473"/>
      <c r="KBB6" s="474"/>
      <c r="KBC6" s="473"/>
      <c r="KBD6" s="474"/>
      <c r="KBE6" s="473"/>
      <c r="KBF6" s="474"/>
      <c r="KBG6" s="473"/>
      <c r="KBH6" s="474"/>
      <c r="KBI6" s="473"/>
      <c r="KBJ6" s="474"/>
      <c r="KBK6" s="473"/>
      <c r="KBL6" s="474"/>
      <c r="KBM6" s="473"/>
      <c r="KBN6" s="474"/>
      <c r="KBO6" s="473"/>
      <c r="KBP6" s="474"/>
      <c r="KBQ6" s="473"/>
      <c r="KBR6" s="474"/>
      <c r="KBS6" s="473"/>
      <c r="KBT6" s="474"/>
      <c r="KBU6" s="473"/>
      <c r="KBV6" s="474"/>
      <c r="KBW6" s="473"/>
      <c r="KBX6" s="474"/>
      <c r="KBY6" s="473"/>
      <c r="KBZ6" s="474"/>
      <c r="KCA6" s="473"/>
      <c r="KCB6" s="474"/>
      <c r="KCC6" s="473"/>
      <c r="KCD6" s="474"/>
      <c r="KCE6" s="473"/>
      <c r="KCF6" s="474"/>
      <c r="KCG6" s="473"/>
      <c r="KCH6" s="474"/>
      <c r="KCI6" s="473"/>
      <c r="KCJ6" s="474"/>
      <c r="KCK6" s="473"/>
      <c r="KCL6" s="474"/>
      <c r="KCM6" s="473"/>
      <c r="KCN6" s="474"/>
      <c r="KCO6" s="473"/>
      <c r="KCP6" s="474"/>
      <c r="KCQ6" s="473"/>
      <c r="KCR6" s="474"/>
      <c r="KCS6" s="473"/>
      <c r="KCT6" s="474"/>
      <c r="KCU6" s="473"/>
      <c r="KCV6" s="474"/>
      <c r="KCW6" s="473"/>
      <c r="KCX6" s="474"/>
      <c r="KCY6" s="473"/>
      <c r="KCZ6" s="474"/>
      <c r="KDA6" s="473"/>
      <c r="KDB6" s="474"/>
      <c r="KDC6" s="473"/>
      <c r="KDD6" s="474"/>
      <c r="KDE6" s="473"/>
      <c r="KDF6" s="474"/>
      <c r="KDG6" s="473"/>
      <c r="KDH6" s="474"/>
      <c r="KDI6" s="473"/>
      <c r="KDJ6" s="474"/>
      <c r="KDK6" s="473"/>
      <c r="KDL6" s="474"/>
      <c r="KDM6" s="473"/>
      <c r="KDN6" s="474"/>
      <c r="KDO6" s="473"/>
      <c r="KDP6" s="474"/>
      <c r="KDQ6" s="473"/>
      <c r="KDR6" s="474"/>
      <c r="KDS6" s="473"/>
      <c r="KDT6" s="474"/>
      <c r="KDU6" s="473"/>
      <c r="KDV6" s="474"/>
      <c r="KDW6" s="473"/>
      <c r="KDX6" s="474"/>
      <c r="KDY6" s="473"/>
      <c r="KDZ6" s="474"/>
      <c r="KEA6" s="473"/>
      <c r="KEB6" s="474"/>
      <c r="KEC6" s="473"/>
      <c r="KED6" s="474"/>
      <c r="KEE6" s="473"/>
      <c r="KEF6" s="474"/>
      <c r="KEG6" s="473"/>
      <c r="KEH6" s="474"/>
      <c r="KEI6" s="473"/>
      <c r="KEJ6" s="474"/>
      <c r="KEK6" s="473"/>
      <c r="KEL6" s="474"/>
      <c r="KEM6" s="473"/>
      <c r="KEN6" s="474"/>
      <c r="KEO6" s="473"/>
      <c r="KEP6" s="474"/>
      <c r="KEQ6" s="473"/>
      <c r="KER6" s="474"/>
      <c r="KES6" s="473"/>
      <c r="KET6" s="474"/>
      <c r="KEU6" s="473"/>
      <c r="KEV6" s="474"/>
      <c r="KEW6" s="473"/>
      <c r="KEX6" s="474"/>
      <c r="KEY6" s="473"/>
      <c r="KEZ6" s="474"/>
      <c r="KFA6" s="473"/>
      <c r="KFB6" s="474"/>
      <c r="KFC6" s="473"/>
      <c r="KFD6" s="474"/>
      <c r="KFE6" s="473"/>
      <c r="KFF6" s="474"/>
      <c r="KFG6" s="473"/>
      <c r="KFH6" s="474"/>
      <c r="KFI6" s="473"/>
      <c r="KFJ6" s="474"/>
      <c r="KFK6" s="473"/>
      <c r="KFL6" s="474"/>
      <c r="KFM6" s="473"/>
      <c r="KFN6" s="474"/>
      <c r="KFO6" s="473"/>
      <c r="KFP6" s="474"/>
      <c r="KFQ6" s="473"/>
      <c r="KFR6" s="474"/>
      <c r="KFS6" s="473"/>
      <c r="KFT6" s="474"/>
      <c r="KFU6" s="473"/>
      <c r="KFV6" s="474"/>
      <c r="KFW6" s="473"/>
      <c r="KFX6" s="474"/>
      <c r="KFY6" s="473"/>
      <c r="KFZ6" s="474"/>
      <c r="KGA6" s="473"/>
      <c r="KGB6" s="474"/>
      <c r="KGC6" s="473"/>
      <c r="KGD6" s="474"/>
      <c r="KGE6" s="473"/>
      <c r="KGF6" s="474"/>
      <c r="KGG6" s="473"/>
      <c r="KGH6" s="474"/>
      <c r="KGI6" s="473"/>
      <c r="KGJ6" s="474"/>
      <c r="KGK6" s="473"/>
      <c r="KGL6" s="474"/>
      <c r="KGM6" s="473"/>
      <c r="KGN6" s="474"/>
      <c r="KGO6" s="473"/>
      <c r="KGP6" s="474"/>
      <c r="KGQ6" s="473"/>
      <c r="KGR6" s="474"/>
      <c r="KGS6" s="473"/>
      <c r="KGT6" s="474"/>
      <c r="KGU6" s="473"/>
      <c r="KGV6" s="474"/>
      <c r="KGW6" s="473"/>
      <c r="KGX6" s="474"/>
      <c r="KGY6" s="473"/>
      <c r="KGZ6" s="474"/>
      <c r="KHA6" s="473"/>
      <c r="KHB6" s="474"/>
      <c r="KHC6" s="473"/>
      <c r="KHD6" s="474"/>
      <c r="KHE6" s="473"/>
      <c r="KHF6" s="474"/>
      <c r="KHG6" s="473"/>
      <c r="KHH6" s="474"/>
      <c r="KHI6" s="473"/>
      <c r="KHJ6" s="474"/>
      <c r="KHK6" s="473"/>
      <c r="KHL6" s="474"/>
      <c r="KHM6" s="473"/>
      <c r="KHN6" s="474"/>
      <c r="KHO6" s="473"/>
      <c r="KHP6" s="474"/>
      <c r="KHQ6" s="473"/>
      <c r="KHR6" s="474"/>
      <c r="KHS6" s="473"/>
      <c r="KHT6" s="474"/>
      <c r="KHU6" s="473"/>
      <c r="KHV6" s="474"/>
      <c r="KHW6" s="473"/>
      <c r="KHX6" s="474"/>
      <c r="KHY6" s="473"/>
      <c r="KHZ6" s="474"/>
      <c r="KIA6" s="473"/>
      <c r="KIB6" s="474"/>
      <c r="KIC6" s="473"/>
      <c r="KID6" s="474"/>
      <c r="KIE6" s="473"/>
      <c r="KIF6" s="474"/>
      <c r="KIG6" s="473"/>
      <c r="KIH6" s="474"/>
      <c r="KII6" s="473"/>
      <c r="KIJ6" s="474"/>
      <c r="KIK6" s="473"/>
      <c r="KIL6" s="474"/>
      <c r="KIM6" s="473"/>
      <c r="KIN6" s="474"/>
      <c r="KIO6" s="473"/>
      <c r="KIP6" s="474"/>
      <c r="KIQ6" s="473"/>
      <c r="KIR6" s="474"/>
      <c r="KIS6" s="473"/>
      <c r="KIT6" s="474"/>
      <c r="KIU6" s="473"/>
      <c r="KIV6" s="474"/>
      <c r="KIW6" s="473"/>
      <c r="KIX6" s="474"/>
      <c r="KIY6" s="473"/>
      <c r="KIZ6" s="474"/>
      <c r="KJA6" s="473"/>
      <c r="KJB6" s="474"/>
      <c r="KJC6" s="473"/>
      <c r="KJD6" s="474"/>
      <c r="KJE6" s="473"/>
      <c r="KJF6" s="474"/>
      <c r="KJG6" s="473"/>
      <c r="KJH6" s="474"/>
      <c r="KJI6" s="473"/>
      <c r="KJJ6" s="474"/>
      <c r="KJK6" s="473"/>
      <c r="KJL6" s="474"/>
      <c r="KJM6" s="473"/>
      <c r="KJN6" s="474"/>
      <c r="KJO6" s="473"/>
      <c r="KJP6" s="474"/>
      <c r="KJQ6" s="473"/>
      <c r="KJR6" s="474"/>
      <c r="KJS6" s="473"/>
      <c r="KJT6" s="474"/>
      <c r="KJU6" s="473"/>
      <c r="KJV6" s="474"/>
      <c r="KJW6" s="473"/>
      <c r="KJX6" s="474"/>
      <c r="KJY6" s="473"/>
      <c r="KJZ6" s="474"/>
      <c r="KKA6" s="473"/>
      <c r="KKB6" s="474"/>
      <c r="KKC6" s="473"/>
      <c r="KKD6" s="474"/>
      <c r="KKE6" s="473"/>
      <c r="KKF6" s="474"/>
      <c r="KKG6" s="473"/>
      <c r="KKH6" s="474"/>
      <c r="KKI6" s="473"/>
      <c r="KKJ6" s="474"/>
      <c r="KKK6" s="473"/>
      <c r="KKL6" s="474"/>
      <c r="KKM6" s="473"/>
      <c r="KKN6" s="474"/>
      <c r="KKO6" s="473"/>
      <c r="KKP6" s="474"/>
      <c r="KKQ6" s="473"/>
      <c r="KKR6" s="474"/>
      <c r="KKS6" s="473"/>
      <c r="KKT6" s="474"/>
      <c r="KKU6" s="473"/>
      <c r="KKV6" s="474"/>
      <c r="KKW6" s="473"/>
      <c r="KKX6" s="474"/>
      <c r="KKY6" s="473"/>
      <c r="KKZ6" s="474"/>
      <c r="KLA6" s="473"/>
      <c r="KLB6" s="474"/>
      <c r="KLC6" s="473"/>
      <c r="KLD6" s="474"/>
      <c r="KLE6" s="473"/>
      <c r="KLF6" s="474"/>
      <c r="KLG6" s="473"/>
      <c r="KLH6" s="474"/>
      <c r="KLI6" s="473"/>
      <c r="KLJ6" s="474"/>
      <c r="KLK6" s="473"/>
      <c r="KLL6" s="474"/>
      <c r="KLM6" s="473"/>
      <c r="KLN6" s="474"/>
      <c r="KLO6" s="473"/>
      <c r="KLP6" s="474"/>
      <c r="KLQ6" s="473"/>
      <c r="KLR6" s="474"/>
      <c r="KLS6" s="473"/>
      <c r="KLT6" s="474"/>
      <c r="KLU6" s="473"/>
      <c r="KLV6" s="474"/>
      <c r="KLW6" s="473"/>
      <c r="KLX6" s="474"/>
      <c r="KLY6" s="473"/>
      <c r="KLZ6" s="474"/>
      <c r="KMA6" s="473"/>
      <c r="KMB6" s="474"/>
      <c r="KMC6" s="473"/>
      <c r="KMD6" s="474"/>
      <c r="KME6" s="473"/>
      <c r="KMF6" s="474"/>
      <c r="KMG6" s="473"/>
      <c r="KMH6" s="474"/>
      <c r="KMI6" s="473"/>
      <c r="KMJ6" s="474"/>
      <c r="KMK6" s="473"/>
      <c r="KML6" s="474"/>
      <c r="KMM6" s="473"/>
      <c r="KMN6" s="474"/>
      <c r="KMO6" s="473"/>
      <c r="KMP6" s="474"/>
      <c r="KMQ6" s="473"/>
      <c r="KMR6" s="474"/>
      <c r="KMS6" s="473"/>
      <c r="KMT6" s="474"/>
      <c r="KMU6" s="473"/>
      <c r="KMV6" s="474"/>
      <c r="KMW6" s="473"/>
      <c r="KMX6" s="474"/>
      <c r="KMY6" s="473"/>
      <c r="KMZ6" s="474"/>
      <c r="KNA6" s="473"/>
      <c r="KNB6" s="474"/>
      <c r="KNC6" s="473"/>
      <c r="KND6" s="474"/>
      <c r="KNE6" s="473"/>
      <c r="KNF6" s="474"/>
      <c r="KNG6" s="473"/>
      <c r="KNH6" s="474"/>
      <c r="KNI6" s="473"/>
      <c r="KNJ6" s="474"/>
      <c r="KNK6" s="473"/>
      <c r="KNL6" s="474"/>
      <c r="KNM6" s="473"/>
      <c r="KNN6" s="474"/>
      <c r="KNO6" s="473"/>
      <c r="KNP6" s="474"/>
      <c r="KNQ6" s="473"/>
      <c r="KNR6" s="474"/>
      <c r="KNS6" s="473"/>
      <c r="KNT6" s="474"/>
      <c r="KNU6" s="473"/>
      <c r="KNV6" s="474"/>
      <c r="KNW6" s="473"/>
      <c r="KNX6" s="474"/>
      <c r="KNY6" s="473"/>
      <c r="KNZ6" s="474"/>
      <c r="KOA6" s="473"/>
      <c r="KOB6" s="474"/>
      <c r="KOC6" s="473"/>
      <c r="KOD6" s="474"/>
      <c r="KOE6" s="473"/>
      <c r="KOF6" s="474"/>
      <c r="KOG6" s="473"/>
      <c r="KOH6" s="474"/>
      <c r="KOI6" s="473"/>
      <c r="KOJ6" s="474"/>
      <c r="KOK6" s="473"/>
      <c r="KOL6" s="474"/>
      <c r="KOM6" s="473"/>
      <c r="KON6" s="474"/>
      <c r="KOO6" s="473"/>
      <c r="KOP6" s="474"/>
      <c r="KOQ6" s="473"/>
      <c r="KOR6" s="474"/>
      <c r="KOS6" s="473"/>
      <c r="KOT6" s="474"/>
      <c r="KOU6" s="473"/>
      <c r="KOV6" s="474"/>
      <c r="KOW6" s="473"/>
      <c r="KOX6" s="474"/>
      <c r="KOY6" s="473"/>
      <c r="KOZ6" s="474"/>
      <c r="KPA6" s="473"/>
      <c r="KPB6" s="474"/>
      <c r="KPC6" s="473"/>
      <c r="KPD6" s="474"/>
      <c r="KPE6" s="473"/>
      <c r="KPF6" s="474"/>
      <c r="KPG6" s="473"/>
      <c r="KPH6" s="474"/>
      <c r="KPI6" s="473"/>
      <c r="KPJ6" s="474"/>
      <c r="KPK6" s="473"/>
      <c r="KPL6" s="474"/>
      <c r="KPM6" s="473"/>
      <c r="KPN6" s="474"/>
      <c r="KPO6" s="473"/>
      <c r="KPP6" s="474"/>
      <c r="KPQ6" s="473"/>
      <c r="KPR6" s="474"/>
      <c r="KPS6" s="473"/>
      <c r="KPT6" s="474"/>
      <c r="KPU6" s="473"/>
      <c r="KPV6" s="474"/>
      <c r="KPW6" s="473"/>
      <c r="KPX6" s="474"/>
      <c r="KPY6" s="473"/>
      <c r="KPZ6" s="474"/>
      <c r="KQA6" s="473"/>
      <c r="KQB6" s="474"/>
      <c r="KQC6" s="473"/>
      <c r="KQD6" s="474"/>
      <c r="KQE6" s="473"/>
      <c r="KQF6" s="474"/>
      <c r="KQG6" s="473"/>
      <c r="KQH6" s="474"/>
      <c r="KQI6" s="473"/>
      <c r="KQJ6" s="474"/>
      <c r="KQK6" s="473"/>
      <c r="KQL6" s="474"/>
      <c r="KQM6" s="473"/>
      <c r="KQN6" s="474"/>
      <c r="KQO6" s="473"/>
      <c r="KQP6" s="474"/>
      <c r="KQQ6" s="473"/>
      <c r="KQR6" s="474"/>
      <c r="KQS6" s="473"/>
      <c r="KQT6" s="474"/>
      <c r="KQU6" s="473"/>
      <c r="KQV6" s="474"/>
      <c r="KQW6" s="473"/>
      <c r="KQX6" s="474"/>
      <c r="KQY6" s="473"/>
      <c r="KQZ6" s="474"/>
      <c r="KRA6" s="473"/>
      <c r="KRB6" s="474"/>
      <c r="KRC6" s="473"/>
      <c r="KRD6" s="474"/>
      <c r="KRE6" s="473"/>
      <c r="KRF6" s="474"/>
      <c r="KRG6" s="473"/>
      <c r="KRH6" s="474"/>
      <c r="KRI6" s="473"/>
      <c r="KRJ6" s="474"/>
      <c r="KRK6" s="473"/>
      <c r="KRL6" s="474"/>
      <c r="KRM6" s="473"/>
      <c r="KRN6" s="474"/>
      <c r="KRO6" s="473"/>
      <c r="KRP6" s="474"/>
      <c r="KRQ6" s="473"/>
      <c r="KRR6" s="474"/>
      <c r="KRS6" s="473"/>
      <c r="KRT6" s="474"/>
      <c r="KRU6" s="473"/>
      <c r="KRV6" s="474"/>
      <c r="KRW6" s="473"/>
      <c r="KRX6" s="474"/>
      <c r="KRY6" s="473"/>
      <c r="KRZ6" s="474"/>
      <c r="KSA6" s="473"/>
      <c r="KSB6" s="474"/>
      <c r="KSC6" s="473"/>
      <c r="KSD6" s="474"/>
      <c r="KSE6" s="473"/>
      <c r="KSF6" s="474"/>
      <c r="KSG6" s="473"/>
      <c r="KSH6" s="474"/>
      <c r="KSI6" s="473"/>
      <c r="KSJ6" s="474"/>
      <c r="KSK6" s="473"/>
      <c r="KSL6" s="474"/>
      <c r="KSM6" s="473"/>
      <c r="KSN6" s="474"/>
      <c r="KSO6" s="473"/>
      <c r="KSP6" s="474"/>
      <c r="KSQ6" s="473"/>
      <c r="KSR6" s="474"/>
      <c r="KSS6" s="473"/>
      <c r="KST6" s="474"/>
      <c r="KSU6" s="473"/>
      <c r="KSV6" s="474"/>
      <c r="KSW6" s="473"/>
      <c r="KSX6" s="474"/>
      <c r="KSY6" s="473"/>
      <c r="KSZ6" s="474"/>
      <c r="KTA6" s="473"/>
      <c r="KTB6" s="474"/>
      <c r="KTC6" s="473"/>
      <c r="KTD6" s="474"/>
      <c r="KTE6" s="473"/>
      <c r="KTF6" s="474"/>
      <c r="KTG6" s="473"/>
      <c r="KTH6" s="474"/>
      <c r="KTI6" s="473"/>
      <c r="KTJ6" s="474"/>
      <c r="KTK6" s="473"/>
      <c r="KTL6" s="474"/>
      <c r="KTM6" s="473"/>
      <c r="KTN6" s="474"/>
      <c r="KTO6" s="473"/>
      <c r="KTP6" s="474"/>
      <c r="KTQ6" s="473"/>
      <c r="KTR6" s="474"/>
      <c r="KTS6" s="473"/>
      <c r="KTT6" s="474"/>
      <c r="KTU6" s="473"/>
      <c r="KTV6" s="474"/>
      <c r="KTW6" s="473"/>
      <c r="KTX6" s="474"/>
      <c r="KTY6" s="473"/>
      <c r="KTZ6" s="474"/>
      <c r="KUA6" s="473"/>
      <c r="KUB6" s="474"/>
      <c r="KUC6" s="473"/>
      <c r="KUD6" s="474"/>
      <c r="KUE6" s="473"/>
      <c r="KUF6" s="474"/>
      <c r="KUG6" s="473"/>
      <c r="KUH6" s="474"/>
      <c r="KUI6" s="473"/>
      <c r="KUJ6" s="474"/>
      <c r="KUK6" s="473"/>
      <c r="KUL6" s="474"/>
      <c r="KUM6" s="473"/>
      <c r="KUN6" s="474"/>
      <c r="KUO6" s="473"/>
      <c r="KUP6" s="474"/>
      <c r="KUQ6" s="473"/>
      <c r="KUR6" s="474"/>
      <c r="KUS6" s="473"/>
      <c r="KUT6" s="474"/>
      <c r="KUU6" s="473"/>
      <c r="KUV6" s="474"/>
      <c r="KUW6" s="473"/>
      <c r="KUX6" s="474"/>
      <c r="KUY6" s="473"/>
      <c r="KUZ6" s="474"/>
      <c r="KVA6" s="473"/>
      <c r="KVB6" s="474"/>
      <c r="KVC6" s="473"/>
      <c r="KVD6" s="474"/>
      <c r="KVE6" s="473"/>
      <c r="KVF6" s="474"/>
      <c r="KVG6" s="473"/>
      <c r="KVH6" s="474"/>
      <c r="KVI6" s="473"/>
      <c r="KVJ6" s="474"/>
      <c r="KVK6" s="473"/>
      <c r="KVL6" s="474"/>
      <c r="KVM6" s="473"/>
      <c r="KVN6" s="474"/>
      <c r="KVO6" s="473"/>
      <c r="KVP6" s="474"/>
      <c r="KVQ6" s="473"/>
      <c r="KVR6" s="474"/>
      <c r="KVS6" s="473"/>
      <c r="KVT6" s="474"/>
      <c r="KVU6" s="473"/>
      <c r="KVV6" s="474"/>
      <c r="KVW6" s="473"/>
      <c r="KVX6" s="474"/>
      <c r="KVY6" s="473"/>
      <c r="KVZ6" s="474"/>
      <c r="KWA6" s="473"/>
      <c r="KWB6" s="474"/>
      <c r="KWC6" s="473"/>
      <c r="KWD6" s="474"/>
      <c r="KWE6" s="473"/>
      <c r="KWF6" s="474"/>
      <c r="KWG6" s="473"/>
      <c r="KWH6" s="474"/>
      <c r="KWI6" s="473"/>
      <c r="KWJ6" s="474"/>
      <c r="KWK6" s="473"/>
      <c r="KWL6" s="474"/>
      <c r="KWM6" s="473"/>
      <c r="KWN6" s="474"/>
      <c r="KWO6" s="473"/>
      <c r="KWP6" s="474"/>
      <c r="KWQ6" s="473"/>
      <c r="KWR6" s="474"/>
      <c r="KWS6" s="473"/>
      <c r="KWT6" s="474"/>
      <c r="KWU6" s="473"/>
      <c r="KWV6" s="474"/>
      <c r="KWW6" s="473"/>
      <c r="KWX6" s="474"/>
      <c r="KWY6" s="473"/>
      <c r="KWZ6" s="474"/>
      <c r="KXA6" s="473"/>
      <c r="KXB6" s="474"/>
      <c r="KXC6" s="473"/>
      <c r="KXD6" s="474"/>
      <c r="KXE6" s="473"/>
      <c r="KXF6" s="474"/>
      <c r="KXG6" s="473"/>
      <c r="KXH6" s="474"/>
      <c r="KXI6" s="473"/>
      <c r="KXJ6" s="474"/>
      <c r="KXK6" s="473"/>
      <c r="KXL6" s="474"/>
      <c r="KXM6" s="473"/>
      <c r="KXN6" s="474"/>
      <c r="KXO6" s="473"/>
      <c r="KXP6" s="474"/>
      <c r="KXQ6" s="473"/>
      <c r="KXR6" s="474"/>
      <c r="KXS6" s="473"/>
      <c r="KXT6" s="474"/>
      <c r="KXU6" s="473"/>
      <c r="KXV6" s="474"/>
      <c r="KXW6" s="473"/>
      <c r="KXX6" s="474"/>
      <c r="KXY6" s="473"/>
      <c r="KXZ6" s="474"/>
      <c r="KYA6" s="473"/>
      <c r="KYB6" s="474"/>
      <c r="KYC6" s="473"/>
      <c r="KYD6" s="474"/>
      <c r="KYE6" s="473"/>
      <c r="KYF6" s="474"/>
      <c r="KYG6" s="473"/>
      <c r="KYH6" s="474"/>
      <c r="KYI6" s="473"/>
      <c r="KYJ6" s="474"/>
      <c r="KYK6" s="473"/>
      <c r="KYL6" s="474"/>
      <c r="KYM6" s="473"/>
      <c r="KYN6" s="474"/>
      <c r="KYO6" s="473"/>
      <c r="KYP6" s="474"/>
      <c r="KYQ6" s="473"/>
      <c r="KYR6" s="474"/>
      <c r="KYS6" s="473"/>
      <c r="KYT6" s="474"/>
      <c r="KYU6" s="473"/>
      <c r="KYV6" s="474"/>
      <c r="KYW6" s="473"/>
      <c r="KYX6" s="474"/>
      <c r="KYY6" s="473"/>
      <c r="KYZ6" s="474"/>
      <c r="KZA6" s="473"/>
      <c r="KZB6" s="474"/>
      <c r="KZC6" s="473"/>
      <c r="KZD6" s="474"/>
      <c r="KZE6" s="473"/>
      <c r="KZF6" s="474"/>
      <c r="KZG6" s="473"/>
      <c r="KZH6" s="474"/>
      <c r="KZI6" s="473"/>
      <c r="KZJ6" s="474"/>
      <c r="KZK6" s="473"/>
      <c r="KZL6" s="474"/>
      <c r="KZM6" s="473"/>
      <c r="KZN6" s="474"/>
      <c r="KZO6" s="473"/>
      <c r="KZP6" s="474"/>
      <c r="KZQ6" s="473"/>
      <c r="KZR6" s="474"/>
      <c r="KZS6" s="473"/>
      <c r="KZT6" s="474"/>
      <c r="KZU6" s="473"/>
      <c r="KZV6" s="474"/>
      <c r="KZW6" s="473"/>
      <c r="KZX6" s="474"/>
      <c r="KZY6" s="473"/>
      <c r="KZZ6" s="474"/>
      <c r="LAA6" s="473"/>
      <c r="LAB6" s="474"/>
      <c r="LAC6" s="473"/>
      <c r="LAD6" s="474"/>
      <c r="LAE6" s="473"/>
      <c r="LAF6" s="474"/>
      <c r="LAG6" s="473"/>
      <c r="LAH6" s="474"/>
      <c r="LAI6" s="473"/>
      <c r="LAJ6" s="474"/>
      <c r="LAK6" s="473"/>
      <c r="LAL6" s="474"/>
      <c r="LAM6" s="473"/>
      <c r="LAN6" s="474"/>
      <c r="LAO6" s="473"/>
      <c r="LAP6" s="474"/>
      <c r="LAQ6" s="473"/>
      <c r="LAR6" s="474"/>
      <c r="LAS6" s="473"/>
      <c r="LAT6" s="474"/>
      <c r="LAU6" s="473"/>
      <c r="LAV6" s="474"/>
      <c r="LAW6" s="473"/>
      <c r="LAX6" s="474"/>
      <c r="LAY6" s="473"/>
      <c r="LAZ6" s="474"/>
      <c r="LBA6" s="473"/>
      <c r="LBB6" s="474"/>
      <c r="LBC6" s="473"/>
      <c r="LBD6" s="474"/>
      <c r="LBE6" s="473"/>
      <c r="LBF6" s="474"/>
      <c r="LBG6" s="473"/>
      <c r="LBH6" s="474"/>
      <c r="LBI6" s="473"/>
      <c r="LBJ6" s="474"/>
      <c r="LBK6" s="473"/>
      <c r="LBL6" s="474"/>
      <c r="LBM6" s="473"/>
      <c r="LBN6" s="474"/>
      <c r="LBO6" s="473"/>
      <c r="LBP6" s="474"/>
      <c r="LBQ6" s="473"/>
      <c r="LBR6" s="474"/>
      <c r="LBS6" s="473"/>
      <c r="LBT6" s="474"/>
      <c r="LBU6" s="473"/>
      <c r="LBV6" s="474"/>
      <c r="LBW6" s="473"/>
      <c r="LBX6" s="474"/>
      <c r="LBY6" s="473"/>
      <c r="LBZ6" s="474"/>
      <c r="LCA6" s="473"/>
      <c r="LCB6" s="474"/>
      <c r="LCC6" s="473"/>
      <c r="LCD6" s="474"/>
      <c r="LCE6" s="473"/>
      <c r="LCF6" s="474"/>
      <c r="LCG6" s="473"/>
      <c r="LCH6" s="474"/>
      <c r="LCI6" s="473"/>
      <c r="LCJ6" s="474"/>
      <c r="LCK6" s="473"/>
      <c r="LCL6" s="474"/>
      <c r="LCM6" s="473"/>
      <c r="LCN6" s="474"/>
      <c r="LCO6" s="473"/>
      <c r="LCP6" s="474"/>
      <c r="LCQ6" s="473"/>
      <c r="LCR6" s="474"/>
      <c r="LCS6" s="473"/>
      <c r="LCT6" s="474"/>
      <c r="LCU6" s="473"/>
      <c r="LCV6" s="474"/>
      <c r="LCW6" s="473"/>
      <c r="LCX6" s="474"/>
      <c r="LCY6" s="473"/>
      <c r="LCZ6" s="474"/>
      <c r="LDA6" s="473"/>
      <c r="LDB6" s="474"/>
      <c r="LDC6" s="473"/>
      <c r="LDD6" s="474"/>
      <c r="LDE6" s="473"/>
      <c r="LDF6" s="474"/>
      <c r="LDG6" s="473"/>
      <c r="LDH6" s="474"/>
      <c r="LDI6" s="473"/>
      <c r="LDJ6" s="474"/>
      <c r="LDK6" s="473"/>
      <c r="LDL6" s="474"/>
      <c r="LDM6" s="473"/>
      <c r="LDN6" s="474"/>
      <c r="LDO6" s="473"/>
      <c r="LDP6" s="474"/>
      <c r="LDQ6" s="473"/>
      <c r="LDR6" s="474"/>
      <c r="LDS6" s="473"/>
      <c r="LDT6" s="474"/>
      <c r="LDU6" s="473"/>
      <c r="LDV6" s="474"/>
      <c r="LDW6" s="473"/>
      <c r="LDX6" s="474"/>
      <c r="LDY6" s="473"/>
      <c r="LDZ6" s="474"/>
      <c r="LEA6" s="473"/>
      <c r="LEB6" s="474"/>
      <c r="LEC6" s="473"/>
      <c r="LED6" s="474"/>
      <c r="LEE6" s="473"/>
      <c r="LEF6" s="474"/>
      <c r="LEG6" s="473"/>
      <c r="LEH6" s="474"/>
      <c r="LEI6" s="473"/>
      <c r="LEJ6" s="474"/>
      <c r="LEK6" s="473"/>
      <c r="LEL6" s="474"/>
      <c r="LEM6" s="473"/>
      <c r="LEN6" s="474"/>
      <c r="LEO6" s="473"/>
      <c r="LEP6" s="474"/>
      <c r="LEQ6" s="473"/>
      <c r="LER6" s="474"/>
      <c r="LES6" s="473"/>
      <c r="LET6" s="474"/>
      <c r="LEU6" s="473"/>
      <c r="LEV6" s="474"/>
      <c r="LEW6" s="473"/>
      <c r="LEX6" s="474"/>
      <c r="LEY6" s="473"/>
      <c r="LEZ6" s="474"/>
      <c r="LFA6" s="473"/>
      <c r="LFB6" s="474"/>
      <c r="LFC6" s="473"/>
      <c r="LFD6" s="474"/>
      <c r="LFE6" s="473"/>
      <c r="LFF6" s="474"/>
      <c r="LFG6" s="473"/>
      <c r="LFH6" s="474"/>
      <c r="LFI6" s="473"/>
      <c r="LFJ6" s="474"/>
      <c r="LFK6" s="473"/>
      <c r="LFL6" s="474"/>
      <c r="LFM6" s="473"/>
      <c r="LFN6" s="474"/>
      <c r="LFO6" s="473"/>
      <c r="LFP6" s="474"/>
      <c r="LFQ6" s="473"/>
      <c r="LFR6" s="474"/>
      <c r="LFS6" s="473"/>
      <c r="LFT6" s="474"/>
      <c r="LFU6" s="473"/>
      <c r="LFV6" s="474"/>
      <c r="LFW6" s="473"/>
      <c r="LFX6" s="474"/>
      <c r="LFY6" s="473"/>
      <c r="LFZ6" s="474"/>
      <c r="LGA6" s="473"/>
      <c r="LGB6" s="474"/>
      <c r="LGC6" s="473"/>
      <c r="LGD6" s="474"/>
      <c r="LGE6" s="473"/>
      <c r="LGF6" s="474"/>
      <c r="LGG6" s="473"/>
      <c r="LGH6" s="474"/>
      <c r="LGI6" s="473"/>
      <c r="LGJ6" s="474"/>
      <c r="LGK6" s="473"/>
      <c r="LGL6" s="474"/>
      <c r="LGM6" s="473"/>
      <c r="LGN6" s="474"/>
      <c r="LGO6" s="473"/>
      <c r="LGP6" s="474"/>
      <c r="LGQ6" s="473"/>
      <c r="LGR6" s="474"/>
      <c r="LGS6" s="473"/>
      <c r="LGT6" s="474"/>
      <c r="LGU6" s="473"/>
      <c r="LGV6" s="474"/>
      <c r="LGW6" s="473"/>
      <c r="LGX6" s="474"/>
      <c r="LGY6" s="473"/>
      <c r="LGZ6" s="474"/>
      <c r="LHA6" s="473"/>
      <c r="LHB6" s="474"/>
      <c r="LHC6" s="473"/>
      <c r="LHD6" s="474"/>
      <c r="LHE6" s="473"/>
      <c r="LHF6" s="474"/>
      <c r="LHG6" s="473"/>
      <c r="LHH6" s="474"/>
      <c r="LHI6" s="473"/>
      <c r="LHJ6" s="474"/>
      <c r="LHK6" s="473"/>
      <c r="LHL6" s="474"/>
      <c r="LHM6" s="473"/>
      <c r="LHN6" s="474"/>
      <c r="LHO6" s="473"/>
      <c r="LHP6" s="474"/>
      <c r="LHQ6" s="473"/>
      <c r="LHR6" s="474"/>
      <c r="LHS6" s="473"/>
      <c r="LHT6" s="474"/>
      <c r="LHU6" s="473"/>
      <c r="LHV6" s="474"/>
      <c r="LHW6" s="473"/>
      <c r="LHX6" s="474"/>
      <c r="LHY6" s="473"/>
      <c r="LHZ6" s="474"/>
      <c r="LIA6" s="473"/>
      <c r="LIB6" s="474"/>
      <c r="LIC6" s="473"/>
      <c r="LID6" s="474"/>
      <c r="LIE6" s="473"/>
      <c r="LIF6" s="474"/>
      <c r="LIG6" s="473"/>
      <c r="LIH6" s="474"/>
      <c r="LII6" s="473"/>
      <c r="LIJ6" s="474"/>
      <c r="LIK6" s="473"/>
      <c r="LIL6" s="474"/>
      <c r="LIM6" s="473"/>
      <c r="LIN6" s="474"/>
      <c r="LIO6" s="473"/>
      <c r="LIP6" s="474"/>
      <c r="LIQ6" s="473"/>
      <c r="LIR6" s="474"/>
      <c r="LIS6" s="473"/>
      <c r="LIT6" s="474"/>
      <c r="LIU6" s="473"/>
      <c r="LIV6" s="474"/>
      <c r="LIW6" s="473"/>
      <c r="LIX6" s="474"/>
      <c r="LIY6" s="473"/>
      <c r="LIZ6" s="474"/>
      <c r="LJA6" s="473"/>
      <c r="LJB6" s="474"/>
      <c r="LJC6" s="473"/>
      <c r="LJD6" s="474"/>
      <c r="LJE6" s="473"/>
      <c r="LJF6" s="474"/>
      <c r="LJG6" s="473"/>
      <c r="LJH6" s="474"/>
      <c r="LJI6" s="473"/>
      <c r="LJJ6" s="474"/>
      <c r="LJK6" s="473"/>
      <c r="LJL6" s="474"/>
      <c r="LJM6" s="473"/>
      <c r="LJN6" s="474"/>
      <c r="LJO6" s="473"/>
      <c r="LJP6" s="474"/>
      <c r="LJQ6" s="473"/>
      <c r="LJR6" s="474"/>
      <c r="LJS6" s="473"/>
      <c r="LJT6" s="474"/>
      <c r="LJU6" s="473"/>
      <c r="LJV6" s="474"/>
      <c r="LJW6" s="473"/>
      <c r="LJX6" s="474"/>
      <c r="LJY6" s="473"/>
      <c r="LJZ6" s="474"/>
      <c r="LKA6" s="473"/>
      <c r="LKB6" s="474"/>
      <c r="LKC6" s="473"/>
      <c r="LKD6" s="474"/>
      <c r="LKE6" s="473"/>
      <c r="LKF6" s="474"/>
      <c r="LKG6" s="473"/>
      <c r="LKH6" s="474"/>
      <c r="LKI6" s="473"/>
      <c r="LKJ6" s="474"/>
      <c r="LKK6" s="473"/>
      <c r="LKL6" s="474"/>
      <c r="LKM6" s="473"/>
      <c r="LKN6" s="474"/>
      <c r="LKO6" s="473"/>
      <c r="LKP6" s="474"/>
      <c r="LKQ6" s="473"/>
      <c r="LKR6" s="474"/>
      <c r="LKS6" s="473"/>
      <c r="LKT6" s="474"/>
      <c r="LKU6" s="473"/>
      <c r="LKV6" s="474"/>
      <c r="LKW6" s="473"/>
      <c r="LKX6" s="474"/>
      <c r="LKY6" s="473"/>
      <c r="LKZ6" s="474"/>
      <c r="LLA6" s="473"/>
      <c r="LLB6" s="474"/>
      <c r="LLC6" s="473"/>
      <c r="LLD6" s="474"/>
      <c r="LLE6" s="473"/>
      <c r="LLF6" s="474"/>
      <c r="LLG6" s="473"/>
      <c r="LLH6" s="474"/>
      <c r="LLI6" s="473"/>
      <c r="LLJ6" s="474"/>
      <c r="LLK6" s="473"/>
      <c r="LLL6" s="474"/>
      <c r="LLM6" s="473"/>
      <c r="LLN6" s="474"/>
      <c r="LLO6" s="473"/>
      <c r="LLP6" s="474"/>
      <c r="LLQ6" s="473"/>
      <c r="LLR6" s="474"/>
      <c r="LLS6" s="473"/>
      <c r="LLT6" s="474"/>
      <c r="LLU6" s="473"/>
      <c r="LLV6" s="474"/>
      <c r="LLW6" s="473"/>
      <c r="LLX6" s="474"/>
      <c r="LLY6" s="473"/>
      <c r="LLZ6" s="474"/>
      <c r="LMA6" s="473"/>
      <c r="LMB6" s="474"/>
      <c r="LMC6" s="473"/>
      <c r="LMD6" s="474"/>
      <c r="LME6" s="473"/>
      <c r="LMF6" s="474"/>
      <c r="LMG6" s="473"/>
      <c r="LMH6" s="474"/>
      <c r="LMI6" s="473"/>
      <c r="LMJ6" s="474"/>
      <c r="LMK6" s="473"/>
      <c r="LML6" s="474"/>
      <c r="LMM6" s="473"/>
      <c r="LMN6" s="474"/>
      <c r="LMO6" s="473"/>
      <c r="LMP6" s="474"/>
      <c r="LMQ6" s="473"/>
      <c r="LMR6" s="474"/>
      <c r="LMS6" s="473"/>
      <c r="LMT6" s="474"/>
      <c r="LMU6" s="473"/>
      <c r="LMV6" s="474"/>
      <c r="LMW6" s="473"/>
      <c r="LMX6" s="474"/>
      <c r="LMY6" s="473"/>
      <c r="LMZ6" s="474"/>
      <c r="LNA6" s="473"/>
      <c r="LNB6" s="474"/>
      <c r="LNC6" s="473"/>
      <c r="LND6" s="474"/>
      <c r="LNE6" s="473"/>
      <c r="LNF6" s="474"/>
      <c r="LNG6" s="473"/>
      <c r="LNH6" s="474"/>
      <c r="LNI6" s="473"/>
      <c r="LNJ6" s="474"/>
      <c r="LNK6" s="473"/>
      <c r="LNL6" s="474"/>
      <c r="LNM6" s="473"/>
      <c r="LNN6" s="474"/>
      <c r="LNO6" s="473"/>
      <c r="LNP6" s="474"/>
      <c r="LNQ6" s="473"/>
      <c r="LNR6" s="474"/>
      <c r="LNS6" s="473"/>
      <c r="LNT6" s="474"/>
      <c r="LNU6" s="473"/>
      <c r="LNV6" s="474"/>
      <c r="LNW6" s="473"/>
      <c r="LNX6" s="474"/>
      <c r="LNY6" s="473"/>
      <c r="LNZ6" s="474"/>
      <c r="LOA6" s="473"/>
      <c r="LOB6" s="474"/>
      <c r="LOC6" s="473"/>
      <c r="LOD6" s="474"/>
      <c r="LOE6" s="473"/>
      <c r="LOF6" s="474"/>
      <c r="LOG6" s="473"/>
      <c r="LOH6" s="474"/>
      <c r="LOI6" s="473"/>
      <c r="LOJ6" s="474"/>
      <c r="LOK6" s="473"/>
      <c r="LOL6" s="474"/>
      <c r="LOM6" s="473"/>
      <c r="LON6" s="474"/>
      <c r="LOO6" s="473"/>
      <c r="LOP6" s="474"/>
      <c r="LOQ6" s="473"/>
      <c r="LOR6" s="474"/>
      <c r="LOS6" s="473"/>
      <c r="LOT6" s="474"/>
      <c r="LOU6" s="473"/>
      <c r="LOV6" s="474"/>
      <c r="LOW6" s="473"/>
      <c r="LOX6" s="474"/>
      <c r="LOY6" s="473"/>
      <c r="LOZ6" s="474"/>
      <c r="LPA6" s="473"/>
      <c r="LPB6" s="474"/>
      <c r="LPC6" s="473"/>
      <c r="LPD6" s="474"/>
      <c r="LPE6" s="473"/>
      <c r="LPF6" s="474"/>
      <c r="LPG6" s="473"/>
      <c r="LPH6" s="474"/>
      <c r="LPI6" s="473"/>
      <c r="LPJ6" s="474"/>
      <c r="LPK6" s="473"/>
      <c r="LPL6" s="474"/>
      <c r="LPM6" s="473"/>
      <c r="LPN6" s="474"/>
      <c r="LPO6" s="473"/>
      <c r="LPP6" s="474"/>
      <c r="LPQ6" s="473"/>
      <c r="LPR6" s="474"/>
      <c r="LPS6" s="473"/>
      <c r="LPT6" s="474"/>
      <c r="LPU6" s="473"/>
      <c r="LPV6" s="474"/>
      <c r="LPW6" s="473"/>
      <c r="LPX6" s="474"/>
      <c r="LPY6" s="473"/>
      <c r="LPZ6" s="474"/>
      <c r="LQA6" s="473"/>
      <c r="LQB6" s="474"/>
      <c r="LQC6" s="473"/>
      <c r="LQD6" s="474"/>
      <c r="LQE6" s="473"/>
      <c r="LQF6" s="474"/>
      <c r="LQG6" s="473"/>
      <c r="LQH6" s="474"/>
      <c r="LQI6" s="473"/>
      <c r="LQJ6" s="474"/>
      <c r="LQK6" s="473"/>
      <c r="LQL6" s="474"/>
      <c r="LQM6" s="473"/>
      <c r="LQN6" s="474"/>
      <c r="LQO6" s="473"/>
      <c r="LQP6" s="474"/>
      <c r="LQQ6" s="473"/>
      <c r="LQR6" s="474"/>
      <c r="LQS6" s="473"/>
      <c r="LQT6" s="474"/>
      <c r="LQU6" s="473"/>
      <c r="LQV6" s="474"/>
      <c r="LQW6" s="473"/>
      <c r="LQX6" s="474"/>
      <c r="LQY6" s="473"/>
      <c r="LQZ6" s="474"/>
      <c r="LRA6" s="473"/>
      <c r="LRB6" s="474"/>
      <c r="LRC6" s="473"/>
      <c r="LRD6" s="474"/>
      <c r="LRE6" s="473"/>
      <c r="LRF6" s="474"/>
      <c r="LRG6" s="473"/>
      <c r="LRH6" s="474"/>
      <c r="LRI6" s="473"/>
      <c r="LRJ6" s="474"/>
      <c r="LRK6" s="473"/>
      <c r="LRL6" s="474"/>
      <c r="LRM6" s="473"/>
      <c r="LRN6" s="474"/>
      <c r="LRO6" s="473"/>
      <c r="LRP6" s="474"/>
      <c r="LRQ6" s="473"/>
      <c r="LRR6" s="474"/>
      <c r="LRS6" s="473"/>
      <c r="LRT6" s="474"/>
      <c r="LRU6" s="473"/>
      <c r="LRV6" s="474"/>
      <c r="LRW6" s="473"/>
      <c r="LRX6" s="474"/>
      <c r="LRY6" s="473"/>
      <c r="LRZ6" s="474"/>
      <c r="LSA6" s="473"/>
      <c r="LSB6" s="474"/>
      <c r="LSC6" s="473"/>
      <c r="LSD6" s="474"/>
      <c r="LSE6" s="473"/>
      <c r="LSF6" s="474"/>
      <c r="LSG6" s="473"/>
      <c r="LSH6" s="474"/>
      <c r="LSI6" s="473"/>
      <c r="LSJ6" s="474"/>
      <c r="LSK6" s="473"/>
      <c r="LSL6" s="474"/>
      <c r="LSM6" s="473"/>
      <c r="LSN6" s="474"/>
      <c r="LSO6" s="473"/>
      <c r="LSP6" s="474"/>
      <c r="LSQ6" s="473"/>
      <c r="LSR6" s="474"/>
      <c r="LSS6" s="473"/>
      <c r="LST6" s="474"/>
      <c r="LSU6" s="473"/>
      <c r="LSV6" s="474"/>
      <c r="LSW6" s="473"/>
      <c r="LSX6" s="474"/>
      <c r="LSY6" s="473"/>
      <c r="LSZ6" s="474"/>
      <c r="LTA6" s="473"/>
      <c r="LTB6" s="474"/>
      <c r="LTC6" s="473"/>
      <c r="LTD6" s="474"/>
      <c r="LTE6" s="473"/>
      <c r="LTF6" s="474"/>
      <c r="LTG6" s="473"/>
      <c r="LTH6" s="474"/>
      <c r="LTI6" s="473"/>
      <c r="LTJ6" s="474"/>
      <c r="LTK6" s="473"/>
      <c r="LTL6" s="474"/>
      <c r="LTM6" s="473"/>
      <c r="LTN6" s="474"/>
      <c r="LTO6" s="473"/>
      <c r="LTP6" s="474"/>
      <c r="LTQ6" s="473"/>
      <c r="LTR6" s="474"/>
      <c r="LTS6" s="473"/>
      <c r="LTT6" s="474"/>
      <c r="LTU6" s="473"/>
      <c r="LTV6" s="474"/>
      <c r="LTW6" s="473"/>
      <c r="LTX6" s="474"/>
      <c r="LTY6" s="473"/>
      <c r="LTZ6" s="474"/>
      <c r="LUA6" s="473"/>
      <c r="LUB6" s="474"/>
      <c r="LUC6" s="473"/>
      <c r="LUD6" s="474"/>
      <c r="LUE6" s="473"/>
      <c r="LUF6" s="474"/>
      <c r="LUG6" s="473"/>
      <c r="LUH6" s="474"/>
      <c r="LUI6" s="473"/>
      <c r="LUJ6" s="474"/>
      <c r="LUK6" s="473"/>
      <c r="LUL6" s="474"/>
      <c r="LUM6" s="473"/>
      <c r="LUN6" s="474"/>
      <c r="LUO6" s="473"/>
      <c r="LUP6" s="474"/>
      <c r="LUQ6" s="473"/>
      <c r="LUR6" s="474"/>
      <c r="LUS6" s="473"/>
      <c r="LUT6" s="474"/>
      <c r="LUU6" s="473"/>
      <c r="LUV6" s="474"/>
      <c r="LUW6" s="473"/>
      <c r="LUX6" s="474"/>
      <c r="LUY6" s="473"/>
      <c r="LUZ6" s="474"/>
      <c r="LVA6" s="473"/>
      <c r="LVB6" s="474"/>
      <c r="LVC6" s="473"/>
      <c r="LVD6" s="474"/>
      <c r="LVE6" s="473"/>
      <c r="LVF6" s="474"/>
      <c r="LVG6" s="473"/>
      <c r="LVH6" s="474"/>
      <c r="LVI6" s="473"/>
      <c r="LVJ6" s="474"/>
      <c r="LVK6" s="473"/>
      <c r="LVL6" s="474"/>
      <c r="LVM6" s="473"/>
      <c r="LVN6" s="474"/>
      <c r="LVO6" s="473"/>
      <c r="LVP6" s="474"/>
      <c r="LVQ6" s="473"/>
      <c r="LVR6" s="474"/>
      <c r="LVS6" s="473"/>
      <c r="LVT6" s="474"/>
      <c r="LVU6" s="473"/>
      <c r="LVV6" s="474"/>
      <c r="LVW6" s="473"/>
      <c r="LVX6" s="474"/>
      <c r="LVY6" s="473"/>
      <c r="LVZ6" s="474"/>
      <c r="LWA6" s="473"/>
      <c r="LWB6" s="474"/>
      <c r="LWC6" s="473"/>
      <c r="LWD6" s="474"/>
      <c r="LWE6" s="473"/>
      <c r="LWF6" s="474"/>
      <c r="LWG6" s="473"/>
      <c r="LWH6" s="474"/>
      <c r="LWI6" s="473"/>
      <c r="LWJ6" s="474"/>
      <c r="LWK6" s="473"/>
      <c r="LWL6" s="474"/>
      <c r="LWM6" s="473"/>
      <c r="LWN6" s="474"/>
      <c r="LWO6" s="473"/>
      <c r="LWP6" s="474"/>
      <c r="LWQ6" s="473"/>
      <c r="LWR6" s="474"/>
      <c r="LWS6" s="473"/>
      <c r="LWT6" s="474"/>
      <c r="LWU6" s="473"/>
      <c r="LWV6" s="474"/>
      <c r="LWW6" s="473"/>
      <c r="LWX6" s="474"/>
      <c r="LWY6" s="473"/>
      <c r="LWZ6" s="474"/>
      <c r="LXA6" s="473"/>
      <c r="LXB6" s="474"/>
      <c r="LXC6" s="473"/>
      <c r="LXD6" s="474"/>
      <c r="LXE6" s="473"/>
      <c r="LXF6" s="474"/>
      <c r="LXG6" s="473"/>
      <c r="LXH6" s="474"/>
      <c r="LXI6" s="473"/>
      <c r="LXJ6" s="474"/>
      <c r="LXK6" s="473"/>
      <c r="LXL6" s="474"/>
      <c r="LXM6" s="473"/>
      <c r="LXN6" s="474"/>
      <c r="LXO6" s="473"/>
      <c r="LXP6" s="474"/>
      <c r="LXQ6" s="473"/>
      <c r="LXR6" s="474"/>
      <c r="LXS6" s="473"/>
      <c r="LXT6" s="474"/>
      <c r="LXU6" s="473"/>
      <c r="LXV6" s="474"/>
      <c r="LXW6" s="473"/>
      <c r="LXX6" s="474"/>
      <c r="LXY6" s="473"/>
      <c r="LXZ6" s="474"/>
      <c r="LYA6" s="473"/>
      <c r="LYB6" s="474"/>
      <c r="LYC6" s="473"/>
      <c r="LYD6" s="474"/>
      <c r="LYE6" s="473"/>
      <c r="LYF6" s="474"/>
      <c r="LYG6" s="473"/>
      <c r="LYH6" s="474"/>
      <c r="LYI6" s="473"/>
      <c r="LYJ6" s="474"/>
      <c r="LYK6" s="473"/>
      <c r="LYL6" s="474"/>
      <c r="LYM6" s="473"/>
      <c r="LYN6" s="474"/>
      <c r="LYO6" s="473"/>
      <c r="LYP6" s="474"/>
      <c r="LYQ6" s="473"/>
      <c r="LYR6" s="474"/>
      <c r="LYS6" s="473"/>
      <c r="LYT6" s="474"/>
      <c r="LYU6" s="473"/>
      <c r="LYV6" s="474"/>
      <c r="LYW6" s="473"/>
      <c r="LYX6" s="474"/>
      <c r="LYY6" s="473"/>
      <c r="LYZ6" s="474"/>
      <c r="LZA6" s="473"/>
      <c r="LZB6" s="474"/>
      <c r="LZC6" s="473"/>
      <c r="LZD6" s="474"/>
      <c r="LZE6" s="473"/>
      <c r="LZF6" s="474"/>
      <c r="LZG6" s="473"/>
      <c r="LZH6" s="474"/>
      <c r="LZI6" s="473"/>
      <c r="LZJ6" s="474"/>
      <c r="LZK6" s="473"/>
      <c r="LZL6" s="474"/>
      <c r="LZM6" s="473"/>
      <c r="LZN6" s="474"/>
      <c r="LZO6" s="473"/>
      <c r="LZP6" s="474"/>
      <c r="LZQ6" s="473"/>
      <c r="LZR6" s="474"/>
      <c r="LZS6" s="473"/>
      <c r="LZT6" s="474"/>
      <c r="LZU6" s="473"/>
      <c r="LZV6" s="474"/>
      <c r="LZW6" s="473"/>
      <c r="LZX6" s="474"/>
      <c r="LZY6" s="473"/>
      <c r="LZZ6" s="474"/>
      <c r="MAA6" s="473"/>
      <c r="MAB6" s="474"/>
      <c r="MAC6" s="473"/>
      <c r="MAD6" s="474"/>
      <c r="MAE6" s="473"/>
      <c r="MAF6" s="474"/>
      <c r="MAG6" s="473"/>
      <c r="MAH6" s="474"/>
      <c r="MAI6" s="473"/>
      <c r="MAJ6" s="474"/>
      <c r="MAK6" s="473"/>
      <c r="MAL6" s="474"/>
      <c r="MAM6" s="473"/>
      <c r="MAN6" s="474"/>
      <c r="MAO6" s="473"/>
      <c r="MAP6" s="474"/>
      <c r="MAQ6" s="473"/>
      <c r="MAR6" s="474"/>
      <c r="MAS6" s="473"/>
      <c r="MAT6" s="474"/>
      <c r="MAU6" s="473"/>
      <c r="MAV6" s="474"/>
      <c r="MAW6" s="473"/>
      <c r="MAX6" s="474"/>
      <c r="MAY6" s="473"/>
      <c r="MAZ6" s="474"/>
      <c r="MBA6" s="473"/>
      <c r="MBB6" s="474"/>
      <c r="MBC6" s="473"/>
      <c r="MBD6" s="474"/>
      <c r="MBE6" s="473"/>
      <c r="MBF6" s="474"/>
      <c r="MBG6" s="473"/>
      <c r="MBH6" s="474"/>
      <c r="MBI6" s="473"/>
      <c r="MBJ6" s="474"/>
      <c r="MBK6" s="473"/>
      <c r="MBL6" s="474"/>
      <c r="MBM6" s="473"/>
      <c r="MBN6" s="474"/>
      <c r="MBO6" s="473"/>
      <c r="MBP6" s="474"/>
      <c r="MBQ6" s="473"/>
      <c r="MBR6" s="474"/>
      <c r="MBS6" s="473"/>
      <c r="MBT6" s="474"/>
      <c r="MBU6" s="473"/>
      <c r="MBV6" s="474"/>
      <c r="MBW6" s="473"/>
      <c r="MBX6" s="474"/>
      <c r="MBY6" s="473"/>
      <c r="MBZ6" s="474"/>
      <c r="MCA6" s="473"/>
      <c r="MCB6" s="474"/>
      <c r="MCC6" s="473"/>
      <c r="MCD6" s="474"/>
      <c r="MCE6" s="473"/>
      <c r="MCF6" s="474"/>
      <c r="MCG6" s="473"/>
      <c r="MCH6" s="474"/>
      <c r="MCI6" s="473"/>
      <c r="MCJ6" s="474"/>
      <c r="MCK6" s="473"/>
      <c r="MCL6" s="474"/>
      <c r="MCM6" s="473"/>
      <c r="MCN6" s="474"/>
      <c r="MCO6" s="473"/>
      <c r="MCP6" s="474"/>
      <c r="MCQ6" s="473"/>
      <c r="MCR6" s="474"/>
      <c r="MCS6" s="473"/>
      <c r="MCT6" s="474"/>
      <c r="MCU6" s="473"/>
      <c r="MCV6" s="474"/>
      <c r="MCW6" s="473"/>
      <c r="MCX6" s="474"/>
      <c r="MCY6" s="473"/>
      <c r="MCZ6" s="474"/>
      <c r="MDA6" s="473"/>
      <c r="MDB6" s="474"/>
      <c r="MDC6" s="473"/>
      <c r="MDD6" s="474"/>
      <c r="MDE6" s="473"/>
      <c r="MDF6" s="474"/>
      <c r="MDG6" s="473"/>
      <c r="MDH6" s="474"/>
      <c r="MDI6" s="473"/>
      <c r="MDJ6" s="474"/>
      <c r="MDK6" s="473"/>
      <c r="MDL6" s="474"/>
      <c r="MDM6" s="473"/>
      <c r="MDN6" s="474"/>
      <c r="MDO6" s="473"/>
      <c r="MDP6" s="474"/>
      <c r="MDQ6" s="473"/>
      <c r="MDR6" s="474"/>
      <c r="MDS6" s="473"/>
      <c r="MDT6" s="474"/>
      <c r="MDU6" s="473"/>
      <c r="MDV6" s="474"/>
      <c r="MDW6" s="473"/>
      <c r="MDX6" s="474"/>
      <c r="MDY6" s="473"/>
      <c r="MDZ6" s="474"/>
      <c r="MEA6" s="473"/>
      <c r="MEB6" s="474"/>
      <c r="MEC6" s="473"/>
      <c r="MED6" s="474"/>
      <c r="MEE6" s="473"/>
      <c r="MEF6" s="474"/>
      <c r="MEG6" s="473"/>
      <c r="MEH6" s="474"/>
      <c r="MEI6" s="473"/>
      <c r="MEJ6" s="474"/>
      <c r="MEK6" s="473"/>
      <c r="MEL6" s="474"/>
      <c r="MEM6" s="473"/>
      <c r="MEN6" s="474"/>
      <c r="MEO6" s="473"/>
      <c r="MEP6" s="474"/>
      <c r="MEQ6" s="473"/>
      <c r="MER6" s="474"/>
      <c r="MES6" s="473"/>
      <c r="MET6" s="474"/>
      <c r="MEU6" s="473"/>
      <c r="MEV6" s="474"/>
      <c r="MEW6" s="473"/>
      <c r="MEX6" s="474"/>
      <c r="MEY6" s="473"/>
      <c r="MEZ6" s="474"/>
      <c r="MFA6" s="473"/>
      <c r="MFB6" s="474"/>
      <c r="MFC6" s="473"/>
      <c r="MFD6" s="474"/>
      <c r="MFE6" s="473"/>
      <c r="MFF6" s="474"/>
      <c r="MFG6" s="473"/>
      <c r="MFH6" s="474"/>
      <c r="MFI6" s="473"/>
      <c r="MFJ6" s="474"/>
      <c r="MFK6" s="473"/>
      <c r="MFL6" s="474"/>
      <c r="MFM6" s="473"/>
      <c r="MFN6" s="474"/>
      <c r="MFO6" s="473"/>
      <c r="MFP6" s="474"/>
      <c r="MFQ6" s="473"/>
      <c r="MFR6" s="474"/>
      <c r="MFS6" s="473"/>
      <c r="MFT6" s="474"/>
      <c r="MFU6" s="473"/>
      <c r="MFV6" s="474"/>
      <c r="MFW6" s="473"/>
      <c r="MFX6" s="474"/>
      <c r="MFY6" s="473"/>
      <c r="MFZ6" s="474"/>
      <c r="MGA6" s="473"/>
      <c r="MGB6" s="474"/>
      <c r="MGC6" s="473"/>
      <c r="MGD6" s="474"/>
      <c r="MGE6" s="473"/>
      <c r="MGF6" s="474"/>
      <c r="MGG6" s="473"/>
      <c r="MGH6" s="474"/>
      <c r="MGI6" s="473"/>
      <c r="MGJ6" s="474"/>
      <c r="MGK6" s="473"/>
      <c r="MGL6" s="474"/>
      <c r="MGM6" s="473"/>
      <c r="MGN6" s="474"/>
      <c r="MGO6" s="473"/>
      <c r="MGP6" s="474"/>
      <c r="MGQ6" s="473"/>
      <c r="MGR6" s="474"/>
      <c r="MGS6" s="473"/>
      <c r="MGT6" s="474"/>
      <c r="MGU6" s="473"/>
      <c r="MGV6" s="474"/>
      <c r="MGW6" s="473"/>
      <c r="MGX6" s="474"/>
      <c r="MGY6" s="473"/>
      <c r="MGZ6" s="474"/>
      <c r="MHA6" s="473"/>
      <c r="MHB6" s="474"/>
      <c r="MHC6" s="473"/>
      <c r="MHD6" s="474"/>
      <c r="MHE6" s="473"/>
      <c r="MHF6" s="474"/>
      <c r="MHG6" s="473"/>
      <c r="MHH6" s="474"/>
      <c r="MHI6" s="473"/>
      <c r="MHJ6" s="474"/>
      <c r="MHK6" s="473"/>
      <c r="MHL6" s="474"/>
      <c r="MHM6" s="473"/>
      <c r="MHN6" s="474"/>
      <c r="MHO6" s="473"/>
      <c r="MHP6" s="474"/>
      <c r="MHQ6" s="473"/>
      <c r="MHR6" s="474"/>
      <c r="MHS6" s="473"/>
      <c r="MHT6" s="474"/>
      <c r="MHU6" s="473"/>
      <c r="MHV6" s="474"/>
      <c r="MHW6" s="473"/>
      <c r="MHX6" s="474"/>
      <c r="MHY6" s="473"/>
      <c r="MHZ6" s="474"/>
      <c r="MIA6" s="473"/>
      <c r="MIB6" s="474"/>
      <c r="MIC6" s="473"/>
      <c r="MID6" s="474"/>
      <c r="MIE6" s="473"/>
      <c r="MIF6" s="474"/>
      <c r="MIG6" s="473"/>
      <c r="MIH6" s="474"/>
      <c r="MII6" s="473"/>
      <c r="MIJ6" s="474"/>
      <c r="MIK6" s="473"/>
      <c r="MIL6" s="474"/>
      <c r="MIM6" s="473"/>
      <c r="MIN6" s="474"/>
      <c r="MIO6" s="473"/>
      <c r="MIP6" s="474"/>
      <c r="MIQ6" s="473"/>
      <c r="MIR6" s="474"/>
      <c r="MIS6" s="473"/>
      <c r="MIT6" s="474"/>
      <c r="MIU6" s="473"/>
      <c r="MIV6" s="474"/>
      <c r="MIW6" s="473"/>
      <c r="MIX6" s="474"/>
      <c r="MIY6" s="473"/>
      <c r="MIZ6" s="474"/>
      <c r="MJA6" s="473"/>
      <c r="MJB6" s="474"/>
      <c r="MJC6" s="473"/>
      <c r="MJD6" s="474"/>
      <c r="MJE6" s="473"/>
      <c r="MJF6" s="474"/>
      <c r="MJG6" s="473"/>
      <c r="MJH6" s="474"/>
      <c r="MJI6" s="473"/>
      <c r="MJJ6" s="474"/>
      <c r="MJK6" s="473"/>
      <c r="MJL6" s="474"/>
      <c r="MJM6" s="473"/>
      <c r="MJN6" s="474"/>
      <c r="MJO6" s="473"/>
      <c r="MJP6" s="474"/>
      <c r="MJQ6" s="473"/>
      <c r="MJR6" s="474"/>
      <c r="MJS6" s="473"/>
      <c r="MJT6" s="474"/>
      <c r="MJU6" s="473"/>
      <c r="MJV6" s="474"/>
      <c r="MJW6" s="473"/>
      <c r="MJX6" s="474"/>
      <c r="MJY6" s="473"/>
      <c r="MJZ6" s="474"/>
      <c r="MKA6" s="473"/>
      <c r="MKB6" s="474"/>
      <c r="MKC6" s="473"/>
      <c r="MKD6" s="474"/>
      <c r="MKE6" s="473"/>
      <c r="MKF6" s="474"/>
      <c r="MKG6" s="473"/>
      <c r="MKH6" s="474"/>
      <c r="MKI6" s="473"/>
      <c r="MKJ6" s="474"/>
      <c r="MKK6" s="473"/>
      <c r="MKL6" s="474"/>
      <c r="MKM6" s="473"/>
      <c r="MKN6" s="474"/>
      <c r="MKO6" s="473"/>
      <c r="MKP6" s="474"/>
      <c r="MKQ6" s="473"/>
      <c r="MKR6" s="474"/>
      <c r="MKS6" s="473"/>
      <c r="MKT6" s="474"/>
      <c r="MKU6" s="473"/>
      <c r="MKV6" s="474"/>
      <c r="MKW6" s="473"/>
      <c r="MKX6" s="474"/>
      <c r="MKY6" s="473"/>
      <c r="MKZ6" s="474"/>
      <c r="MLA6" s="473"/>
      <c r="MLB6" s="474"/>
      <c r="MLC6" s="473"/>
      <c r="MLD6" s="474"/>
      <c r="MLE6" s="473"/>
      <c r="MLF6" s="474"/>
      <c r="MLG6" s="473"/>
      <c r="MLH6" s="474"/>
      <c r="MLI6" s="473"/>
      <c r="MLJ6" s="474"/>
      <c r="MLK6" s="473"/>
      <c r="MLL6" s="474"/>
      <c r="MLM6" s="473"/>
      <c r="MLN6" s="474"/>
      <c r="MLO6" s="473"/>
      <c r="MLP6" s="474"/>
      <c r="MLQ6" s="473"/>
      <c r="MLR6" s="474"/>
      <c r="MLS6" s="473"/>
      <c r="MLT6" s="474"/>
      <c r="MLU6" s="473"/>
      <c r="MLV6" s="474"/>
      <c r="MLW6" s="473"/>
      <c r="MLX6" s="474"/>
      <c r="MLY6" s="473"/>
      <c r="MLZ6" s="474"/>
      <c r="MMA6" s="473"/>
      <c r="MMB6" s="474"/>
      <c r="MMC6" s="473"/>
      <c r="MMD6" s="474"/>
      <c r="MME6" s="473"/>
      <c r="MMF6" s="474"/>
      <c r="MMG6" s="473"/>
      <c r="MMH6" s="474"/>
      <c r="MMI6" s="473"/>
      <c r="MMJ6" s="474"/>
      <c r="MMK6" s="473"/>
      <c r="MML6" s="474"/>
      <c r="MMM6" s="473"/>
      <c r="MMN6" s="474"/>
      <c r="MMO6" s="473"/>
      <c r="MMP6" s="474"/>
      <c r="MMQ6" s="473"/>
      <c r="MMR6" s="474"/>
      <c r="MMS6" s="473"/>
      <c r="MMT6" s="474"/>
      <c r="MMU6" s="473"/>
      <c r="MMV6" s="474"/>
      <c r="MMW6" s="473"/>
      <c r="MMX6" s="474"/>
      <c r="MMY6" s="473"/>
      <c r="MMZ6" s="474"/>
      <c r="MNA6" s="473"/>
      <c r="MNB6" s="474"/>
      <c r="MNC6" s="473"/>
      <c r="MND6" s="474"/>
      <c r="MNE6" s="473"/>
      <c r="MNF6" s="474"/>
      <c r="MNG6" s="473"/>
      <c r="MNH6" s="474"/>
      <c r="MNI6" s="473"/>
      <c r="MNJ6" s="474"/>
      <c r="MNK6" s="473"/>
      <c r="MNL6" s="474"/>
      <c r="MNM6" s="473"/>
      <c r="MNN6" s="474"/>
      <c r="MNO6" s="473"/>
      <c r="MNP6" s="474"/>
      <c r="MNQ6" s="473"/>
      <c r="MNR6" s="474"/>
      <c r="MNS6" s="473"/>
      <c r="MNT6" s="474"/>
      <c r="MNU6" s="473"/>
      <c r="MNV6" s="474"/>
      <c r="MNW6" s="473"/>
      <c r="MNX6" s="474"/>
      <c r="MNY6" s="473"/>
      <c r="MNZ6" s="474"/>
      <c r="MOA6" s="473"/>
      <c r="MOB6" s="474"/>
      <c r="MOC6" s="473"/>
      <c r="MOD6" s="474"/>
      <c r="MOE6" s="473"/>
      <c r="MOF6" s="474"/>
      <c r="MOG6" s="473"/>
      <c r="MOH6" s="474"/>
      <c r="MOI6" s="473"/>
      <c r="MOJ6" s="474"/>
      <c r="MOK6" s="473"/>
      <c r="MOL6" s="474"/>
      <c r="MOM6" s="473"/>
      <c r="MON6" s="474"/>
      <c r="MOO6" s="473"/>
      <c r="MOP6" s="474"/>
      <c r="MOQ6" s="473"/>
      <c r="MOR6" s="474"/>
      <c r="MOS6" s="473"/>
      <c r="MOT6" s="474"/>
      <c r="MOU6" s="473"/>
      <c r="MOV6" s="474"/>
      <c r="MOW6" s="473"/>
      <c r="MOX6" s="474"/>
      <c r="MOY6" s="473"/>
      <c r="MOZ6" s="474"/>
      <c r="MPA6" s="473"/>
      <c r="MPB6" s="474"/>
      <c r="MPC6" s="473"/>
      <c r="MPD6" s="474"/>
      <c r="MPE6" s="473"/>
      <c r="MPF6" s="474"/>
      <c r="MPG6" s="473"/>
      <c r="MPH6" s="474"/>
      <c r="MPI6" s="473"/>
      <c r="MPJ6" s="474"/>
      <c r="MPK6" s="473"/>
      <c r="MPL6" s="474"/>
      <c r="MPM6" s="473"/>
      <c r="MPN6" s="474"/>
      <c r="MPO6" s="473"/>
      <c r="MPP6" s="474"/>
      <c r="MPQ6" s="473"/>
      <c r="MPR6" s="474"/>
      <c r="MPS6" s="473"/>
      <c r="MPT6" s="474"/>
      <c r="MPU6" s="473"/>
      <c r="MPV6" s="474"/>
      <c r="MPW6" s="473"/>
      <c r="MPX6" s="474"/>
      <c r="MPY6" s="473"/>
      <c r="MPZ6" s="474"/>
      <c r="MQA6" s="473"/>
      <c r="MQB6" s="474"/>
      <c r="MQC6" s="473"/>
      <c r="MQD6" s="474"/>
      <c r="MQE6" s="473"/>
      <c r="MQF6" s="474"/>
      <c r="MQG6" s="473"/>
      <c r="MQH6" s="474"/>
      <c r="MQI6" s="473"/>
      <c r="MQJ6" s="474"/>
      <c r="MQK6" s="473"/>
      <c r="MQL6" s="474"/>
      <c r="MQM6" s="473"/>
      <c r="MQN6" s="474"/>
      <c r="MQO6" s="473"/>
      <c r="MQP6" s="474"/>
      <c r="MQQ6" s="473"/>
      <c r="MQR6" s="474"/>
      <c r="MQS6" s="473"/>
      <c r="MQT6" s="474"/>
      <c r="MQU6" s="473"/>
      <c r="MQV6" s="474"/>
      <c r="MQW6" s="473"/>
      <c r="MQX6" s="474"/>
      <c r="MQY6" s="473"/>
      <c r="MQZ6" s="474"/>
      <c r="MRA6" s="473"/>
      <c r="MRB6" s="474"/>
      <c r="MRC6" s="473"/>
      <c r="MRD6" s="474"/>
      <c r="MRE6" s="473"/>
      <c r="MRF6" s="474"/>
      <c r="MRG6" s="473"/>
      <c r="MRH6" s="474"/>
      <c r="MRI6" s="473"/>
      <c r="MRJ6" s="474"/>
      <c r="MRK6" s="473"/>
      <c r="MRL6" s="474"/>
      <c r="MRM6" s="473"/>
      <c r="MRN6" s="474"/>
      <c r="MRO6" s="473"/>
      <c r="MRP6" s="474"/>
      <c r="MRQ6" s="473"/>
      <c r="MRR6" s="474"/>
      <c r="MRS6" s="473"/>
      <c r="MRT6" s="474"/>
      <c r="MRU6" s="473"/>
      <c r="MRV6" s="474"/>
      <c r="MRW6" s="473"/>
      <c r="MRX6" s="474"/>
      <c r="MRY6" s="473"/>
      <c r="MRZ6" s="474"/>
      <c r="MSA6" s="473"/>
      <c r="MSB6" s="474"/>
      <c r="MSC6" s="473"/>
      <c r="MSD6" s="474"/>
      <c r="MSE6" s="473"/>
      <c r="MSF6" s="474"/>
      <c r="MSG6" s="473"/>
      <c r="MSH6" s="474"/>
      <c r="MSI6" s="473"/>
      <c r="MSJ6" s="474"/>
      <c r="MSK6" s="473"/>
      <c r="MSL6" s="474"/>
      <c r="MSM6" s="473"/>
      <c r="MSN6" s="474"/>
      <c r="MSO6" s="473"/>
      <c r="MSP6" s="474"/>
      <c r="MSQ6" s="473"/>
      <c r="MSR6" s="474"/>
      <c r="MSS6" s="473"/>
      <c r="MST6" s="474"/>
      <c r="MSU6" s="473"/>
      <c r="MSV6" s="474"/>
      <c r="MSW6" s="473"/>
      <c r="MSX6" s="474"/>
      <c r="MSY6" s="473"/>
      <c r="MSZ6" s="474"/>
      <c r="MTA6" s="473"/>
      <c r="MTB6" s="474"/>
      <c r="MTC6" s="473"/>
      <c r="MTD6" s="474"/>
      <c r="MTE6" s="473"/>
      <c r="MTF6" s="474"/>
      <c r="MTG6" s="473"/>
      <c r="MTH6" s="474"/>
      <c r="MTI6" s="473"/>
      <c r="MTJ6" s="474"/>
      <c r="MTK6" s="473"/>
      <c r="MTL6" s="474"/>
      <c r="MTM6" s="473"/>
      <c r="MTN6" s="474"/>
      <c r="MTO6" s="473"/>
      <c r="MTP6" s="474"/>
      <c r="MTQ6" s="473"/>
      <c r="MTR6" s="474"/>
      <c r="MTS6" s="473"/>
      <c r="MTT6" s="474"/>
      <c r="MTU6" s="473"/>
      <c r="MTV6" s="474"/>
      <c r="MTW6" s="473"/>
      <c r="MTX6" s="474"/>
      <c r="MTY6" s="473"/>
      <c r="MTZ6" s="474"/>
      <c r="MUA6" s="473"/>
      <c r="MUB6" s="474"/>
      <c r="MUC6" s="473"/>
      <c r="MUD6" s="474"/>
      <c r="MUE6" s="473"/>
      <c r="MUF6" s="474"/>
      <c r="MUG6" s="473"/>
      <c r="MUH6" s="474"/>
      <c r="MUI6" s="473"/>
      <c r="MUJ6" s="474"/>
      <c r="MUK6" s="473"/>
      <c r="MUL6" s="474"/>
      <c r="MUM6" s="473"/>
      <c r="MUN6" s="474"/>
      <c r="MUO6" s="473"/>
      <c r="MUP6" s="474"/>
      <c r="MUQ6" s="473"/>
      <c r="MUR6" s="474"/>
      <c r="MUS6" s="473"/>
      <c r="MUT6" s="474"/>
      <c r="MUU6" s="473"/>
      <c r="MUV6" s="474"/>
      <c r="MUW6" s="473"/>
      <c r="MUX6" s="474"/>
      <c r="MUY6" s="473"/>
      <c r="MUZ6" s="474"/>
      <c r="MVA6" s="473"/>
      <c r="MVB6" s="474"/>
      <c r="MVC6" s="473"/>
      <c r="MVD6" s="474"/>
      <c r="MVE6" s="473"/>
      <c r="MVF6" s="474"/>
      <c r="MVG6" s="473"/>
      <c r="MVH6" s="474"/>
      <c r="MVI6" s="473"/>
      <c r="MVJ6" s="474"/>
      <c r="MVK6" s="473"/>
      <c r="MVL6" s="474"/>
      <c r="MVM6" s="473"/>
      <c r="MVN6" s="474"/>
      <c r="MVO6" s="473"/>
      <c r="MVP6" s="474"/>
      <c r="MVQ6" s="473"/>
      <c r="MVR6" s="474"/>
      <c r="MVS6" s="473"/>
      <c r="MVT6" s="474"/>
      <c r="MVU6" s="473"/>
      <c r="MVV6" s="474"/>
      <c r="MVW6" s="473"/>
      <c r="MVX6" s="474"/>
      <c r="MVY6" s="473"/>
      <c r="MVZ6" s="474"/>
      <c r="MWA6" s="473"/>
      <c r="MWB6" s="474"/>
      <c r="MWC6" s="473"/>
      <c r="MWD6" s="474"/>
      <c r="MWE6" s="473"/>
      <c r="MWF6" s="474"/>
      <c r="MWG6" s="473"/>
      <c r="MWH6" s="474"/>
      <c r="MWI6" s="473"/>
      <c r="MWJ6" s="474"/>
      <c r="MWK6" s="473"/>
      <c r="MWL6" s="474"/>
      <c r="MWM6" s="473"/>
      <c r="MWN6" s="474"/>
      <c r="MWO6" s="473"/>
      <c r="MWP6" s="474"/>
      <c r="MWQ6" s="473"/>
      <c r="MWR6" s="474"/>
      <c r="MWS6" s="473"/>
      <c r="MWT6" s="474"/>
      <c r="MWU6" s="473"/>
      <c r="MWV6" s="474"/>
      <c r="MWW6" s="473"/>
      <c r="MWX6" s="474"/>
      <c r="MWY6" s="473"/>
      <c r="MWZ6" s="474"/>
      <c r="MXA6" s="473"/>
      <c r="MXB6" s="474"/>
      <c r="MXC6" s="473"/>
      <c r="MXD6" s="474"/>
      <c r="MXE6" s="473"/>
      <c r="MXF6" s="474"/>
      <c r="MXG6" s="473"/>
      <c r="MXH6" s="474"/>
      <c r="MXI6" s="473"/>
      <c r="MXJ6" s="474"/>
      <c r="MXK6" s="473"/>
      <c r="MXL6" s="474"/>
      <c r="MXM6" s="473"/>
      <c r="MXN6" s="474"/>
      <c r="MXO6" s="473"/>
      <c r="MXP6" s="474"/>
      <c r="MXQ6" s="473"/>
      <c r="MXR6" s="474"/>
      <c r="MXS6" s="473"/>
      <c r="MXT6" s="474"/>
      <c r="MXU6" s="473"/>
      <c r="MXV6" s="474"/>
      <c r="MXW6" s="473"/>
      <c r="MXX6" s="474"/>
      <c r="MXY6" s="473"/>
      <c r="MXZ6" s="474"/>
      <c r="MYA6" s="473"/>
      <c r="MYB6" s="474"/>
      <c r="MYC6" s="473"/>
      <c r="MYD6" s="474"/>
      <c r="MYE6" s="473"/>
      <c r="MYF6" s="474"/>
      <c r="MYG6" s="473"/>
      <c r="MYH6" s="474"/>
      <c r="MYI6" s="473"/>
      <c r="MYJ6" s="474"/>
      <c r="MYK6" s="473"/>
      <c r="MYL6" s="474"/>
      <c r="MYM6" s="473"/>
      <c r="MYN6" s="474"/>
      <c r="MYO6" s="473"/>
      <c r="MYP6" s="474"/>
      <c r="MYQ6" s="473"/>
      <c r="MYR6" s="474"/>
      <c r="MYS6" s="473"/>
      <c r="MYT6" s="474"/>
      <c r="MYU6" s="473"/>
      <c r="MYV6" s="474"/>
      <c r="MYW6" s="473"/>
      <c r="MYX6" s="474"/>
      <c r="MYY6" s="473"/>
      <c r="MYZ6" s="474"/>
      <c r="MZA6" s="473"/>
      <c r="MZB6" s="474"/>
      <c r="MZC6" s="473"/>
      <c r="MZD6" s="474"/>
      <c r="MZE6" s="473"/>
      <c r="MZF6" s="474"/>
      <c r="MZG6" s="473"/>
      <c r="MZH6" s="474"/>
      <c r="MZI6" s="473"/>
      <c r="MZJ6" s="474"/>
      <c r="MZK6" s="473"/>
      <c r="MZL6" s="474"/>
      <c r="MZM6" s="473"/>
      <c r="MZN6" s="474"/>
      <c r="MZO6" s="473"/>
      <c r="MZP6" s="474"/>
      <c r="MZQ6" s="473"/>
      <c r="MZR6" s="474"/>
      <c r="MZS6" s="473"/>
      <c r="MZT6" s="474"/>
      <c r="MZU6" s="473"/>
      <c r="MZV6" s="474"/>
      <c r="MZW6" s="473"/>
      <c r="MZX6" s="474"/>
      <c r="MZY6" s="473"/>
      <c r="MZZ6" s="474"/>
      <c r="NAA6" s="473"/>
      <c r="NAB6" s="474"/>
      <c r="NAC6" s="473"/>
      <c r="NAD6" s="474"/>
      <c r="NAE6" s="473"/>
      <c r="NAF6" s="474"/>
      <c r="NAG6" s="473"/>
      <c r="NAH6" s="474"/>
      <c r="NAI6" s="473"/>
      <c r="NAJ6" s="474"/>
      <c r="NAK6" s="473"/>
      <c r="NAL6" s="474"/>
      <c r="NAM6" s="473"/>
      <c r="NAN6" s="474"/>
      <c r="NAO6" s="473"/>
      <c r="NAP6" s="474"/>
      <c r="NAQ6" s="473"/>
      <c r="NAR6" s="474"/>
      <c r="NAS6" s="473"/>
      <c r="NAT6" s="474"/>
      <c r="NAU6" s="473"/>
      <c r="NAV6" s="474"/>
      <c r="NAW6" s="473"/>
      <c r="NAX6" s="474"/>
      <c r="NAY6" s="473"/>
      <c r="NAZ6" s="474"/>
      <c r="NBA6" s="473"/>
      <c r="NBB6" s="474"/>
      <c r="NBC6" s="473"/>
      <c r="NBD6" s="474"/>
      <c r="NBE6" s="473"/>
      <c r="NBF6" s="474"/>
      <c r="NBG6" s="473"/>
      <c r="NBH6" s="474"/>
      <c r="NBI6" s="473"/>
      <c r="NBJ6" s="474"/>
      <c r="NBK6" s="473"/>
      <c r="NBL6" s="474"/>
      <c r="NBM6" s="473"/>
      <c r="NBN6" s="474"/>
      <c r="NBO6" s="473"/>
      <c r="NBP6" s="474"/>
      <c r="NBQ6" s="473"/>
      <c r="NBR6" s="474"/>
      <c r="NBS6" s="473"/>
      <c r="NBT6" s="474"/>
      <c r="NBU6" s="473"/>
      <c r="NBV6" s="474"/>
      <c r="NBW6" s="473"/>
      <c r="NBX6" s="474"/>
      <c r="NBY6" s="473"/>
      <c r="NBZ6" s="474"/>
      <c r="NCA6" s="473"/>
      <c r="NCB6" s="474"/>
      <c r="NCC6" s="473"/>
      <c r="NCD6" s="474"/>
      <c r="NCE6" s="473"/>
      <c r="NCF6" s="474"/>
      <c r="NCG6" s="473"/>
      <c r="NCH6" s="474"/>
      <c r="NCI6" s="473"/>
      <c r="NCJ6" s="474"/>
      <c r="NCK6" s="473"/>
      <c r="NCL6" s="474"/>
      <c r="NCM6" s="473"/>
      <c r="NCN6" s="474"/>
      <c r="NCO6" s="473"/>
      <c r="NCP6" s="474"/>
      <c r="NCQ6" s="473"/>
      <c r="NCR6" s="474"/>
      <c r="NCS6" s="473"/>
      <c r="NCT6" s="474"/>
      <c r="NCU6" s="473"/>
      <c r="NCV6" s="474"/>
      <c r="NCW6" s="473"/>
      <c r="NCX6" s="474"/>
      <c r="NCY6" s="473"/>
      <c r="NCZ6" s="474"/>
      <c r="NDA6" s="473"/>
      <c r="NDB6" s="474"/>
      <c r="NDC6" s="473"/>
      <c r="NDD6" s="474"/>
      <c r="NDE6" s="473"/>
      <c r="NDF6" s="474"/>
      <c r="NDG6" s="473"/>
      <c r="NDH6" s="474"/>
      <c r="NDI6" s="473"/>
      <c r="NDJ6" s="474"/>
      <c r="NDK6" s="473"/>
      <c r="NDL6" s="474"/>
      <c r="NDM6" s="473"/>
      <c r="NDN6" s="474"/>
      <c r="NDO6" s="473"/>
      <c r="NDP6" s="474"/>
      <c r="NDQ6" s="473"/>
      <c r="NDR6" s="474"/>
      <c r="NDS6" s="473"/>
      <c r="NDT6" s="474"/>
      <c r="NDU6" s="473"/>
      <c r="NDV6" s="474"/>
      <c r="NDW6" s="473"/>
      <c r="NDX6" s="474"/>
      <c r="NDY6" s="473"/>
      <c r="NDZ6" s="474"/>
      <c r="NEA6" s="473"/>
      <c r="NEB6" s="474"/>
      <c r="NEC6" s="473"/>
      <c r="NED6" s="474"/>
      <c r="NEE6" s="473"/>
      <c r="NEF6" s="474"/>
      <c r="NEG6" s="473"/>
      <c r="NEH6" s="474"/>
      <c r="NEI6" s="473"/>
      <c r="NEJ6" s="474"/>
      <c r="NEK6" s="473"/>
      <c r="NEL6" s="474"/>
      <c r="NEM6" s="473"/>
      <c r="NEN6" s="474"/>
      <c r="NEO6" s="473"/>
      <c r="NEP6" s="474"/>
      <c r="NEQ6" s="473"/>
      <c r="NER6" s="474"/>
      <c r="NES6" s="473"/>
      <c r="NET6" s="474"/>
      <c r="NEU6" s="473"/>
      <c r="NEV6" s="474"/>
      <c r="NEW6" s="473"/>
      <c r="NEX6" s="474"/>
      <c r="NEY6" s="473"/>
      <c r="NEZ6" s="474"/>
      <c r="NFA6" s="473"/>
      <c r="NFB6" s="474"/>
      <c r="NFC6" s="473"/>
      <c r="NFD6" s="474"/>
      <c r="NFE6" s="473"/>
      <c r="NFF6" s="474"/>
      <c r="NFG6" s="473"/>
      <c r="NFH6" s="474"/>
      <c r="NFI6" s="473"/>
      <c r="NFJ6" s="474"/>
      <c r="NFK6" s="473"/>
      <c r="NFL6" s="474"/>
      <c r="NFM6" s="473"/>
      <c r="NFN6" s="474"/>
      <c r="NFO6" s="473"/>
      <c r="NFP6" s="474"/>
      <c r="NFQ6" s="473"/>
      <c r="NFR6" s="474"/>
      <c r="NFS6" s="473"/>
      <c r="NFT6" s="474"/>
      <c r="NFU6" s="473"/>
      <c r="NFV6" s="474"/>
      <c r="NFW6" s="473"/>
      <c r="NFX6" s="474"/>
      <c r="NFY6" s="473"/>
      <c r="NFZ6" s="474"/>
      <c r="NGA6" s="473"/>
      <c r="NGB6" s="474"/>
      <c r="NGC6" s="473"/>
      <c r="NGD6" s="474"/>
      <c r="NGE6" s="473"/>
      <c r="NGF6" s="474"/>
      <c r="NGG6" s="473"/>
      <c r="NGH6" s="474"/>
      <c r="NGI6" s="473"/>
      <c r="NGJ6" s="474"/>
      <c r="NGK6" s="473"/>
      <c r="NGL6" s="474"/>
      <c r="NGM6" s="473"/>
      <c r="NGN6" s="474"/>
      <c r="NGO6" s="473"/>
      <c r="NGP6" s="474"/>
      <c r="NGQ6" s="473"/>
      <c r="NGR6" s="474"/>
      <c r="NGS6" s="473"/>
      <c r="NGT6" s="474"/>
      <c r="NGU6" s="473"/>
      <c r="NGV6" s="474"/>
      <c r="NGW6" s="473"/>
      <c r="NGX6" s="474"/>
      <c r="NGY6" s="473"/>
      <c r="NGZ6" s="474"/>
      <c r="NHA6" s="473"/>
      <c r="NHB6" s="474"/>
      <c r="NHC6" s="473"/>
      <c r="NHD6" s="474"/>
      <c r="NHE6" s="473"/>
      <c r="NHF6" s="474"/>
      <c r="NHG6" s="473"/>
      <c r="NHH6" s="474"/>
      <c r="NHI6" s="473"/>
      <c r="NHJ6" s="474"/>
      <c r="NHK6" s="473"/>
      <c r="NHL6" s="474"/>
      <c r="NHM6" s="473"/>
      <c r="NHN6" s="474"/>
      <c r="NHO6" s="473"/>
      <c r="NHP6" s="474"/>
      <c r="NHQ6" s="473"/>
      <c r="NHR6" s="474"/>
      <c r="NHS6" s="473"/>
      <c r="NHT6" s="474"/>
      <c r="NHU6" s="473"/>
      <c r="NHV6" s="474"/>
      <c r="NHW6" s="473"/>
      <c r="NHX6" s="474"/>
      <c r="NHY6" s="473"/>
      <c r="NHZ6" s="474"/>
      <c r="NIA6" s="473"/>
      <c r="NIB6" s="474"/>
      <c r="NIC6" s="473"/>
      <c r="NID6" s="474"/>
      <c r="NIE6" s="473"/>
      <c r="NIF6" s="474"/>
      <c r="NIG6" s="473"/>
      <c r="NIH6" s="474"/>
      <c r="NII6" s="473"/>
      <c r="NIJ6" s="474"/>
      <c r="NIK6" s="473"/>
      <c r="NIL6" s="474"/>
      <c r="NIM6" s="473"/>
      <c r="NIN6" s="474"/>
      <c r="NIO6" s="473"/>
      <c r="NIP6" s="474"/>
      <c r="NIQ6" s="473"/>
      <c r="NIR6" s="474"/>
      <c r="NIS6" s="473"/>
      <c r="NIT6" s="474"/>
      <c r="NIU6" s="473"/>
      <c r="NIV6" s="474"/>
      <c r="NIW6" s="473"/>
      <c r="NIX6" s="474"/>
      <c r="NIY6" s="473"/>
      <c r="NIZ6" s="474"/>
      <c r="NJA6" s="473"/>
      <c r="NJB6" s="474"/>
      <c r="NJC6" s="473"/>
      <c r="NJD6" s="474"/>
      <c r="NJE6" s="473"/>
      <c r="NJF6" s="474"/>
      <c r="NJG6" s="473"/>
      <c r="NJH6" s="474"/>
      <c r="NJI6" s="473"/>
      <c r="NJJ6" s="474"/>
      <c r="NJK6" s="473"/>
      <c r="NJL6" s="474"/>
      <c r="NJM6" s="473"/>
      <c r="NJN6" s="474"/>
      <c r="NJO6" s="473"/>
      <c r="NJP6" s="474"/>
      <c r="NJQ6" s="473"/>
      <c r="NJR6" s="474"/>
      <c r="NJS6" s="473"/>
      <c r="NJT6" s="474"/>
      <c r="NJU6" s="473"/>
      <c r="NJV6" s="474"/>
      <c r="NJW6" s="473"/>
      <c r="NJX6" s="474"/>
      <c r="NJY6" s="473"/>
      <c r="NJZ6" s="474"/>
      <c r="NKA6" s="473"/>
      <c r="NKB6" s="474"/>
      <c r="NKC6" s="473"/>
      <c r="NKD6" s="474"/>
      <c r="NKE6" s="473"/>
      <c r="NKF6" s="474"/>
      <c r="NKG6" s="473"/>
      <c r="NKH6" s="474"/>
      <c r="NKI6" s="473"/>
      <c r="NKJ6" s="474"/>
      <c r="NKK6" s="473"/>
      <c r="NKL6" s="474"/>
      <c r="NKM6" s="473"/>
      <c r="NKN6" s="474"/>
      <c r="NKO6" s="473"/>
      <c r="NKP6" s="474"/>
      <c r="NKQ6" s="473"/>
      <c r="NKR6" s="474"/>
      <c r="NKS6" s="473"/>
      <c r="NKT6" s="474"/>
      <c r="NKU6" s="473"/>
      <c r="NKV6" s="474"/>
      <c r="NKW6" s="473"/>
      <c r="NKX6" s="474"/>
      <c r="NKY6" s="473"/>
      <c r="NKZ6" s="474"/>
      <c r="NLA6" s="473"/>
      <c r="NLB6" s="474"/>
      <c r="NLC6" s="473"/>
      <c r="NLD6" s="474"/>
      <c r="NLE6" s="473"/>
      <c r="NLF6" s="474"/>
      <c r="NLG6" s="473"/>
      <c r="NLH6" s="474"/>
      <c r="NLI6" s="473"/>
      <c r="NLJ6" s="474"/>
      <c r="NLK6" s="473"/>
      <c r="NLL6" s="474"/>
      <c r="NLM6" s="473"/>
      <c r="NLN6" s="474"/>
      <c r="NLO6" s="473"/>
      <c r="NLP6" s="474"/>
      <c r="NLQ6" s="473"/>
      <c r="NLR6" s="474"/>
      <c r="NLS6" s="473"/>
      <c r="NLT6" s="474"/>
      <c r="NLU6" s="473"/>
      <c r="NLV6" s="474"/>
      <c r="NLW6" s="473"/>
      <c r="NLX6" s="474"/>
      <c r="NLY6" s="473"/>
      <c r="NLZ6" s="474"/>
      <c r="NMA6" s="473"/>
      <c r="NMB6" s="474"/>
      <c r="NMC6" s="473"/>
      <c r="NMD6" s="474"/>
      <c r="NME6" s="473"/>
      <c r="NMF6" s="474"/>
      <c r="NMG6" s="473"/>
      <c r="NMH6" s="474"/>
      <c r="NMI6" s="473"/>
      <c r="NMJ6" s="474"/>
      <c r="NMK6" s="473"/>
      <c r="NML6" s="474"/>
      <c r="NMM6" s="473"/>
      <c r="NMN6" s="474"/>
      <c r="NMO6" s="473"/>
      <c r="NMP6" s="474"/>
      <c r="NMQ6" s="473"/>
      <c r="NMR6" s="474"/>
      <c r="NMS6" s="473"/>
      <c r="NMT6" s="474"/>
      <c r="NMU6" s="473"/>
      <c r="NMV6" s="474"/>
      <c r="NMW6" s="473"/>
      <c r="NMX6" s="474"/>
      <c r="NMY6" s="473"/>
      <c r="NMZ6" s="474"/>
      <c r="NNA6" s="473"/>
      <c r="NNB6" s="474"/>
      <c r="NNC6" s="473"/>
      <c r="NND6" s="474"/>
      <c r="NNE6" s="473"/>
      <c r="NNF6" s="474"/>
      <c r="NNG6" s="473"/>
      <c r="NNH6" s="474"/>
      <c r="NNI6" s="473"/>
      <c r="NNJ6" s="474"/>
      <c r="NNK6" s="473"/>
      <c r="NNL6" s="474"/>
      <c r="NNM6" s="473"/>
      <c r="NNN6" s="474"/>
      <c r="NNO6" s="473"/>
      <c r="NNP6" s="474"/>
      <c r="NNQ6" s="473"/>
      <c r="NNR6" s="474"/>
      <c r="NNS6" s="473"/>
      <c r="NNT6" s="474"/>
      <c r="NNU6" s="473"/>
      <c r="NNV6" s="474"/>
      <c r="NNW6" s="473"/>
      <c r="NNX6" s="474"/>
      <c r="NNY6" s="473"/>
      <c r="NNZ6" s="474"/>
      <c r="NOA6" s="473"/>
      <c r="NOB6" s="474"/>
      <c r="NOC6" s="473"/>
      <c r="NOD6" s="474"/>
      <c r="NOE6" s="473"/>
      <c r="NOF6" s="474"/>
      <c r="NOG6" s="473"/>
      <c r="NOH6" s="474"/>
      <c r="NOI6" s="473"/>
      <c r="NOJ6" s="474"/>
      <c r="NOK6" s="473"/>
      <c r="NOL6" s="474"/>
      <c r="NOM6" s="473"/>
      <c r="NON6" s="474"/>
      <c r="NOO6" s="473"/>
      <c r="NOP6" s="474"/>
      <c r="NOQ6" s="473"/>
      <c r="NOR6" s="474"/>
      <c r="NOS6" s="473"/>
      <c r="NOT6" s="474"/>
      <c r="NOU6" s="473"/>
      <c r="NOV6" s="474"/>
      <c r="NOW6" s="473"/>
      <c r="NOX6" s="474"/>
      <c r="NOY6" s="473"/>
      <c r="NOZ6" s="474"/>
      <c r="NPA6" s="473"/>
      <c r="NPB6" s="474"/>
      <c r="NPC6" s="473"/>
      <c r="NPD6" s="474"/>
      <c r="NPE6" s="473"/>
      <c r="NPF6" s="474"/>
      <c r="NPG6" s="473"/>
      <c r="NPH6" s="474"/>
      <c r="NPI6" s="473"/>
      <c r="NPJ6" s="474"/>
      <c r="NPK6" s="473"/>
      <c r="NPL6" s="474"/>
      <c r="NPM6" s="473"/>
      <c r="NPN6" s="474"/>
      <c r="NPO6" s="473"/>
      <c r="NPP6" s="474"/>
      <c r="NPQ6" s="473"/>
      <c r="NPR6" s="474"/>
      <c r="NPS6" s="473"/>
      <c r="NPT6" s="474"/>
      <c r="NPU6" s="473"/>
      <c r="NPV6" s="474"/>
      <c r="NPW6" s="473"/>
      <c r="NPX6" s="474"/>
      <c r="NPY6" s="473"/>
      <c r="NPZ6" s="474"/>
      <c r="NQA6" s="473"/>
      <c r="NQB6" s="474"/>
      <c r="NQC6" s="473"/>
      <c r="NQD6" s="474"/>
      <c r="NQE6" s="473"/>
      <c r="NQF6" s="474"/>
      <c r="NQG6" s="473"/>
      <c r="NQH6" s="474"/>
      <c r="NQI6" s="473"/>
      <c r="NQJ6" s="474"/>
      <c r="NQK6" s="473"/>
      <c r="NQL6" s="474"/>
      <c r="NQM6" s="473"/>
      <c r="NQN6" s="474"/>
      <c r="NQO6" s="473"/>
      <c r="NQP6" s="474"/>
      <c r="NQQ6" s="473"/>
      <c r="NQR6" s="474"/>
      <c r="NQS6" s="473"/>
      <c r="NQT6" s="474"/>
      <c r="NQU6" s="473"/>
      <c r="NQV6" s="474"/>
      <c r="NQW6" s="473"/>
      <c r="NQX6" s="474"/>
      <c r="NQY6" s="473"/>
      <c r="NQZ6" s="474"/>
      <c r="NRA6" s="473"/>
      <c r="NRB6" s="474"/>
      <c r="NRC6" s="473"/>
      <c r="NRD6" s="474"/>
      <c r="NRE6" s="473"/>
      <c r="NRF6" s="474"/>
      <c r="NRG6" s="473"/>
      <c r="NRH6" s="474"/>
      <c r="NRI6" s="473"/>
      <c r="NRJ6" s="474"/>
      <c r="NRK6" s="473"/>
      <c r="NRL6" s="474"/>
      <c r="NRM6" s="473"/>
      <c r="NRN6" s="474"/>
      <c r="NRO6" s="473"/>
      <c r="NRP6" s="474"/>
      <c r="NRQ6" s="473"/>
      <c r="NRR6" s="474"/>
      <c r="NRS6" s="473"/>
      <c r="NRT6" s="474"/>
      <c r="NRU6" s="473"/>
      <c r="NRV6" s="474"/>
      <c r="NRW6" s="473"/>
      <c r="NRX6" s="474"/>
      <c r="NRY6" s="473"/>
      <c r="NRZ6" s="474"/>
      <c r="NSA6" s="473"/>
      <c r="NSB6" s="474"/>
      <c r="NSC6" s="473"/>
      <c r="NSD6" s="474"/>
      <c r="NSE6" s="473"/>
      <c r="NSF6" s="474"/>
      <c r="NSG6" s="473"/>
      <c r="NSH6" s="474"/>
      <c r="NSI6" s="473"/>
      <c r="NSJ6" s="474"/>
      <c r="NSK6" s="473"/>
      <c r="NSL6" s="474"/>
      <c r="NSM6" s="473"/>
      <c r="NSN6" s="474"/>
      <c r="NSO6" s="473"/>
      <c r="NSP6" s="474"/>
      <c r="NSQ6" s="473"/>
      <c r="NSR6" s="474"/>
      <c r="NSS6" s="473"/>
      <c r="NST6" s="474"/>
      <c r="NSU6" s="473"/>
      <c r="NSV6" s="474"/>
      <c r="NSW6" s="473"/>
      <c r="NSX6" s="474"/>
      <c r="NSY6" s="473"/>
      <c r="NSZ6" s="474"/>
      <c r="NTA6" s="473"/>
      <c r="NTB6" s="474"/>
      <c r="NTC6" s="473"/>
      <c r="NTD6" s="474"/>
      <c r="NTE6" s="473"/>
      <c r="NTF6" s="474"/>
      <c r="NTG6" s="473"/>
      <c r="NTH6" s="474"/>
      <c r="NTI6" s="473"/>
      <c r="NTJ6" s="474"/>
      <c r="NTK6" s="473"/>
      <c r="NTL6" s="474"/>
      <c r="NTM6" s="473"/>
      <c r="NTN6" s="474"/>
      <c r="NTO6" s="473"/>
      <c r="NTP6" s="474"/>
      <c r="NTQ6" s="473"/>
      <c r="NTR6" s="474"/>
      <c r="NTS6" s="473"/>
      <c r="NTT6" s="474"/>
      <c r="NTU6" s="473"/>
      <c r="NTV6" s="474"/>
      <c r="NTW6" s="473"/>
      <c r="NTX6" s="474"/>
      <c r="NTY6" s="473"/>
      <c r="NTZ6" s="474"/>
      <c r="NUA6" s="473"/>
      <c r="NUB6" s="474"/>
      <c r="NUC6" s="473"/>
      <c r="NUD6" s="474"/>
      <c r="NUE6" s="473"/>
      <c r="NUF6" s="474"/>
      <c r="NUG6" s="473"/>
      <c r="NUH6" s="474"/>
      <c r="NUI6" s="473"/>
      <c r="NUJ6" s="474"/>
      <c r="NUK6" s="473"/>
      <c r="NUL6" s="474"/>
      <c r="NUM6" s="473"/>
      <c r="NUN6" s="474"/>
      <c r="NUO6" s="473"/>
      <c r="NUP6" s="474"/>
      <c r="NUQ6" s="473"/>
      <c r="NUR6" s="474"/>
      <c r="NUS6" s="473"/>
      <c r="NUT6" s="474"/>
      <c r="NUU6" s="473"/>
      <c r="NUV6" s="474"/>
      <c r="NUW6" s="473"/>
      <c r="NUX6" s="474"/>
      <c r="NUY6" s="473"/>
      <c r="NUZ6" s="474"/>
      <c r="NVA6" s="473"/>
      <c r="NVB6" s="474"/>
      <c r="NVC6" s="473"/>
      <c r="NVD6" s="474"/>
      <c r="NVE6" s="473"/>
      <c r="NVF6" s="474"/>
      <c r="NVG6" s="473"/>
      <c r="NVH6" s="474"/>
      <c r="NVI6" s="473"/>
      <c r="NVJ6" s="474"/>
      <c r="NVK6" s="473"/>
      <c r="NVL6" s="474"/>
      <c r="NVM6" s="473"/>
      <c r="NVN6" s="474"/>
      <c r="NVO6" s="473"/>
      <c r="NVP6" s="474"/>
      <c r="NVQ6" s="473"/>
      <c r="NVR6" s="474"/>
      <c r="NVS6" s="473"/>
      <c r="NVT6" s="474"/>
      <c r="NVU6" s="473"/>
      <c r="NVV6" s="474"/>
      <c r="NVW6" s="473"/>
      <c r="NVX6" s="474"/>
      <c r="NVY6" s="473"/>
      <c r="NVZ6" s="474"/>
      <c r="NWA6" s="473"/>
      <c r="NWB6" s="474"/>
      <c r="NWC6" s="473"/>
      <c r="NWD6" s="474"/>
      <c r="NWE6" s="473"/>
      <c r="NWF6" s="474"/>
      <c r="NWG6" s="473"/>
      <c r="NWH6" s="474"/>
      <c r="NWI6" s="473"/>
      <c r="NWJ6" s="474"/>
      <c r="NWK6" s="473"/>
      <c r="NWL6" s="474"/>
      <c r="NWM6" s="473"/>
      <c r="NWN6" s="474"/>
      <c r="NWO6" s="473"/>
      <c r="NWP6" s="474"/>
      <c r="NWQ6" s="473"/>
      <c r="NWR6" s="474"/>
      <c r="NWS6" s="473"/>
      <c r="NWT6" s="474"/>
      <c r="NWU6" s="473"/>
      <c r="NWV6" s="474"/>
      <c r="NWW6" s="473"/>
      <c r="NWX6" s="474"/>
      <c r="NWY6" s="473"/>
      <c r="NWZ6" s="474"/>
      <c r="NXA6" s="473"/>
      <c r="NXB6" s="474"/>
      <c r="NXC6" s="473"/>
      <c r="NXD6" s="474"/>
      <c r="NXE6" s="473"/>
      <c r="NXF6" s="474"/>
      <c r="NXG6" s="473"/>
      <c r="NXH6" s="474"/>
      <c r="NXI6" s="473"/>
      <c r="NXJ6" s="474"/>
      <c r="NXK6" s="473"/>
      <c r="NXL6" s="474"/>
      <c r="NXM6" s="473"/>
      <c r="NXN6" s="474"/>
      <c r="NXO6" s="473"/>
      <c r="NXP6" s="474"/>
      <c r="NXQ6" s="473"/>
      <c r="NXR6" s="474"/>
      <c r="NXS6" s="473"/>
      <c r="NXT6" s="474"/>
      <c r="NXU6" s="473"/>
      <c r="NXV6" s="474"/>
      <c r="NXW6" s="473"/>
      <c r="NXX6" s="474"/>
      <c r="NXY6" s="473"/>
      <c r="NXZ6" s="474"/>
      <c r="NYA6" s="473"/>
      <c r="NYB6" s="474"/>
      <c r="NYC6" s="473"/>
      <c r="NYD6" s="474"/>
      <c r="NYE6" s="473"/>
      <c r="NYF6" s="474"/>
      <c r="NYG6" s="473"/>
      <c r="NYH6" s="474"/>
      <c r="NYI6" s="473"/>
      <c r="NYJ6" s="474"/>
      <c r="NYK6" s="473"/>
      <c r="NYL6" s="474"/>
      <c r="NYM6" s="473"/>
      <c r="NYN6" s="474"/>
      <c r="NYO6" s="473"/>
      <c r="NYP6" s="474"/>
      <c r="NYQ6" s="473"/>
      <c r="NYR6" s="474"/>
      <c r="NYS6" s="473"/>
      <c r="NYT6" s="474"/>
      <c r="NYU6" s="473"/>
      <c r="NYV6" s="474"/>
      <c r="NYW6" s="473"/>
      <c r="NYX6" s="474"/>
      <c r="NYY6" s="473"/>
      <c r="NYZ6" s="474"/>
      <c r="NZA6" s="473"/>
      <c r="NZB6" s="474"/>
      <c r="NZC6" s="473"/>
      <c r="NZD6" s="474"/>
      <c r="NZE6" s="473"/>
      <c r="NZF6" s="474"/>
      <c r="NZG6" s="473"/>
      <c r="NZH6" s="474"/>
      <c r="NZI6" s="473"/>
      <c r="NZJ6" s="474"/>
      <c r="NZK6" s="473"/>
      <c r="NZL6" s="474"/>
      <c r="NZM6" s="473"/>
      <c r="NZN6" s="474"/>
      <c r="NZO6" s="473"/>
      <c r="NZP6" s="474"/>
      <c r="NZQ6" s="473"/>
      <c r="NZR6" s="474"/>
      <c r="NZS6" s="473"/>
      <c r="NZT6" s="474"/>
      <c r="NZU6" s="473"/>
      <c r="NZV6" s="474"/>
      <c r="NZW6" s="473"/>
      <c r="NZX6" s="474"/>
      <c r="NZY6" s="473"/>
      <c r="NZZ6" s="474"/>
      <c r="OAA6" s="473"/>
      <c r="OAB6" s="474"/>
      <c r="OAC6" s="473"/>
      <c r="OAD6" s="474"/>
      <c r="OAE6" s="473"/>
      <c r="OAF6" s="474"/>
      <c r="OAG6" s="473"/>
      <c r="OAH6" s="474"/>
      <c r="OAI6" s="473"/>
      <c r="OAJ6" s="474"/>
      <c r="OAK6" s="473"/>
      <c r="OAL6" s="474"/>
      <c r="OAM6" s="473"/>
      <c r="OAN6" s="474"/>
      <c r="OAO6" s="473"/>
      <c r="OAP6" s="474"/>
      <c r="OAQ6" s="473"/>
      <c r="OAR6" s="474"/>
      <c r="OAS6" s="473"/>
      <c r="OAT6" s="474"/>
      <c r="OAU6" s="473"/>
      <c r="OAV6" s="474"/>
      <c r="OAW6" s="473"/>
      <c r="OAX6" s="474"/>
      <c r="OAY6" s="473"/>
      <c r="OAZ6" s="474"/>
      <c r="OBA6" s="473"/>
      <c r="OBB6" s="474"/>
      <c r="OBC6" s="473"/>
      <c r="OBD6" s="474"/>
      <c r="OBE6" s="473"/>
      <c r="OBF6" s="474"/>
      <c r="OBG6" s="473"/>
      <c r="OBH6" s="474"/>
      <c r="OBI6" s="473"/>
      <c r="OBJ6" s="474"/>
      <c r="OBK6" s="473"/>
      <c r="OBL6" s="474"/>
      <c r="OBM6" s="473"/>
      <c r="OBN6" s="474"/>
      <c r="OBO6" s="473"/>
      <c r="OBP6" s="474"/>
      <c r="OBQ6" s="473"/>
      <c r="OBR6" s="474"/>
      <c r="OBS6" s="473"/>
      <c r="OBT6" s="474"/>
      <c r="OBU6" s="473"/>
      <c r="OBV6" s="474"/>
      <c r="OBW6" s="473"/>
      <c r="OBX6" s="474"/>
      <c r="OBY6" s="473"/>
      <c r="OBZ6" s="474"/>
      <c r="OCA6" s="473"/>
      <c r="OCB6" s="474"/>
      <c r="OCC6" s="473"/>
      <c r="OCD6" s="474"/>
      <c r="OCE6" s="473"/>
      <c r="OCF6" s="474"/>
      <c r="OCG6" s="473"/>
      <c r="OCH6" s="474"/>
      <c r="OCI6" s="473"/>
      <c r="OCJ6" s="474"/>
      <c r="OCK6" s="473"/>
      <c r="OCL6" s="474"/>
      <c r="OCM6" s="473"/>
      <c r="OCN6" s="474"/>
      <c r="OCO6" s="473"/>
      <c r="OCP6" s="474"/>
      <c r="OCQ6" s="473"/>
      <c r="OCR6" s="474"/>
      <c r="OCS6" s="473"/>
      <c r="OCT6" s="474"/>
      <c r="OCU6" s="473"/>
      <c r="OCV6" s="474"/>
      <c r="OCW6" s="473"/>
      <c r="OCX6" s="474"/>
      <c r="OCY6" s="473"/>
      <c r="OCZ6" s="474"/>
      <c r="ODA6" s="473"/>
      <c r="ODB6" s="474"/>
      <c r="ODC6" s="473"/>
      <c r="ODD6" s="474"/>
      <c r="ODE6" s="473"/>
      <c r="ODF6" s="474"/>
      <c r="ODG6" s="473"/>
      <c r="ODH6" s="474"/>
      <c r="ODI6" s="473"/>
      <c r="ODJ6" s="474"/>
      <c r="ODK6" s="473"/>
      <c r="ODL6" s="474"/>
      <c r="ODM6" s="473"/>
      <c r="ODN6" s="474"/>
      <c r="ODO6" s="473"/>
      <c r="ODP6" s="474"/>
      <c r="ODQ6" s="473"/>
      <c r="ODR6" s="474"/>
      <c r="ODS6" s="473"/>
      <c r="ODT6" s="474"/>
      <c r="ODU6" s="473"/>
      <c r="ODV6" s="474"/>
      <c r="ODW6" s="473"/>
      <c r="ODX6" s="474"/>
      <c r="ODY6" s="473"/>
      <c r="ODZ6" s="474"/>
      <c r="OEA6" s="473"/>
      <c r="OEB6" s="474"/>
      <c r="OEC6" s="473"/>
      <c r="OED6" s="474"/>
      <c r="OEE6" s="473"/>
      <c r="OEF6" s="474"/>
      <c r="OEG6" s="473"/>
      <c r="OEH6" s="474"/>
      <c r="OEI6" s="473"/>
      <c r="OEJ6" s="474"/>
      <c r="OEK6" s="473"/>
      <c r="OEL6" s="474"/>
      <c r="OEM6" s="473"/>
      <c r="OEN6" s="474"/>
      <c r="OEO6" s="473"/>
      <c r="OEP6" s="474"/>
      <c r="OEQ6" s="473"/>
      <c r="OER6" s="474"/>
      <c r="OES6" s="473"/>
      <c r="OET6" s="474"/>
      <c r="OEU6" s="473"/>
      <c r="OEV6" s="474"/>
      <c r="OEW6" s="473"/>
      <c r="OEX6" s="474"/>
      <c r="OEY6" s="473"/>
      <c r="OEZ6" s="474"/>
      <c r="OFA6" s="473"/>
      <c r="OFB6" s="474"/>
      <c r="OFC6" s="473"/>
      <c r="OFD6" s="474"/>
      <c r="OFE6" s="473"/>
      <c r="OFF6" s="474"/>
      <c r="OFG6" s="473"/>
      <c r="OFH6" s="474"/>
      <c r="OFI6" s="473"/>
      <c r="OFJ6" s="474"/>
      <c r="OFK6" s="473"/>
      <c r="OFL6" s="474"/>
      <c r="OFM6" s="473"/>
      <c r="OFN6" s="474"/>
      <c r="OFO6" s="473"/>
      <c r="OFP6" s="474"/>
      <c r="OFQ6" s="473"/>
      <c r="OFR6" s="474"/>
      <c r="OFS6" s="473"/>
      <c r="OFT6" s="474"/>
      <c r="OFU6" s="473"/>
      <c r="OFV6" s="474"/>
      <c r="OFW6" s="473"/>
      <c r="OFX6" s="474"/>
      <c r="OFY6" s="473"/>
      <c r="OFZ6" s="474"/>
      <c r="OGA6" s="473"/>
      <c r="OGB6" s="474"/>
      <c r="OGC6" s="473"/>
      <c r="OGD6" s="474"/>
      <c r="OGE6" s="473"/>
      <c r="OGF6" s="474"/>
      <c r="OGG6" s="473"/>
      <c r="OGH6" s="474"/>
      <c r="OGI6" s="473"/>
      <c r="OGJ6" s="474"/>
      <c r="OGK6" s="473"/>
      <c r="OGL6" s="474"/>
      <c r="OGM6" s="473"/>
      <c r="OGN6" s="474"/>
      <c r="OGO6" s="473"/>
      <c r="OGP6" s="474"/>
      <c r="OGQ6" s="473"/>
      <c r="OGR6" s="474"/>
      <c r="OGS6" s="473"/>
      <c r="OGT6" s="474"/>
      <c r="OGU6" s="473"/>
      <c r="OGV6" s="474"/>
      <c r="OGW6" s="473"/>
      <c r="OGX6" s="474"/>
      <c r="OGY6" s="473"/>
      <c r="OGZ6" s="474"/>
      <c r="OHA6" s="473"/>
      <c r="OHB6" s="474"/>
      <c r="OHC6" s="473"/>
      <c r="OHD6" s="474"/>
      <c r="OHE6" s="473"/>
      <c r="OHF6" s="474"/>
      <c r="OHG6" s="473"/>
      <c r="OHH6" s="474"/>
      <c r="OHI6" s="473"/>
      <c r="OHJ6" s="474"/>
      <c r="OHK6" s="473"/>
      <c r="OHL6" s="474"/>
      <c r="OHM6" s="473"/>
      <c r="OHN6" s="474"/>
      <c r="OHO6" s="473"/>
      <c r="OHP6" s="474"/>
      <c r="OHQ6" s="473"/>
      <c r="OHR6" s="474"/>
      <c r="OHS6" s="473"/>
      <c r="OHT6" s="474"/>
      <c r="OHU6" s="473"/>
      <c r="OHV6" s="474"/>
      <c r="OHW6" s="473"/>
      <c r="OHX6" s="474"/>
      <c r="OHY6" s="473"/>
      <c r="OHZ6" s="474"/>
      <c r="OIA6" s="473"/>
      <c r="OIB6" s="474"/>
      <c r="OIC6" s="473"/>
      <c r="OID6" s="474"/>
      <c r="OIE6" s="473"/>
      <c r="OIF6" s="474"/>
      <c r="OIG6" s="473"/>
      <c r="OIH6" s="474"/>
      <c r="OII6" s="473"/>
      <c r="OIJ6" s="474"/>
      <c r="OIK6" s="473"/>
      <c r="OIL6" s="474"/>
      <c r="OIM6" s="473"/>
      <c r="OIN6" s="474"/>
      <c r="OIO6" s="473"/>
      <c r="OIP6" s="474"/>
      <c r="OIQ6" s="473"/>
      <c r="OIR6" s="474"/>
      <c r="OIS6" s="473"/>
      <c r="OIT6" s="474"/>
      <c r="OIU6" s="473"/>
      <c r="OIV6" s="474"/>
      <c r="OIW6" s="473"/>
      <c r="OIX6" s="474"/>
      <c r="OIY6" s="473"/>
      <c r="OIZ6" s="474"/>
      <c r="OJA6" s="473"/>
      <c r="OJB6" s="474"/>
      <c r="OJC6" s="473"/>
      <c r="OJD6" s="474"/>
      <c r="OJE6" s="473"/>
      <c r="OJF6" s="474"/>
      <c r="OJG6" s="473"/>
      <c r="OJH6" s="474"/>
      <c r="OJI6" s="473"/>
      <c r="OJJ6" s="474"/>
      <c r="OJK6" s="473"/>
      <c r="OJL6" s="474"/>
      <c r="OJM6" s="473"/>
      <c r="OJN6" s="474"/>
      <c r="OJO6" s="473"/>
      <c r="OJP6" s="474"/>
      <c r="OJQ6" s="473"/>
      <c r="OJR6" s="474"/>
      <c r="OJS6" s="473"/>
      <c r="OJT6" s="474"/>
      <c r="OJU6" s="473"/>
      <c r="OJV6" s="474"/>
      <c r="OJW6" s="473"/>
      <c r="OJX6" s="474"/>
      <c r="OJY6" s="473"/>
      <c r="OJZ6" s="474"/>
      <c r="OKA6" s="473"/>
      <c r="OKB6" s="474"/>
      <c r="OKC6" s="473"/>
      <c r="OKD6" s="474"/>
      <c r="OKE6" s="473"/>
      <c r="OKF6" s="474"/>
      <c r="OKG6" s="473"/>
      <c r="OKH6" s="474"/>
      <c r="OKI6" s="473"/>
      <c r="OKJ6" s="474"/>
      <c r="OKK6" s="473"/>
      <c r="OKL6" s="474"/>
      <c r="OKM6" s="473"/>
      <c r="OKN6" s="474"/>
      <c r="OKO6" s="473"/>
      <c r="OKP6" s="474"/>
      <c r="OKQ6" s="473"/>
      <c r="OKR6" s="474"/>
      <c r="OKS6" s="473"/>
      <c r="OKT6" s="474"/>
      <c r="OKU6" s="473"/>
      <c r="OKV6" s="474"/>
      <c r="OKW6" s="473"/>
      <c r="OKX6" s="474"/>
      <c r="OKY6" s="473"/>
      <c r="OKZ6" s="474"/>
      <c r="OLA6" s="473"/>
      <c r="OLB6" s="474"/>
      <c r="OLC6" s="473"/>
      <c r="OLD6" s="474"/>
      <c r="OLE6" s="473"/>
      <c r="OLF6" s="474"/>
      <c r="OLG6" s="473"/>
      <c r="OLH6" s="474"/>
      <c r="OLI6" s="473"/>
      <c r="OLJ6" s="474"/>
      <c r="OLK6" s="473"/>
      <c r="OLL6" s="474"/>
      <c r="OLM6" s="473"/>
      <c r="OLN6" s="474"/>
      <c r="OLO6" s="473"/>
      <c r="OLP6" s="474"/>
      <c r="OLQ6" s="473"/>
      <c r="OLR6" s="474"/>
      <c r="OLS6" s="473"/>
      <c r="OLT6" s="474"/>
      <c r="OLU6" s="473"/>
      <c r="OLV6" s="474"/>
      <c r="OLW6" s="473"/>
      <c r="OLX6" s="474"/>
      <c r="OLY6" s="473"/>
      <c r="OLZ6" s="474"/>
      <c r="OMA6" s="473"/>
      <c r="OMB6" s="474"/>
      <c r="OMC6" s="473"/>
      <c r="OMD6" s="474"/>
      <c r="OME6" s="473"/>
      <c r="OMF6" s="474"/>
      <c r="OMG6" s="473"/>
      <c r="OMH6" s="474"/>
      <c r="OMI6" s="473"/>
      <c r="OMJ6" s="474"/>
      <c r="OMK6" s="473"/>
      <c r="OML6" s="474"/>
      <c r="OMM6" s="473"/>
      <c r="OMN6" s="474"/>
      <c r="OMO6" s="473"/>
      <c r="OMP6" s="474"/>
      <c r="OMQ6" s="473"/>
      <c r="OMR6" s="474"/>
      <c r="OMS6" s="473"/>
      <c r="OMT6" s="474"/>
      <c r="OMU6" s="473"/>
      <c r="OMV6" s="474"/>
      <c r="OMW6" s="473"/>
      <c r="OMX6" s="474"/>
      <c r="OMY6" s="473"/>
      <c r="OMZ6" s="474"/>
      <c r="ONA6" s="473"/>
      <c r="ONB6" s="474"/>
      <c r="ONC6" s="473"/>
      <c r="OND6" s="474"/>
      <c r="ONE6" s="473"/>
      <c r="ONF6" s="474"/>
      <c r="ONG6" s="473"/>
      <c r="ONH6" s="474"/>
      <c r="ONI6" s="473"/>
      <c r="ONJ6" s="474"/>
      <c r="ONK6" s="473"/>
      <c r="ONL6" s="474"/>
      <c r="ONM6" s="473"/>
      <c r="ONN6" s="474"/>
      <c r="ONO6" s="473"/>
      <c r="ONP6" s="474"/>
      <c r="ONQ6" s="473"/>
      <c r="ONR6" s="474"/>
      <c r="ONS6" s="473"/>
      <c r="ONT6" s="474"/>
      <c r="ONU6" s="473"/>
      <c r="ONV6" s="474"/>
      <c r="ONW6" s="473"/>
      <c r="ONX6" s="474"/>
      <c r="ONY6" s="473"/>
      <c r="ONZ6" s="474"/>
      <c r="OOA6" s="473"/>
      <c r="OOB6" s="474"/>
      <c r="OOC6" s="473"/>
      <c r="OOD6" s="474"/>
      <c r="OOE6" s="473"/>
      <c r="OOF6" s="474"/>
      <c r="OOG6" s="473"/>
      <c r="OOH6" s="474"/>
      <c r="OOI6" s="473"/>
      <c r="OOJ6" s="474"/>
      <c r="OOK6" s="473"/>
      <c r="OOL6" s="474"/>
      <c r="OOM6" s="473"/>
      <c r="OON6" s="474"/>
      <c r="OOO6" s="473"/>
      <c r="OOP6" s="474"/>
      <c r="OOQ6" s="473"/>
      <c r="OOR6" s="474"/>
      <c r="OOS6" s="473"/>
      <c r="OOT6" s="474"/>
      <c r="OOU6" s="473"/>
      <c r="OOV6" s="474"/>
      <c r="OOW6" s="473"/>
      <c r="OOX6" s="474"/>
      <c r="OOY6" s="473"/>
      <c r="OOZ6" s="474"/>
      <c r="OPA6" s="473"/>
      <c r="OPB6" s="474"/>
      <c r="OPC6" s="473"/>
      <c r="OPD6" s="474"/>
      <c r="OPE6" s="473"/>
      <c r="OPF6" s="474"/>
      <c r="OPG6" s="473"/>
      <c r="OPH6" s="474"/>
      <c r="OPI6" s="473"/>
      <c r="OPJ6" s="474"/>
      <c r="OPK6" s="473"/>
      <c r="OPL6" s="474"/>
      <c r="OPM6" s="473"/>
      <c r="OPN6" s="474"/>
      <c r="OPO6" s="473"/>
      <c r="OPP6" s="474"/>
      <c r="OPQ6" s="473"/>
      <c r="OPR6" s="474"/>
      <c r="OPS6" s="473"/>
      <c r="OPT6" s="474"/>
      <c r="OPU6" s="473"/>
      <c r="OPV6" s="474"/>
      <c r="OPW6" s="473"/>
      <c r="OPX6" s="474"/>
      <c r="OPY6" s="473"/>
      <c r="OPZ6" s="474"/>
      <c r="OQA6" s="473"/>
      <c r="OQB6" s="474"/>
      <c r="OQC6" s="473"/>
      <c r="OQD6" s="474"/>
      <c r="OQE6" s="473"/>
      <c r="OQF6" s="474"/>
      <c r="OQG6" s="473"/>
      <c r="OQH6" s="474"/>
      <c r="OQI6" s="473"/>
      <c r="OQJ6" s="474"/>
      <c r="OQK6" s="473"/>
      <c r="OQL6" s="474"/>
      <c r="OQM6" s="473"/>
      <c r="OQN6" s="474"/>
      <c r="OQO6" s="473"/>
      <c r="OQP6" s="474"/>
      <c r="OQQ6" s="473"/>
      <c r="OQR6" s="474"/>
      <c r="OQS6" s="473"/>
      <c r="OQT6" s="474"/>
      <c r="OQU6" s="473"/>
      <c r="OQV6" s="474"/>
      <c r="OQW6" s="473"/>
      <c r="OQX6" s="474"/>
      <c r="OQY6" s="473"/>
      <c r="OQZ6" s="474"/>
      <c r="ORA6" s="473"/>
      <c r="ORB6" s="474"/>
      <c r="ORC6" s="473"/>
      <c r="ORD6" s="474"/>
      <c r="ORE6" s="473"/>
      <c r="ORF6" s="474"/>
      <c r="ORG6" s="473"/>
      <c r="ORH6" s="474"/>
      <c r="ORI6" s="473"/>
      <c r="ORJ6" s="474"/>
      <c r="ORK6" s="473"/>
      <c r="ORL6" s="474"/>
      <c r="ORM6" s="473"/>
      <c r="ORN6" s="474"/>
      <c r="ORO6" s="473"/>
      <c r="ORP6" s="474"/>
      <c r="ORQ6" s="473"/>
      <c r="ORR6" s="474"/>
      <c r="ORS6" s="473"/>
      <c r="ORT6" s="474"/>
      <c r="ORU6" s="473"/>
      <c r="ORV6" s="474"/>
      <c r="ORW6" s="473"/>
      <c r="ORX6" s="474"/>
      <c r="ORY6" s="473"/>
      <c r="ORZ6" s="474"/>
      <c r="OSA6" s="473"/>
      <c r="OSB6" s="474"/>
      <c r="OSC6" s="473"/>
      <c r="OSD6" s="474"/>
      <c r="OSE6" s="473"/>
      <c r="OSF6" s="474"/>
      <c r="OSG6" s="473"/>
      <c r="OSH6" s="474"/>
      <c r="OSI6" s="473"/>
      <c r="OSJ6" s="474"/>
      <c r="OSK6" s="473"/>
      <c r="OSL6" s="474"/>
      <c r="OSM6" s="473"/>
      <c r="OSN6" s="474"/>
      <c r="OSO6" s="473"/>
      <c r="OSP6" s="474"/>
      <c r="OSQ6" s="473"/>
      <c r="OSR6" s="474"/>
      <c r="OSS6" s="473"/>
      <c r="OST6" s="474"/>
      <c r="OSU6" s="473"/>
      <c r="OSV6" s="474"/>
      <c r="OSW6" s="473"/>
      <c r="OSX6" s="474"/>
      <c r="OSY6" s="473"/>
      <c r="OSZ6" s="474"/>
      <c r="OTA6" s="473"/>
      <c r="OTB6" s="474"/>
      <c r="OTC6" s="473"/>
      <c r="OTD6" s="474"/>
      <c r="OTE6" s="473"/>
      <c r="OTF6" s="474"/>
      <c r="OTG6" s="473"/>
      <c r="OTH6" s="474"/>
      <c r="OTI6" s="473"/>
      <c r="OTJ6" s="474"/>
      <c r="OTK6" s="473"/>
      <c r="OTL6" s="474"/>
      <c r="OTM6" s="473"/>
      <c r="OTN6" s="474"/>
      <c r="OTO6" s="473"/>
      <c r="OTP6" s="474"/>
      <c r="OTQ6" s="473"/>
      <c r="OTR6" s="474"/>
      <c r="OTS6" s="473"/>
      <c r="OTT6" s="474"/>
      <c r="OTU6" s="473"/>
      <c r="OTV6" s="474"/>
      <c r="OTW6" s="473"/>
      <c r="OTX6" s="474"/>
      <c r="OTY6" s="473"/>
      <c r="OTZ6" s="474"/>
      <c r="OUA6" s="473"/>
      <c r="OUB6" s="474"/>
      <c r="OUC6" s="473"/>
      <c r="OUD6" s="474"/>
      <c r="OUE6" s="473"/>
      <c r="OUF6" s="474"/>
      <c r="OUG6" s="473"/>
      <c r="OUH6" s="474"/>
      <c r="OUI6" s="473"/>
      <c r="OUJ6" s="474"/>
      <c r="OUK6" s="473"/>
      <c r="OUL6" s="474"/>
      <c r="OUM6" s="473"/>
      <c r="OUN6" s="474"/>
      <c r="OUO6" s="473"/>
      <c r="OUP6" s="474"/>
      <c r="OUQ6" s="473"/>
      <c r="OUR6" s="474"/>
      <c r="OUS6" s="473"/>
      <c r="OUT6" s="474"/>
      <c r="OUU6" s="473"/>
      <c r="OUV6" s="474"/>
      <c r="OUW6" s="473"/>
      <c r="OUX6" s="474"/>
      <c r="OUY6" s="473"/>
      <c r="OUZ6" s="474"/>
      <c r="OVA6" s="473"/>
      <c r="OVB6" s="474"/>
      <c r="OVC6" s="473"/>
      <c r="OVD6" s="474"/>
      <c r="OVE6" s="473"/>
      <c r="OVF6" s="474"/>
      <c r="OVG6" s="473"/>
      <c r="OVH6" s="474"/>
      <c r="OVI6" s="473"/>
      <c r="OVJ6" s="474"/>
      <c r="OVK6" s="473"/>
      <c r="OVL6" s="474"/>
      <c r="OVM6" s="473"/>
      <c r="OVN6" s="474"/>
      <c r="OVO6" s="473"/>
      <c r="OVP6" s="474"/>
      <c r="OVQ6" s="473"/>
      <c r="OVR6" s="474"/>
      <c r="OVS6" s="473"/>
      <c r="OVT6" s="474"/>
      <c r="OVU6" s="473"/>
      <c r="OVV6" s="474"/>
      <c r="OVW6" s="473"/>
      <c r="OVX6" s="474"/>
      <c r="OVY6" s="473"/>
      <c r="OVZ6" s="474"/>
      <c r="OWA6" s="473"/>
      <c r="OWB6" s="474"/>
      <c r="OWC6" s="473"/>
      <c r="OWD6" s="474"/>
      <c r="OWE6" s="473"/>
      <c r="OWF6" s="474"/>
      <c r="OWG6" s="473"/>
      <c r="OWH6" s="474"/>
      <c r="OWI6" s="473"/>
      <c r="OWJ6" s="474"/>
      <c r="OWK6" s="473"/>
      <c r="OWL6" s="474"/>
      <c r="OWM6" s="473"/>
      <c r="OWN6" s="474"/>
      <c r="OWO6" s="473"/>
      <c r="OWP6" s="474"/>
      <c r="OWQ6" s="473"/>
      <c r="OWR6" s="474"/>
      <c r="OWS6" s="473"/>
      <c r="OWT6" s="474"/>
      <c r="OWU6" s="473"/>
      <c r="OWV6" s="474"/>
      <c r="OWW6" s="473"/>
      <c r="OWX6" s="474"/>
      <c r="OWY6" s="473"/>
      <c r="OWZ6" s="474"/>
      <c r="OXA6" s="473"/>
      <c r="OXB6" s="474"/>
      <c r="OXC6" s="473"/>
      <c r="OXD6" s="474"/>
      <c r="OXE6" s="473"/>
      <c r="OXF6" s="474"/>
      <c r="OXG6" s="473"/>
      <c r="OXH6" s="474"/>
      <c r="OXI6" s="473"/>
      <c r="OXJ6" s="474"/>
      <c r="OXK6" s="473"/>
      <c r="OXL6" s="474"/>
      <c r="OXM6" s="473"/>
      <c r="OXN6" s="474"/>
      <c r="OXO6" s="473"/>
      <c r="OXP6" s="474"/>
      <c r="OXQ6" s="473"/>
      <c r="OXR6" s="474"/>
      <c r="OXS6" s="473"/>
      <c r="OXT6" s="474"/>
      <c r="OXU6" s="473"/>
      <c r="OXV6" s="474"/>
      <c r="OXW6" s="473"/>
      <c r="OXX6" s="474"/>
      <c r="OXY6" s="473"/>
      <c r="OXZ6" s="474"/>
      <c r="OYA6" s="473"/>
      <c r="OYB6" s="474"/>
      <c r="OYC6" s="473"/>
      <c r="OYD6" s="474"/>
      <c r="OYE6" s="473"/>
      <c r="OYF6" s="474"/>
      <c r="OYG6" s="473"/>
      <c r="OYH6" s="474"/>
      <c r="OYI6" s="473"/>
      <c r="OYJ6" s="474"/>
      <c r="OYK6" s="473"/>
      <c r="OYL6" s="474"/>
      <c r="OYM6" s="473"/>
      <c r="OYN6" s="474"/>
      <c r="OYO6" s="473"/>
      <c r="OYP6" s="474"/>
      <c r="OYQ6" s="473"/>
      <c r="OYR6" s="474"/>
      <c r="OYS6" s="473"/>
      <c r="OYT6" s="474"/>
      <c r="OYU6" s="473"/>
      <c r="OYV6" s="474"/>
      <c r="OYW6" s="473"/>
      <c r="OYX6" s="474"/>
      <c r="OYY6" s="473"/>
      <c r="OYZ6" s="474"/>
      <c r="OZA6" s="473"/>
      <c r="OZB6" s="474"/>
      <c r="OZC6" s="473"/>
      <c r="OZD6" s="474"/>
      <c r="OZE6" s="473"/>
      <c r="OZF6" s="474"/>
      <c r="OZG6" s="473"/>
      <c r="OZH6" s="474"/>
      <c r="OZI6" s="473"/>
      <c r="OZJ6" s="474"/>
      <c r="OZK6" s="473"/>
      <c r="OZL6" s="474"/>
      <c r="OZM6" s="473"/>
      <c r="OZN6" s="474"/>
      <c r="OZO6" s="473"/>
      <c r="OZP6" s="474"/>
      <c r="OZQ6" s="473"/>
      <c r="OZR6" s="474"/>
      <c r="OZS6" s="473"/>
      <c r="OZT6" s="474"/>
      <c r="OZU6" s="473"/>
      <c r="OZV6" s="474"/>
      <c r="OZW6" s="473"/>
      <c r="OZX6" s="474"/>
      <c r="OZY6" s="473"/>
      <c r="OZZ6" s="474"/>
      <c r="PAA6" s="473"/>
      <c r="PAB6" s="474"/>
      <c r="PAC6" s="473"/>
      <c r="PAD6" s="474"/>
      <c r="PAE6" s="473"/>
      <c r="PAF6" s="474"/>
      <c r="PAG6" s="473"/>
      <c r="PAH6" s="474"/>
      <c r="PAI6" s="473"/>
      <c r="PAJ6" s="474"/>
      <c r="PAK6" s="473"/>
      <c r="PAL6" s="474"/>
      <c r="PAM6" s="473"/>
      <c r="PAN6" s="474"/>
      <c r="PAO6" s="473"/>
      <c r="PAP6" s="474"/>
      <c r="PAQ6" s="473"/>
      <c r="PAR6" s="474"/>
      <c r="PAS6" s="473"/>
      <c r="PAT6" s="474"/>
      <c r="PAU6" s="473"/>
      <c r="PAV6" s="474"/>
      <c r="PAW6" s="473"/>
      <c r="PAX6" s="474"/>
      <c r="PAY6" s="473"/>
      <c r="PAZ6" s="474"/>
      <c r="PBA6" s="473"/>
      <c r="PBB6" s="474"/>
      <c r="PBC6" s="473"/>
      <c r="PBD6" s="474"/>
      <c r="PBE6" s="473"/>
      <c r="PBF6" s="474"/>
      <c r="PBG6" s="473"/>
      <c r="PBH6" s="474"/>
      <c r="PBI6" s="473"/>
      <c r="PBJ6" s="474"/>
      <c r="PBK6" s="473"/>
      <c r="PBL6" s="474"/>
      <c r="PBM6" s="473"/>
      <c r="PBN6" s="474"/>
      <c r="PBO6" s="473"/>
      <c r="PBP6" s="474"/>
      <c r="PBQ6" s="473"/>
      <c r="PBR6" s="474"/>
      <c r="PBS6" s="473"/>
      <c r="PBT6" s="474"/>
      <c r="PBU6" s="473"/>
      <c r="PBV6" s="474"/>
      <c r="PBW6" s="473"/>
      <c r="PBX6" s="474"/>
      <c r="PBY6" s="473"/>
      <c r="PBZ6" s="474"/>
      <c r="PCA6" s="473"/>
      <c r="PCB6" s="474"/>
      <c r="PCC6" s="473"/>
      <c r="PCD6" s="474"/>
      <c r="PCE6" s="473"/>
      <c r="PCF6" s="474"/>
      <c r="PCG6" s="473"/>
      <c r="PCH6" s="474"/>
      <c r="PCI6" s="473"/>
      <c r="PCJ6" s="474"/>
      <c r="PCK6" s="473"/>
      <c r="PCL6" s="474"/>
      <c r="PCM6" s="473"/>
      <c r="PCN6" s="474"/>
      <c r="PCO6" s="473"/>
      <c r="PCP6" s="474"/>
      <c r="PCQ6" s="473"/>
      <c r="PCR6" s="474"/>
      <c r="PCS6" s="473"/>
      <c r="PCT6" s="474"/>
      <c r="PCU6" s="473"/>
      <c r="PCV6" s="474"/>
      <c r="PCW6" s="473"/>
      <c r="PCX6" s="474"/>
      <c r="PCY6" s="473"/>
      <c r="PCZ6" s="474"/>
      <c r="PDA6" s="473"/>
      <c r="PDB6" s="474"/>
      <c r="PDC6" s="473"/>
      <c r="PDD6" s="474"/>
      <c r="PDE6" s="473"/>
      <c r="PDF6" s="474"/>
      <c r="PDG6" s="473"/>
      <c r="PDH6" s="474"/>
      <c r="PDI6" s="473"/>
      <c r="PDJ6" s="474"/>
      <c r="PDK6" s="473"/>
      <c r="PDL6" s="474"/>
      <c r="PDM6" s="473"/>
      <c r="PDN6" s="474"/>
      <c r="PDO6" s="473"/>
      <c r="PDP6" s="474"/>
      <c r="PDQ6" s="473"/>
      <c r="PDR6" s="474"/>
      <c r="PDS6" s="473"/>
      <c r="PDT6" s="474"/>
      <c r="PDU6" s="473"/>
      <c r="PDV6" s="474"/>
      <c r="PDW6" s="473"/>
      <c r="PDX6" s="474"/>
      <c r="PDY6" s="473"/>
      <c r="PDZ6" s="474"/>
      <c r="PEA6" s="473"/>
      <c r="PEB6" s="474"/>
      <c r="PEC6" s="473"/>
      <c r="PED6" s="474"/>
      <c r="PEE6" s="473"/>
      <c r="PEF6" s="474"/>
      <c r="PEG6" s="473"/>
      <c r="PEH6" s="474"/>
      <c r="PEI6" s="473"/>
      <c r="PEJ6" s="474"/>
      <c r="PEK6" s="473"/>
      <c r="PEL6" s="474"/>
      <c r="PEM6" s="473"/>
      <c r="PEN6" s="474"/>
      <c r="PEO6" s="473"/>
      <c r="PEP6" s="474"/>
      <c r="PEQ6" s="473"/>
      <c r="PER6" s="474"/>
      <c r="PES6" s="473"/>
      <c r="PET6" s="474"/>
      <c r="PEU6" s="473"/>
      <c r="PEV6" s="474"/>
      <c r="PEW6" s="473"/>
      <c r="PEX6" s="474"/>
      <c r="PEY6" s="473"/>
      <c r="PEZ6" s="474"/>
      <c r="PFA6" s="473"/>
      <c r="PFB6" s="474"/>
      <c r="PFC6" s="473"/>
      <c r="PFD6" s="474"/>
      <c r="PFE6" s="473"/>
      <c r="PFF6" s="474"/>
      <c r="PFG6" s="473"/>
      <c r="PFH6" s="474"/>
      <c r="PFI6" s="473"/>
      <c r="PFJ6" s="474"/>
      <c r="PFK6" s="473"/>
      <c r="PFL6" s="474"/>
      <c r="PFM6" s="473"/>
      <c r="PFN6" s="474"/>
      <c r="PFO6" s="473"/>
      <c r="PFP6" s="474"/>
      <c r="PFQ6" s="473"/>
      <c r="PFR6" s="474"/>
      <c r="PFS6" s="473"/>
      <c r="PFT6" s="474"/>
      <c r="PFU6" s="473"/>
      <c r="PFV6" s="474"/>
      <c r="PFW6" s="473"/>
      <c r="PFX6" s="474"/>
      <c r="PFY6" s="473"/>
      <c r="PFZ6" s="474"/>
      <c r="PGA6" s="473"/>
      <c r="PGB6" s="474"/>
      <c r="PGC6" s="473"/>
      <c r="PGD6" s="474"/>
      <c r="PGE6" s="473"/>
      <c r="PGF6" s="474"/>
      <c r="PGG6" s="473"/>
      <c r="PGH6" s="474"/>
      <c r="PGI6" s="473"/>
      <c r="PGJ6" s="474"/>
      <c r="PGK6" s="473"/>
      <c r="PGL6" s="474"/>
      <c r="PGM6" s="473"/>
      <c r="PGN6" s="474"/>
      <c r="PGO6" s="473"/>
      <c r="PGP6" s="474"/>
      <c r="PGQ6" s="473"/>
      <c r="PGR6" s="474"/>
      <c r="PGS6" s="473"/>
      <c r="PGT6" s="474"/>
      <c r="PGU6" s="473"/>
      <c r="PGV6" s="474"/>
      <c r="PGW6" s="473"/>
      <c r="PGX6" s="474"/>
      <c r="PGY6" s="473"/>
      <c r="PGZ6" s="474"/>
      <c r="PHA6" s="473"/>
      <c r="PHB6" s="474"/>
      <c r="PHC6" s="473"/>
      <c r="PHD6" s="474"/>
      <c r="PHE6" s="473"/>
      <c r="PHF6" s="474"/>
      <c r="PHG6" s="473"/>
      <c r="PHH6" s="474"/>
      <c r="PHI6" s="473"/>
      <c r="PHJ6" s="474"/>
      <c r="PHK6" s="473"/>
      <c r="PHL6" s="474"/>
      <c r="PHM6" s="473"/>
      <c r="PHN6" s="474"/>
      <c r="PHO6" s="473"/>
      <c r="PHP6" s="474"/>
      <c r="PHQ6" s="473"/>
      <c r="PHR6" s="474"/>
      <c r="PHS6" s="473"/>
      <c r="PHT6" s="474"/>
      <c r="PHU6" s="473"/>
      <c r="PHV6" s="474"/>
      <c r="PHW6" s="473"/>
      <c r="PHX6" s="474"/>
      <c r="PHY6" s="473"/>
      <c r="PHZ6" s="474"/>
      <c r="PIA6" s="473"/>
      <c r="PIB6" s="474"/>
      <c r="PIC6" s="473"/>
      <c r="PID6" s="474"/>
      <c r="PIE6" s="473"/>
      <c r="PIF6" s="474"/>
      <c r="PIG6" s="473"/>
      <c r="PIH6" s="474"/>
      <c r="PII6" s="473"/>
      <c r="PIJ6" s="474"/>
      <c r="PIK6" s="473"/>
      <c r="PIL6" s="474"/>
      <c r="PIM6" s="473"/>
      <c r="PIN6" s="474"/>
      <c r="PIO6" s="473"/>
      <c r="PIP6" s="474"/>
      <c r="PIQ6" s="473"/>
      <c r="PIR6" s="474"/>
      <c r="PIS6" s="473"/>
      <c r="PIT6" s="474"/>
      <c r="PIU6" s="473"/>
      <c r="PIV6" s="474"/>
      <c r="PIW6" s="473"/>
      <c r="PIX6" s="474"/>
      <c r="PIY6" s="473"/>
      <c r="PIZ6" s="474"/>
      <c r="PJA6" s="473"/>
      <c r="PJB6" s="474"/>
      <c r="PJC6" s="473"/>
      <c r="PJD6" s="474"/>
      <c r="PJE6" s="473"/>
      <c r="PJF6" s="474"/>
      <c r="PJG6" s="473"/>
      <c r="PJH6" s="474"/>
      <c r="PJI6" s="473"/>
      <c r="PJJ6" s="474"/>
      <c r="PJK6" s="473"/>
      <c r="PJL6" s="474"/>
      <c r="PJM6" s="473"/>
      <c r="PJN6" s="474"/>
      <c r="PJO6" s="473"/>
      <c r="PJP6" s="474"/>
      <c r="PJQ6" s="473"/>
      <c r="PJR6" s="474"/>
      <c r="PJS6" s="473"/>
      <c r="PJT6" s="474"/>
      <c r="PJU6" s="473"/>
      <c r="PJV6" s="474"/>
      <c r="PJW6" s="473"/>
      <c r="PJX6" s="474"/>
      <c r="PJY6" s="473"/>
      <c r="PJZ6" s="474"/>
      <c r="PKA6" s="473"/>
      <c r="PKB6" s="474"/>
      <c r="PKC6" s="473"/>
      <c r="PKD6" s="474"/>
      <c r="PKE6" s="473"/>
      <c r="PKF6" s="474"/>
      <c r="PKG6" s="473"/>
      <c r="PKH6" s="474"/>
      <c r="PKI6" s="473"/>
      <c r="PKJ6" s="474"/>
      <c r="PKK6" s="473"/>
      <c r="PKL6" s="474"/>
      <c r="PKM6" s="473"/>
      <c r="PKN6" s="474"/>
      <c r="PKO6" s="473"/>
      <c r="PKP6" s="474"/>
      <c r="PKQ6" s="473"/>
      <c r="PKR6" s="474"/>
      <c r="PKS6" s="473"/>
      <c r="PKT6" s="474"/>
      <c r="PKU6" s="473"/>
      <c r="PKV6" s="474"/>
      <c r="PKW6" s="473"/>
      <c r="PKX6" s="474"/>
      <c r="PKY6" s="473"/>
      <c r="PKZ6" s="474"/>
      <c r="PLA6" s="473"/>
      <c r="PLB6" s="474"/>
      <c r="PLC6" s="473"/>
      <c r="PLD6" s="474"/>
      <c r="PLE6" s="473"/>
      <c r="PLF6" s="474"/>
      <c r="PLG6" s="473"/>
      <c r="PLH6" s="474"/>
      <c r="PLI6" s="473"/>
      <c r="PLJ6" s="474"/>
      <c r="PLK6" s="473"/>
      <c r="PLL6" s="474"/>
      <c r="PLM6" s="473"/>
      <c r="PLN6" s="474"/>
      <c r="PLO6" s="473"/>
      <c r="PLP6" s="474"/>
      <c r="PLQ6" s="473"/>
      <c r="PLR6" s="474"/>
      <c r="PLS6" s="473"/>
      <c r="PLT6" s="474"/>
      <c r="PLU6" s="473"/>
      <c r="PLV6" s="474"/>
      <c r="PLW6" s="473"/>
      <c r="PLX6" s="474"/>
      <c r="PLY6" s="473"/>
      <c r="PLZ6" s="474"/>
      <c r="PMA6" s="473"/>
      <c r="PMB6" s="474"/>
      <c r="PMC6" s="473"/>
      <c r="PMD6" s="474"/>
      <c r="PME6" s="473"/>
      <c r="PMF6" s="474"/>
      <c r="PMG6" s="473"/>
      <c r="PMH6" s="474"/>
      <c r="PMI6" s="473"/>
      <c r="PMJ6" s="474"/>
      <c r="PMK6" s="473"/>
      <c r="PML6" s="474"/>
      <c r="PMM6" s="473"/>
      <c r="PMN6" s="474"/>
      <c r="PMO6" s="473"/>
      <c r="PMP6" s="474"/>
      <c r="PMQ6" s="473"/>
      <c r="PMR6" s="474"/>
      <c r="PMS6" s="473"/>
      <c r="PMT6" s="474"/>
      <c r="PMU6" s="473"/>
      <c r="PMV6" s="474"/>
      <c r="PMW6" s="473"/>
      <c r="PMX6" s="474"/>
      <c r="PMY6" s="473"/>
      <c r="PMZ6" s="474"/>
      <c r="PNA6" s="473"/>
      <c r="PNB6" s="474"/>
      <c r="PNC6" s="473"/>
      <c r="PND6" s="474"/>
      <c r="PNE6" s="473"/>
      <c r="PNF6" s="474"/>
      <c r="PNG6" s="473"/>
      <c r="PNH6" s="474"/>
      <c r="PNI6" s="473"/>
      <c r="PNJ6" s="474"/>
      <c r="PNK6" s="473"/>
      <c r="PNL6" s="474"/>
      <c r="PNM6" s="473"/>
      <c r="PNN6" s="474"/>
      <c r="PNO6" s="473"/>
      <c r="PNP6" s="474"/>
      <c r="PNQ6" s="473"/>
      <c r="PNR6" s="474"/>
      <c r="PNS6" s="473"/>
      <c r="PNT6" s="474"/>
      <c r="PNU6" s="473"/>
      <c r="PNV6" s="474"/>
      <c r="PNW6" s="473"/>
      <c r="PNX6" s="474"/>
      <c r="PNY6" s="473"/>
      <c r="PNZ6" s="474"/>
      <c r="POA6" s="473"/>
      <c r="POB6" s="474"/>
      <c r="POC6" s="473"/>
      <c r="POD6" s="474"/>
      <c r="POE6" s="473"/>
      <c r="POF6" s="474"/>
      <c r="POG6" s="473"/>
      <c r="POH6" s="474"/>
      <c r="POI6" s="473"/>
      <c r="POJ6" s="474"/>
      <c r="POK6" s="473"/>
      <c r="POL6" s="474"/>
      <c r="POM6" s="473"/>
      <c r="PON6" s="474"/>
      <c r="POO6" s="473"/>
      <c r="POP6" s="474"/>
      <c r="POQ6" s="473"/>
      <c r="POR6" s="474"/>
      <c r="POS6" s="473"/>
      <c r="POT6" s="474"/>
      <c r="POU6" s="473"/>
      <c r="POV6" s="474"/>
      <c r="POW6" s="473"/>
      <c r="POX6" s="474"/>
      <c r="POY6" s="473"/>
      <c r="POZ6" s="474"/>
      <c r="PPA6" s="473"/>
      <c r="PPB6" s="474"/>
      <c r="PPC6" s="473"/>
      <c r="PPD6" s="474"/>
      <c r="PPE6" s="473"/>
      <c r="PPF6" s="474"/>
      <c r="PPG6" s="473"/>
      <c r="PPH6" s="474"/>
      <c r="PPI6" s="473"/>
      <c r="PPJ6" s="474"/>
      <c r="PPK6" s="473"/>
      <c r="PPL6" s="474"/>
      <c r="PPM6" s="473"/>
      <c r="PPN6" s="474"/>
      <c r="PPO6" s="473"/>
      <c r="PPP6" s="474"/>
      <c r="PPQ6" s="473"/>
      <c r="PPR6" s="474"/>
      <c r="PPS6" s="473"/>
      <c r="PPT6" s="474"/>
      <c r="PPU6" s="473"/>
      <c r="PPV6" s="474"/>
      <c r="PPW6" s="473"/>
      <c r="PPX6" s="474"/>
      <c r="PPY6" s="473"/>
      <c r="PPZ6" s="474"/>
      <c r="PQA6" s="473"/>
      <c r="PQB6" s="474"/>
      <c r="PQC6" s="473"/>
      <c r="PQD6" s="474"/>
      <c r="PQE6" s="473"/>
      <c r="PQF6" s="474"/>
      <c r="PQG6" s="473"/>
      <c r="PQH6" s="474"/>
      <c r="PQI6" s="473"/>
      <c r="PQJ6" s="474"/>
      <c r="PQK6" s="473"/>
      <c r="PQL6" s="474"/>
      <c r="PQM6" s="473"/>
      <c r="PQN6" s="474"/>
      <c r="PQO6" s="473"/>
      <c r="PQP6" s="474"/>
      <c r="PQQ6" s="473"/>
      <c r="PQR6" s="474"/>
      <c r="PQS6" s="473"/>
      <c r="PQT6" s="474"/>
      <c r="PQU6" s="473"/>
      <c r="PQV6" s="474"/>
      <c r="PQW6" s="473"/>
      <c r="PQX6" s="474"/>
      <c r="PQY6" s="473"/>
      <c r="PQZ6" s="474"/>
      <c r="PRA6" s="473"/>
      <c r="PRB6" s="474"/>
      <c r="PRC6" s="473"/>
      <c r="PRD6" s="474"/>
      <c r="PRE6" s="473"/>
      <c r="PRF6" s="474"/>
      <c r="PRG6" s="473"/>
      <c r="PRH6" s="474"/>
      <c r="PRI6" s="473"/>
      <c r="PRJ6" s="474"/>
      <c r="PRK6" s="473"/>
      <c r="PRL6" s="474"/>
      <c r="PRM6" s="473"/>
      <c r="PRN6" s="474"/>
      <c r="PRO6" s="473"/>
      <c r="PRP6" s="474"/>
      <c r="PRQ6" s="473"/>
      <c r="PRR6" s="474"/>
      <c r="PRS6" s="473"/>
      <c r="PRT6" s="474"/>
      <c r="PRU6" s="473"/>
      <c r="PRV6" s="474"/>
      <c r="PRW6" s="473"/>
      <c r="PRX6" s="474"/>
      <c r="PRY6" s="473"/>
      <c r="PRZ6" s="474"/>
      <c r="PSA6" s="473"/>
      <c r="PSB6" s="474"/>
      <c r="PSC6" s="473"/>
      <c r="PSD6" s="474"/>
      <c r="PSE6" s="473"/>
      <c r="PSF6" s="474"/>
      <c r="PSG6" s="473"/>
      <c r="PSH6" s="474"/>
      <c r="PSI6" s="473"/>
      <c r="PSJ6" s="474"/>
      <c r="PSK6" s="473"/>
      <c r="PSL6" s="474"/>
      <c r="PSM6" s="473"/>
      <c r="PSN6" s="474"/>
      <c r="PSO6" s="473"/>
      <c r="PSP6" s="474"/>
      <c r="PSQ6" s="473"/>
      <c r="PSR6" s="474"/>
      <c r="PSS6" s="473"/>
      <c r="PST6" s="474"/>
      <c r="PSU6" s="473"/>
      <c r="PSV6" s="474"/>
      <c r="PSW6" s="473"/>
      <c r="PSX6" s="474"/>
      <c r="PSY6" s="473"/>
      <c r="PSZ6" s="474"/>
      <c r="PTA6" s="473"/>
      <c r="PTB6" s="474"/>
      <c r="PTC6" s="473"/>
      <c r="PTD6" s="474"/>
      <c r="PTE6" s="473"/>
      <c r="PTF6" s="474"/>
      <c r="PTG6" s="473"/>
      <c r="PTH6" s="474"/>
      <c r="PTI6" s="473"/>
      <c r="PTJ6" s="474"/>
      <c r="PTK6" s="473"/>
      <c r="PTL6" s="474"/>
      <c r="PTM6" s="473"/>
      <c r="PTN6" s="474"/>
      <c r="PTO6" s="473"/>
      <c r="PTP6" s="474"/>
      <c r="PTQ6" s="473"/>
      <c r="PTR6" s="474"/>
      <c r="PTS6" s="473"/>
      <c r="PTT6" s="474"/>
      <c r="PTU6" s="473"/>
      <c r="PTV6" s="474"/>
      <c r="PTW6" s="473"/>
      <c r="PTX6" s="474"/>
      <c r="PTY6" s="473"/>
      <c r="PTZ6" s="474"/>
      <c r="PUA6" s="473"/>
      <c r="PUB6" s="474"/>
      <c r="PUC6" s="473"/>
      <c r="PUD6" s="474"/>
      <c r="PUE6" s="473"/>
      <c r="PUF6" s="474"/>
      <c r="PUG6" s="473"/>
      <c r="PUH6" s="474"/>
      <c r="PUI6" s="473"/>
      <c r="PUJ6" s="474"/>
      <c r="PUK6" s="473"/>
      <c r="PUL6" s="474"/>
      <c r="PUM6" s="473"/>
      <c r="PUN6" s="474"/>
      <c r="PUO6" s="473"/>
      <c r="PUP6" s="474"/>
      <c r="PUQ6" s="473"/>
      <c r="PUR6" s="474"/>
      <c r="PUS6" s="473"/>
      <c r="PUT6" s="474"/>
      <c r="PUU6" s="473"/>
      <c r="PUV6" s="474"/>
      <c r="PUW6" s="473"/>
      <c r="PUX6" s="474"/>
      <c r="PUY6" s="473"/>
      <c r="PUZ6" s="474"/>
      <c r="PVA6" s="473"/>
      <c r="PVB6" s="474"/>
      <c r="PVC6" s="473"/>
      <c r="PVD6" s="474"/>
      <c r="PVE6" s="473"/>
      <c r="PVF6" s="474"/>
      <c r="PVG6" s="473"/>
      <c r="PVH6" s="474"/>
      <c r="PVI6" s="473"/>
      <c r="PVJ6" s="474"/>
      <c r="PVK6" s="473"/>
      <c r="PVL6" s="474"/>
      <c r="PVM6" s="473"/>
      <c r="PVN6" s="474"/>
      <c r="PVO6" s="473"/>
      <c r="PVP6" s="474"/>
      <c r="PVQ6" s="473"/>
      <c r="PVR6" s="474"/>
      <c r="PVS6" s="473"/>
      <c r="PVT6" s="474"/>
      <c r="PVU6" s="473"/>
      <c r="PVV6" s="474"/>
      <c r="PVW6" s="473"/>
      <c r="PVX6" s="474"/>
      <c r="PVY6" s="473"/>
      <c r="PVZ6" s="474"/>
      <c r="PWA6" s="473"/>
      <c r="PWB6" s="474"/>
      <c r="PWC6" s="473"/>
      <c r="PWD6" s="474"/>
      <c r="PWE6" s="473"/>
      <c r="PWF6" s="474"/>
      <c r="PWG6" s="473"/>
      <c r="PWH6" s="474"/>
      <c r="PWI6" s="473"/>
      <c r="PWJ6" s="474"/>
      <c r="PWK6" s="473"/>
      <c r="PWL6" s="474"/>
      <c r="PWM6" s="473"/>
      <c r="PWN6" s="474"/>
      <c r="PWO6" s="473"/>
      <c r="PWP6" s="474"/>
      <c r="PWQ6" s="473"/>
      <c r="PWR6" s="474"/>
      <c r="PWS6" s="473"/>
      <c r="PWT6" s="474"/>
      <c r="PWU6" s="473"/>
      <c r="PWV6" s="474"/>
      <c r="PWW6" s="473"/>
      <c r="PWX6" s="474"/>
      <c r="PWY6" s="473"/>
      <c r="PWZ6" s="474"/>
      <c r="PXA6" s="473"/>
      <c r="PXB6" s="474"/>
      <c r="PXC6" s="473"/>
      <c r="PXD6" s="474"/>
      <c r="PXE6" s="473"/>
      <c r="PXF6" s="474"/>
      <c r="PXG6" s="473"/>
      <c r="PXH6" s="474"/>
      <c r="PXI6" s="473"/>
      <c r="PXJ6" s="474"/>
      <c r="PXK6" s="473"/>
      <c r="PXL6" s="474"/>
      <c r="PXM6" s="473"/>
      <c r="PXN6" s="474"/>
      <c r="PXO6" s="473"/>
      <c r="PXP6" s="474"/>
      <c r="PXQ6" s="473"/>
      <c r="PXR6" s="474"/>
      <c r="PXS6" s="473"/>
      <c r="PXT6" s="474"/>
      <c r="PXU6" s="473"/>
      <c r="PXV6" s="474"/>
      <c r="PXW6" s="473"/>
      <c r="PXX6" s="474"/>
      <c r="PXY6" s="473"/>
      <c r="PXZ6" s="474"/>
      <c r="PYA6" s="473"/>
      <c r="PYB6" s="474"/>
      <c r="PYC6" s="473"/>
      <c r="PYD6" s="474"/>
      <c r="PYE6" s="473"/>
      <c r="PYF6" s="474"/>
      <c r="PYG6" s="473"/>
      <c r="PYH6" s="474"/>
      <c r="PYI6" s="473"/>
      <c r="PYJ6" s="474"/>
      <c r="PYK6" s="473"/>
      <c r="PYL6" s="474"/>
      <c r="PYM6" s="473"/>
      <c r="PYN6" s="474"/>
      <c r="PYO6" s="473"/>
      <c r="PYP6" s="474"/>
      <c r="PYQ6" s="473"/>
      <c r="PYR6" s="474"/>
      <c r="PYS6" s="473"/>
      <c r="PYT6" s="474"/>
      <c r="PYU6" s="473"/>
      <c r="PYV6" s="474"/>
      <c r="PYW6" s="473"/>
      <c r="PYX6" s="474"/>
      <c r="PYY6" s="473"/>
      <c r="PYZ6" s="474"/>
      <c r="PZA6" s="473"/>
      <c r="PZB6" s="474"/>
      <c r="PZC6" s="473"/>
      <c r="PZD6" s="474"/>
      <c r="PZE6" s="473"/>
      <c r="PZF6" s="474"/>
      <c r="PZG6" s="473"/>
      <c r="PZH6" s="474"/>
      <c r="PZI6" s="473"/>
      <c r="PZJ6" s="474"/>
      <c r="PZK6" s="473"/>
      <c r="PZL6" s="474"/>
      <c r="PZM6" s="473"/>
      <c r="PZN6" s="474"/>
      <c r="PZO6" s="473"/>
      <c r="PZP6" s="474"/>
      <c r="PZQ6" s="473"/>
      <c r="PZR6" s="474"/>
      <c r="PZS6" s="473"/>
      <c r="PZT6" s="474"/>
      <c r="PZU6" s="473"/>
      <c r="PZV6" s="474"/>
      <c r="PZW6" s="473"/>
      <c r="PZX6" s="474"/>
      <c r="PZY6" s="473"/>
      <c r="PZZ6" s="474"/>
      <c r="QAA6" s="473"/>
      <c r="QAB6" s="474"/>
      <c r="QAC6" s="473"/>
      <c r="QAD6" s="474"/>
      <c r="QAE6" s="473"/>
      <c r="QAF6" s="474"/>
      <c r="QAG6" s="473"/>
      <c r="QAH6" s="474"/>
      <c r="QAI6" s="473"/>
      <c r="QAJ6" s="474"/>
      <c r="QAK6" s="473"/>
      <c r="QAL6" s="474"/>
      <c r="QAM6" s="473"/>
      <c r="QAN6" s="474"/>
      <c r="QAO6" s="473"/>
      <c r="QAP6" s="474"/>
      <c r="QAQ6" s="473"/>
      <c r="QAR6" s="474"/>
      <c r="QAS6" s="473"/>
      <c r="QAT6" s="474"/>
      <c r="QAU6" s="473"/>
      <c r="QAV6" s="474"/>
      <c r="QAW6" s="473"/>
      <c r="QAX6" s="474"/>
      <c r="QAY6" s="473"/>
      <c r="QAZ6" s="474"/>
      <c r="QBA6" s="473"/>
      <c r="QBB6" s="474"/>
      <c r="QBC6" s="473"/>
      <c r="QBD6" s="474"/>
      <c r="QBE6" s="473"/>
      <c r="QBF6" s="474"/>
      <c r="QBG6" s="473"/>
      <c r="QBH6" s="474"/>
      <c r="QBI6" s="473"/>
      <c r="QBJ6" s="474"/>
      <c r="QBK6" s="473"/>
      <c r="QBL6" s="474"/>
      <c r="QBM6" s="473"/>
      <c r="QBN6" s="474"/>
      <c r="QBO6" s="473"/>
      <c r="QBP6" s="474"/>
      <c r="QBQ6" s="473"/>
      <c r="QBR6" s="474"/>
      <c r="QBS6" s="473"/>
      <c r="QBT6" s="474"/>
      <c r="QBU6" s="473"/>
      <c r="QBV6" s="474"/>
      <c r="QBW6" s="473"/>
      <c r="QBX6" s="474"/>
      <c r="QBY6" s="473"/>
      <c r="QBZ6" s="474"/>
      <c r="QCA6" s="473"/>
      <c r="QCB6" s="474"/>
      <c r="QCC6" s="473"/>
      <c r="QCD6" s="474"/>
      <c r="QCE6" s="473"/>
      <c r="QCF6" s="474"/>
      <c r="QCG6" s="473"/>
      <c r="QCH6" s="474"/>
      <c r="QCI6" s="473"/>
      <c r="QCJ6" s="474"/>
      <c r="QCK6" s="473"/>
      <c r="QCL6" s="474"/>
      <c r="QCM6" s="473"/>
      <c r="QCN6" s="474"/>
      <c r="QCO6" s="473"/>
      <c r="QCP6" s="474"/>
      <c r="QCQ6" s="473"/>
      <c r="QCR6" s="474"/>
      <c r="QCS6" s="473"/>
      <c r="QCT6" s="474"/>
      <c r="QCU6" s="473"/>
      <c r="QCV6" s="474"/>
      <c r="QCW6" s="473"/>
      <c r="QCX6" s="474"/>
      <c r="QCY6" s="473"/>
      <c r="QCZ6" s="474"/>
      <c r="QDA6" s="473"/>
      <c r="QDB6" s="474"/>
      <c r="QDC6" s="473"/>
      <c r="QDD6" s="474"/>
      <c r="QDE6" s="473"/>
      <c r="QDF6" s="474"/>
      <c r="QDG6" s="473"/>
      <c r="QDH6" s="474"/>
      <c r="QDI6" s="473"/>
      <c r="QDJ6" s="474"/>
      <c r="QDK6" s="473"/>
      <c r="QDL6" s="474"/>
      <c r="QDM6" s="473"/>
      <c r="QDN6" s="474"/>
      <c r="QDO6" s="473"/>
      <c r="QDP6" s="474"/>
      <c r="QDQ6" s="473"/>
      <c r="QDR6" s="474"/>
      <c r="QDS6" s="473"/>
      <c r="QDT6" s="474"/>
      <c r="QDU6" s="473"/>
      <c r="QDV6" s="474"/>
      <c r="QDW6" s="473"/>
      <c r="QDX6" s="474"/>
      <c r="QDY6" s="473"/>
      <c r="QDZ6" s="474"/>
      <c r="QEA6" s="473"/>
      <c r="QEB6" s="474"/>
      <c r="QEC6" s="473"/>
      <c r="QED6" s="474"/>
      <c r="QEE6" s="473"/>
      <c r="QEF6" s="474"/>
      <c r="QEG6" s="473"/>
      <c r="QEH6" s="474"/>
      <c r="QEI6" s="473"/>
      <c r="QEJ6" s="474"/>
      <c r="QEK6" s="473"/>
      <c r="QEL6" s="474"/>
      <c r="QEM6" s="473"/>
      <c r="QEN6" s="474"/>
      <c r="QEO6" s="473"/>
      <c r="QEP6" s="474"/>
      <c r="QEQ6" s="473"/>
      <c r="QER6" s="474"/>
      <c r="QES6" s="473"/>
      <c r="QET6" s="474"/>
      <c r="QEU6" s="473"/>
      <c r="QEV6" s="474"/>
      <c r="QEW6" s="473"/>
      <c r="QEX6" s="474"/>
      <c r="QEY6" s="473"/>
      <c r="QEZ6" s="474"/>
      <c r="QFA6" s="473"/>
      <c r="QFB6" s="474"/>
      <c r="QFC6" s="473"/>
      <c r="QFD6" s="474"/>
      <c r="QFE6" s="473"/>
      <c r="QFF6" s="474"/>
      <c r="QFG6" s="473"/>
      <c r="QFH6" s="474"/>
      <c r="QFI6" s="473"/>
      <c r="QFJ6" s="474"/>
      <c r="QFK6" s="473"/>
      <c r="QFL6" s="474"/>
      <c r="QFM6" s="473"/>
      <c r="QFN6" s="474"/>
      <c r="QFO6" s="473"/>
      <c r="QFP6" s="474"/>
      <c r="QFQ6" s="473"/>
      <c r="QFR6" s="474"/>
      <c r="QFS6" s="473"/>
      <c r="QFT6" s="474"/>
      <c r="QFU6" s="473"/>
      <c r="QFV6" s="474"/>
      <c r="QFW6" s="473"/>
      <c r="QFX6" s="474"/>
      <c r="QFY6" s="473"/>
      <c r="QFZ6" s="474"/>
      <c r="QGA6" s="473"/>
      <c r="QGB6" s="474"/>
      <c r="QGC6" s="473"/>
      <c r="QGD6" s="474"/>
      <c r="QGE6" s="473"/>
      <c r="QGF6" s="474"/>
      <c r="QGG6" s="473"/>
      <c r="QGH6" s="474"/>
      <c r="QGI6" s="473"/>
      <c r="QGJ6" s="474"/>
      <c r="QGK6" s="473"/>
      <c r="QGL6" s="474"/>
      <c r="QGM6" s="473"/>
      <c r="QGN6" s="474"/>
      <c r="QGO6" s="473"/>
      <c r="QGP6" s="474"/>
      <c r="QGQ6" s="473"/>
      <c r="QGR6" s="474"/>
      <c r="QGS6" s="473"/>
      <c r="QGT6" s="474"/>
      <c r="QGU6" s="473"/>
      <c r="QGV6" s="474"/>
      <c r="QGW6" s="473"/>
      <c r="QGX6" s="474"/>
      <c r="QGY6" s="473"/>
      <c r="QGZ6" s="474"/>
      <c r="QHA6" s="473"/>
      <c r="QHB6" s="474"/>
      <c r="QHC6" s="473"/>
      <c r="QHD6" s="474"/>
      <c r="QHE6" s="473"/>
      <c r="QHF6" s="474"/>
      <c r="QHG6" s="473"/>
      <c r="QHH6" s="474"/>
      <c r="QHI6" s="473"/>
      <c r="QHJ6" s="474"/>
      <c r="QHK6" s="473"/>
      <c r="QHL6" s="474"/>
      <c r="QHM6" s="473"/>
      <c r="QHN6" s="474"/>
      <c r="QHO6" s="473"/>
      <c r="QHP6" s="474"/>
      <c r="QHQ6" s="473"/>
      <c r="QHR6" s="474"/>
      <c r="QHS6" s="473"/>
      <c r="QHT6" s="474"/>
      <c r="QHU6" s="473"/>
      <c r="QHV6" s="474"/>
      <c r="QHW6" s="473"/>
      <c r="QHX6" s="474"/>
      <c r="QHY6" s="473"/>
      <c r="QHZ6" s="474"/>
      <c r="QIA6" s="473"/>
      <c r="QIB6" s="474"/>
      <c r="QIC6" s="473"/>
      <c r="QID6" s="474"/>
      <c r="QIE6" s="473"/>
      <c r="QIF6" s="474"/>
      <c r="QIG6" s="473"/>
      <c r="QIH6" s="474"/>
      <c r="QII6" s="473"/>
      <c r="QIJ6" s="474"/>
      <c r="QIK6" s="473"/>
      <c r="QIL6" s="474"/>
      <c r="QIM6" s="473"/>
      <c r="QIN6" s="474"/>
      <c r="QIO6" s="473"/>
      <c r="QIP6" s="474"/>
      <c r="QIQ6" s="473"/>
      <c r="QIR6" s="474"/>
      <c r="QIS6" s="473"/>
      <c r="QIT6" s="474"/>
      <c r="QIU6" s="473"/>
      <c r="QIV6" s="474"/>
      <c r="QIW6" s="473"/>
      <c r="QIX6" s="474"/>
      <c r="QIY6" s="473"/>
      <c r="QIZ6" s="474"/>
      <c r="QJA6" s="473"/>
      <c r="QJB6" s="474"/>
      <c r="QJC6" s="473"/>
      <c r="QJD6" s="474"/>
      <c r="QJE6" s="473"/>
      <c r="QJF6" s="474"/>
      <c r="QJG6" s="473"/>
      <c r="QJH6" s="474"/>
      <c r="QJI6" s="473"/>
      <c r="QJJ6" s="474"/>
      <c r="QJK6" s="473"/>
      <c r="QJL6" s="474"/>
      <c r="QJM6" s="473"/>
      <c r="QJN6" s="474"/>
      <c r="QJO6" s="473"/>
      <c r="QJP6" s="474"/>
      <c r="QJQ6" s="473"/>
      <c r="QJR6" s="474"/>
      <c r="QJS6" s="473"/>
      <c r="QJT6" s="474"/>
      <c r="QJU6" s="473"/>
      <c r="QJV6" s="474"/>
      <c r="QJW6" s="473"/>
      <c r="QJX6" s="474"/>
      <c r="QJY6" s="473"/>
      <c r="QJZ6" s="474"/>
      <c r="QKA6" s="473"/>
      <c r="QKB6" s="474"/>
      <c r="QKC6" s="473"/>
      <c r="QKD6" s="474"/>
      <c r="QKE6" s="473"/>
      <c r="QKF6" s="474"/>
      <c r="QKG6" s="473"/>
      <c r="QKH6" s="474"/>
      <c r="QKI6" s="473"/>
      <c r="QKJ6" s="474"/>
      <c r="QKK6" s="473"/>
      <c r="QKL6" s="474"/>
      <c r="QKM6" s="473"/>
      <c r="QKN6" s="474"/>
      <c r="QKO6" s="473"/>
      <c r="QKP6" s="474"/>
      <c r="QKQ6" s="473"/>
      <c r="QKR6" s="474"/>
      <c r="QKS6" s="473"/>
      <c r="QKT6" s="474"/>
      <c r="QKU6" s="473"/>
      <c r="QKV6" s="474"/>
      <c r="QKW6" s="473"/>
      <c r="QKX6" s="474"/>
      <c r="QKY6" s="473"/>
      <c r="QKZ6" s="474"/>
      <c r="QLA6" s="473"/>
      <c r="QLB6" s="474"/>
      <c r="QLC6" s="473"/>
      <c r="QLD6" s="474"/>
      <c r="QLE6" s="473"/>
      <c r="QLF6" s="474"/>
      <c r="QLG6" s="473"/>
      <c r="QLH6" s="474"/>
      <c r="QLI6" s="473"/>
      <c r="QLJ6" s="474"/>
      <c r="QLK6" s="473"/>
      <c r="QLL6" s="474"/>
      <c r="QLM6" s="473"/>
      <c r="QLN6" s="474"/>
      <c r="QLO6" s="473"/>
      <c r="QLP6" s="474"/>
      <c r="QLQ6" s="473"/>
      <c r="QLR6" s="474"/>
      <c r="QLS6" s="473"/>
      <c r="QLT6" s="474"/>
      <c r="QLU6" s="473"/>
      <c r="QLV6" s="474"/>
      <c r="QLW6" s="473"/>
      <c r="QLX6" s="474"/>
      <c r="QLY6" s="473"/>
      <c r="QLZ6" s="474"/>
      <c r="QMA6" s="473"/>
      <c r="QMB6" s="474"/>
      <c r="QMC6" s="473"/>
      <c r="QMD6" s="474"/>
      <c r="QME6" s="473"/>
      <c r="QMF6" s="474"/>
      <c r="QMG6" s="473"/>
      <c r="QMH6" s="474"/>
      <c r="QMI6" s="473"/>
      <c r="QMJ6" s="474"/>
      <c r="QMK6" s="473"/>
      <c r="QML6" s="474"/>
      <c r="QMM6" s="473"/>
      <c r="QMN6" s="474"/>
      <c r="QMO6" s="473"/>
      <c r="QMP6" s="474"/>
      <c r="QMQ6" s="473"/>
      <c r="QMR6" s="474"/>
      <c r="QMS6" s="473"/>
      <c r="QMT6" s="474"/>
      <c r="QMU6" s="473"/>
      <c r="QMV6" s="474"/>
      <c r="QMW6" s="473"/>
      <c r="QMX6" s="474"/>
      <c r="QMY6" s="473"/>
      <c r="QMZ6" s="474"/>
      <c r="QNA6" s="473"/>
      <c r="QNB6" s="474"/>
      <c r="QNC6" s="473"/>
      <c r="QND6" s="474"/>
      <c r="QNE6" s="473"/>
      <c r="QNF6" s="474"/>
      <c r="QNG6" s="473"/>
      <c r="QNH6" s="474"/>
      <c r="QNI6" s="473"/>
      <c r="QNJ6" s="474"/>
      <c r="QNK6" s="473"/>
      <c r="QNL6" s="474"/>
      <c r="QNM6" s="473"/>
      <c r="QNN6" s="474"/>
      <c r="QNO6" s="473"/>
      <c r="QNP6" s="474"/>
      <c r="QNQ6" s="473"/>
      <c r="QNR6" s="474"/>
      <c r="QNS6" s="473"/>
      <c r="QNT6" s="474"/>
      <c r="QNU6" s="473"/>
      <c r="QNV6" s="474"/>
      <c r="QNW6" s="473"/>
      <c r="QNX6" s="474"/>
      <c r="QNY6" s="473"/>
      <c r="QNZ6" s="474"/>
      <c r="QOA6" s="473"/>
      <c r="QOB6" s="474"/>
      <c r="QOC6" s="473"/>
      <c r="QOD6" s="474"/>
      <c r="QOE6" s="473"/>
      <c r="QOF6" s="474"/>
      <c r="QOG6" s="473"/>
      <c r="QOH6" s="474"/>
      <c r="QOI6" s="473"/>
      <c r="QOJ6" s="474"/>
      <c r="QOK6" s="473"/>
      <c r="QOL6" s="474"/>
      <c r="QOM6" s="473"/>
      <c r="QON6" s="474"/>
      <c r="QOO6" s="473"/>
      <c r="QOP6" s="474"/>
      <c r="QOQ6" s="473"/>
      <c r="QOR6" s="474"/>
      <c r="QOS6" s="473"/>
      <c r="QOT6" s="474"/>
      <c r="QOU6" s="473"/>
      <c r="QOV6" s="474"/>
      <c r="QOW6" s="473"/>
      <c r="QOX6" s="474"/>
      <c r="QOY6" s="473"/>
      <c r="QOZ6" s="474"/>
      <c r="QPA6" s="473"/>
      <c r="QPB6" s="474"/>
      <c r="QPC6" s="473"/>
      <c r="QPD6" s="474"/>
      <c r="QPE6" s="473"/>
      <c r="QPF6" s="474"/>
      <c r="QPG6" s="473"/>
      <c r="QPH6" s="474"/>
      <c r="QPI6" s="473"/>
      <c r="QPJ6" s="474"/>
      <c r="QPK6" s="473"/>
      <c r="QPL6" s="474"/>
      <c r="QPM6" s="473"/>
      <c r="QPN6" s="474"/>
      <c r="QPO6" s="473"/>
      <c r="QPP6" s="474"/>
      <c r="QPQ6" s="473"/>
      <c r="QPR6" s="474"/>
      <c r="QPS6" s="473"/>
      <c r="QPT6" s="474"/>
      <c r="QPU6" s="473"/>
      <c r="QPV6" s="474"/>
      <c r="QPW6" s="473"/>
      <c r="QPX6" s="474"/>
      <c r="QPY6" s="473"/>
      <c r="QPZ6" s="474"/>
      <c r="QQA6" s="473"/>
      <c r="QQB6" s="474"/>
      <c r="QQC6" s="473"/>
      <c r="QQD6" s="474"/>
      <c r="QQE6" s="473"/>
      <c r="QQF6" s="474"/>
      <c r="QQG6" s="473"/>
      <c r="QQH6" s="474"/>
      <c r="QQI6" s="473"/>
      <c r="QQJ6" s="474"/>
      <c r="QQK6" s="473"/>
      <c r="QQL6" s="474"/>
      <c r="QQM6" s="473"/>
      <c r="QQN6" s="474"/>
      <c r="QQO6" s="473"/>
      <c r="QQP6" s="474"/>
      <c r="QQQ6" s="473"/>
      <c r="QQR6" s="474"/>
      <c r="QQS6" s="473"/>
      <c r="QQT6" s="474"/>
      <c r="QQU6" s="473"/>
      <c r="QQV6" s="474"/>
      <c r="QQW6" s="473"/>
      <c r="QQX6" s="474"/>
      <c r="QQY6" s="473"/>
      <c r="QQZ6" s="474"/>
      <c r="QRA6" s="473"/>
      <c r="QRB6" s="474"/>
      <c r="QRC6" s="473"/>
      <c r="QRD6" s="474"/>
      <c r="QRE6" s="473"/>
      <c r="QRF6" s="474"/>
      <c r="QRG6" s="473"/>
      <c r="QRH6" s="474"/>
      <c r="QRI6" s="473"/>
      <c r="QRJ6" s="474"/>
      <c r="QRK6" s="473"/>
      <c r="QRL6" s="474"/>
      <c r="QRM6" s="473"/>
      <c r="QRN6" s="474"/>
      <c r="QRO6" s="473"/>
      <c r="QRP6" s="474"/>
      <c r="QRQ6" s="473"/>
      <c r="QRR6" s="474"/>
      <c r="QRS6" s="473"/>
      <c r="QRT6" s="474"/>
      <c r="QRU6" s="473"/>
      <c r="QRV6" s="474"/>
      <c r="QRW6" s="473"/>
      <c r="QRX6" s="474"/>
      <c r="QRY6" s="473"/>
      <c r="QRZ6" s="474"/>
      <c r="QSA6" s="473"/>
      <c r="QSB6" s="474"/>
      <c r="QSC6" s="473"/>
      <c r="QSD6" s="474"/>
      <c r="QSE6" s="473"/>
      <c r="QSF6" s="474"/>
      <c r="QSG6" s="473"/>
      <c r="QSH6" s="474"/>
      <c r="QSI6" s="473"/>
      <c r="QSJ6" s="474"/>
      <c r="QSK6" s="473"/>
      <c r="QSL6" s="474"/>
      <c r="QSM6" s="473"/>
      <c r="QSN6" s="474"/>
      <c r="QSO6" s="473"/>
      <c r="QSP6" s="474"/>
      <c r="QSQ6" s="473"/>
      <c r="QSR6" s="474"/>
      <c r="QSS6" s="473"/>
      <c r="QST6" s="474"/>
      <c r="QSU6" s="473"/>
      <c r="QSV6" s="474"/>
      <c r="QSW6" s="473"/>
      <c r="QSX6" s="474"/>
      <c r="QSY6" s="473"/>
      <c r="QSZ6" s="474"/>
      <c r="QTA6" s="473"/>
      <c r="QTB6" s="474"/>
      <c r="QTC6" s="473"/>
      <c r="QTD6" s="474"/>
      <c r="QTE6" s="473"/>
      <c r="QTF6" s="474"/>
      <c r="QTG6" s="473"/>
      <c r="QTH6" s="474"/>
      <c r="QTI6" s="473"/>
      <c r="QTJ6" s="474"/>
      <c r="QTK6" s="473"/>
      <c r="QTL6" s="474"/>
      <c r="QTM6" s="473"/>
      <c r="QTN6" s="474"/>
      <c r="QTO6" s="473"/>
      <c r="QTP6" s="474"/>
      <c r="QTQ6" s="473"/>
      <c r="QTR6" s="474"/>
      <c r="QTS6" s="473"/>
      <c r="QTT6" s="474"/>
      <c r="QTU6" s="473"/>
      <c r="QTV6" s="474"/>
      <c r="QTW6" s="473"/>
      <c r="QTX6" s="474"/>
      <c r="QTY6" s="473"/>
      <c r="QTZ6" s="474"/>
      <c r="QUA6" s="473"/>
      <c r="QUB6" s="474"/>
      <c r="QUC6" s="473"/>
      <c r="QUD6" s="474"/>
      <c r="QUE6" s="473"/>
      <c r="QUF6" s="474"/>
      <c r="QUG6" s="473"/>
      <c r="QUH6" s="474"/>
      <c r="QUI6" s="473"/>
      <c r="QUJ6" s="474"/>
      <c r="QUK6" s="473"/>
      <c r="QUL6" s="474"/>
      <c r="QUM6" s="473"/>
      <c r="QUN6" s="474"/>
      <c r="QUO6" s="473"/>
      <c r="QUP6" s="474"/>
      <c r="QUQ6" s="473"/>
      <c r="QUR6" s="474"/>
      <c r="QUS6" s="473"/>
      <c r="QUT6" s="474"/>
      <c r="QUU6" s="473"/>
      <c r="QUV6" s="474"/>
      <c r="QUW6" s="473"/>
      <c r="QUX6" s="474"/>
      <c r="QUY6" s="473"/>
      <c r="QUZ6" s="474"/>
      <c r="QVA6" s="473"/>
      <c r="QVB6" s="474"/>
      <c r="QVC6" s="473"/>
      <c r="QVD6" s="474"/>
      <c r="QVE6" s="473"/>
      <c r="QVF6" s="474"/>
      <c r="QVG6" s="473"/>
      <c r="QVH6" s="474"/>
      <c r="QVI6" s="473"/>
      <c r="QVJ6" s="474"/>
      <c r="QVK6" s="473"/>
      <c r="QVL6" s="474"/>
      <c r="QVM6" s="473"/>
      <c r="QVN6" s="474"/>
      <c r="QVO6" s="473"/>
      <c r="QVP6" s="474"/>
      <c r="QVQ6" s="473"/>
      <c r="QVR6" s="474"/>
      <c r="QVS6" s="473"/>
      <c r="QVT6" s="474"/>
      <c r="QVU6" s="473"/>
      <c r="QVV6" s="474"/>
      <c r="QVW6" s="473"/>
      <c r="QVX6" s="474"/>
      <c r="QVY6" s="473"/>
      <c r="QVZ6" s="474"/>
      <c r="QWA6" s="473"/>
      <c r="QWB6" s="474"/>
      <c r="QWC6" s="473"/>
      <c r="QWD6" s="474"/>
      <c r="QWE6" s="473"/>
      <c r="QWF6" s="474"/>
      <c r="QWG6" s="473"/>
      <c r="QWH6" s="474"/>
      <c r="QWI6" s="473"/>
      <c r="QWJ6" s="474"/>
      <c r="QWK6" s="473"/>
      <c r="QWL6" s="474"/>
      <c r="QWM6" s="473"/>
      <c r="QWN6" s="474"/>
      <c r="QWO6" s="473"/>
      <c r="QWP6" s="474"/>
      <c r="QWQ6" s="473"/>
      <c r="QWR6" s="474"/>
      <c r="QWS6" s="473"/>
      <c r="QWT6" s="474"/>
      <c r="QWU6" s="473"/>
      <c r="QWV6" s="474"/>
      <c r="QWW6" s="473"/>
      <c r="QWX6" s="474"/>
      <c r="QWY6" s="473"/>
      <c r="QWZ6" s="474"/>
      <c r="QXA6" s="473"/>
      <c r="QXB6" s="474"/>
      <c r="QXC6" s="473"/>
      <c r="QXD6" s="474"/>
      <c r="QXE6" s="473"/>
      <c r="QXF6" s="474"/>
      <c r="QXG6" s="473"/>
      <c r="QXH6" s="474"/>
      <c r="QXI6" s="473"/>
      <c r="QXJ6" s="474"/>
      <c r="QXK6" s="473"/>
      <c r="QXL6" s="474"/>
      <c r="QXM6" s="473"/>
      <c r="QXN6" s="474"/>
      <c r="QXO6" s="473"/>
      <c r="QXP6" s="474"/>
      <c r="QXQ6" s="473"/>
      <c r="QXR6" s="474"/>
      <c r="QXS6" s="473"/>
      <c r="QXT6" s="474"/>
      <c r="QXU6" s="473"/>
      <c r="QXV6" s="474"/>
      <c r="QXW6" s="473"/>
      <c r="QXX6" s="474"/>
      <c r="QXY6" s="473"/>
      <c r="QXZ6" s="474"/>
      <c r="QYA6" s="473"/>
      <c r="QYB6" s="474"/>
      <c r="QYC6" s="473"/>
      <c r="QYD6" s="474"/>
      <c r="QYE6" s="473"/>
      <c r="QYF6" s="474"/>
      <c r="QYG6" s="473"/>
      <c r="QYH6" s="474"/>
      <c r="QYI6" s="473"/>
      <c r="QYJ6" s="474"/>
      <c r="QYK6" s="473"/>
      <c r="QYL6" s="474"/>
      <c r="QYM6" s="473"/>
      <c r="QYN6" s="474"/>
      <c r="QYO6" s="473"/>
      <c r="QYP6" s="474"/>
      <c r="QYQ6" s="473"/>
      <c r="QYR6" s="474"/>
      <c r="QYS6" s="473"/>
      <c r="QYT6" s="474"/>
      <c r="QYU6" s="473"/>
      <c r="QYV6" s="474"/>
      <c r="QYW6" s="473"/>
      <c r="QYX6" s="474"/>
      <c r="QYY6" s="473"/>
      <c r="QYZ6" s="474"/>
      <c r="QZA6" s="473"/>
      <c r="QZB6" s="474"/>
      <c r="QZC6" s="473"/>
      <c r="QZD6" s="474"/>
      <c r="QZE6" s="473"/>
      <c r="QZF6" s="474"/>
      <c r="QZG6" s="473"/>
      <c r="QZH6" s="474"/>
      <c r="QZI6" s="473"/>
      <c r="QZJ6" s="474"/>
      <c r="QZK6" s="473"/>
      <c r="QZL6" s="474"/>
      <c r="QZM6" s="473"/>
      <c r="QZN6" s="474"/>
      <c r="QZO6" s="473"/>
      <c r="QZP6" s="474"/>
      <c r="QZQ6" s="473"/>
      <c r="QZR6" s="474"/>
      <c r="QZS6" s="473"/>
      <c r="QZT6" s="474"/>
      <c r="QZU6" s="473"/>
      <c r="QZV6" s="474"/>
      <c r="QZW6" s="473"/>
      <c r="QZX6" s="474"/>
      <c r="QZY6" s="473"/>
      <c r="QZZ6" s="474"/>
      <c r="RAA6" s="473"/>
      <c r="RAB6" s="474"/>
      <c r="RAC6" s="473"/>
      <c r="RAD6" s="474"/>
      <c r="RAE6" s="473"/>
      <c r="RAF6" s="474"/>
      <c r="RAG6" s="473"/>
      <c r="RAH6" s="474"/>
      <c r="RAI6" s="473"/>
      <c r="RAJ6" s="474"/>
      <c r="RAK6" s="473"/>
      <c r="RAL6" s="474"/>
      <c r="RAM6" s="473"/>
      <c r="RAN6" s="474"/>
      <c r="RAO6" s="473"/>
      <c r="RAP6" s="474"/>
      <c r="RAQ6" s="473"/>
      <c r="RAR6" s="474"/>
      <c r="RAS6" s="473"/>
      <c r="RAT6" s="474"/>
      <c r="RAU6" s="473"/>
      <c r="RAV6" s="474"/>
      <c r="RAW6" s="473"/>
      <c r="RAX6" s="474"/>
      <c r="RAY6" s="473"/>
      <c r="RAZ6" s="474"/>
      <c r="RBA6" s="473"/>
      <c r="RBB6" s="474"/>
      <c r="RBC6" s="473"/>
      <c r="RBD6" s="474"/>
      <c r="RBE6" s="473"/>
      <c r="RBF6" s="474"/>
      <c r="RBG6" s="473"/>
      <c r="RBH6" s="474"/>
      <c r="RBI6" s="473"/>
      <c r="RBJ6" s="474"/>
      <c r="RBK6" s="473"/>
      <c r="RBL6" s="474"/>
      <c r="RBM6" s="473"/>
      <c r="RBN6" s="474"/>
      <c r="RBO6" s="473"/>
      <c r="RBP6" s="474"/>
      <c r="RBQ6" s="473"/>
      <c r="RBR6" s="474"/>
      <c r="RBS6" s="473"/>
      <c r="RBT6" s="474"/>
      <c r="RBU6" s="473"/>
      <c r="RBV6" s="474"/>
      <c r="RBW6" s="473"/>
      <c r="RBX6" s="474"/>
      <c r="RBY6" s="473"/>
      <c r="RBZ6" s="474"/>
      <c r="RCA6" s="473"/>
      <c r="RCB6" s="474"/>
      <c r="RCC6" s="473"/>
      <c r="RCD6" s="474"/>
      <c r="RCE6" s="473"/>
      <c r="RCF6" s="474"/>
      <c r="RCG6" s="473"/>
      <c r="RCH6" s="474"/>
      <c r="RCI6" s="473"/>
      <c r="RCJ6" s="474"/>
      <c r="RCK6" s="473"/>
      <c r="RCL6" s="474"/>
      <c r="RCM6" s="473"/>
      <c r="RCN6" s="474"/>
      <c r="RCO6" s="473"/>
      <c r="RCP6" s="474"/>
      <c r="RCQ6" s="473"/>
      <c r="RCR6" s="474"/>
      <c r="RCS6" s="473"/>
      <c r="RCT6" s="474"/>
      <c r="RCU6" s="473"/>
      <c r="RCV6" s="474"/>
      <c r="RCW6" s="473"/>
      <c r="RCX6" s="474"/>
      <c r="RCY6" s="473"/>
      <c r="RCZ6" s="474"/>
      <c r="RDA6" s="473"/>
      <c r="RDB6" s="474"/>
      <c r="RDC6" s="473"/>
      <c r="RDD6" s="474"/>
      <c r="RDE6" s="473"/>
      <c r="RDF6" s="474"/>
      <c r="RDG6" s="473"/>
      <c r="RDH6" s="474"/>
      <c r="RDI6" s="473"/>
      <c r="RDJ6" s="474"/>
      <c r="RDK6" s="473"/>
      <c r="RDL6" s="474"/>
      <c r="RDM6" s="473"/>
      <c r="RDN6" s="474"/>
      <c r="RDO6" s="473"/>
      <c r="RDP6" s="474"/>
      <c r="RDQ6" s="473"/>
      <c r="RDR6" s="474"/>
      <c r="RDS6" s="473"/>
      <c r="RDT6" s="474"/>
      <c r="RDU6" s="473"/>
      <c r="RDV6" s="474"/>
      <c r="RDW6" s="473"/>
      <c r="RDX6" s="474"/>
      <c r="RDY6" s="473"/>
      <c r="RDZ6" s="474"/>
      <c r="REA6" s="473"/>
      <c r="REB6" s="474"/>
      <c r="REC6" s="473"/>
      <c r="RED6" s="474"/>
      <c r="REE6" s="473"/>
      <c r="REF6" s="474"/>
      <c r="REG6" s="473"/>
      <c r="REH6" s="474"/>
      <c r="REI6" s="473"/>
      <c r="REJ6" s="474"/>
      <c r="REK6" s="473"/>
      <c r="REL6" s="474"/>
      <c r="REM6" s="473"/>
      <c r="REN6" s="474"/>
      <c r="REO6" s="473"/>
      <c r="REP6" s="474"/>
      <c r="REQ6" s="473"/>
      <c r="RER6" s="474"/>
      <c r="RES6" s="473"/>
      <c r="RET6" s="474"/>
      <c r="REU6" s="473"/>
      <c r="REV6" s="474"/>
      <c r="REW6" s="473"/>
      <c r="REX6" s="474"/>
      <c r="REY6" s="473"/>
      <c r="REZ6" s="474"/>
      <c r="RFA6" s="473"/>
      <c r="RFB6" s="474"/>
      <c r="RFC6" s="473"/>
      <c r="RFD6" s="474"/>
      <c r="RFE6" s="473"/>
      <c r="RFF6" s="474"/>
      <c r="RFG6" s="473"/>
      <c r="RFH6" s="474"/>
      <c r="RFI6" s="473"/>
      <c r="RFJ6" s="474"/>
      <c r="RFK6" s="473"/>
      <c r="RFL6" s="474"/>
      <c r="RFM6" s="473"/>
      <c r="RFN6" s="474"/>
      <c r="RFO6" s="473"/>
      <c r="RFP6" s="474"/>
      <c r="RFQ6" s="473"/>
      <c r="RFR6" s="474"/>
      <c r="RFS6" s="473"/>
      <c r="RFT6" s="474"/>
      <c r="RFU6" s="473"/>
      <c r="RFV6" s="474"/>
      <c r="RFW6" s="473"/>
      <c r="RFX6" s="474"/>
      <c r="RFY6" s="473"/>
      <c r="RFZ6" s="474"/>
      <c r="RGA6" s="473"/>
      <c r="RGB6" s="474"/>
      <c r="RGC6" s="473"/>
      <c r="RGD6" s="474"/>
      <c r="RGE6" s="473"/>
      <c r="RGF6" s="474"/>
      <c r="RGG6" s="473"/>
      <c r="RGH6" s="474"/>
      <c r="RGI6" s="473"/>
      <c r="RGJ6" s="474"/>
      <c r="RGK6" s="473"/>
      <c r="RGL6" s="474"/>
      <c r="RGM6" s="473"/>
      <c r="RGN6" s="474"/>
      <c r="RGO6" s="473"/>
      <c r="RGP6" s="474"/>
      <c r="RGQ6" s="473"/>
      <c r="RGR6" s="474"/>
      <c r="RGS6" s="473"/>
      <c r="RGT6" s="474"/>
      <c r="RGU6" s="473"/>
      <c r="RGV6" s="474"/>
      <c r="RGW6" s="473"/>
      <c r="RGX6" s="474"/>
      <c r="RGY6" s="473"/>
      <c r="RGZ6" s="474"/>
      <c r="RHA6" s="473"/>
      <c r="RHB6" s="474"/>
      <c r="RHC6" s="473"/>
      <c r="RHD6" s="474"/>
      <c r="RHE6" s="473"/>
      <c r="RHF6" s="474"/>
      <c r="RHG6" s="473"/>
      <c r="RHH6" s="474"/>
      <c r="RHI6" s="473"/>
      <c r="RHJ6" s="474"/>
      <c r="RHK6" s="473"/>
      <c r="RHL6" s="474"/>
      <c r="RHM6" s="473"/>
      <c r="RHN6" s="474"/>
      <c r="RHO6" s="473"/>
      <c r="RHP6" s="474"/>
      <c r="RHQ6" s="473"/>
      <c r="RHR6" s="474"/>
      <c r="RHS6" s="473"/>
      <c r="RHT6" s="474"/>
      <c r="RHU6" s="473"/>
      <c r="RHV6" s="474"/>
      <c r="RHW6" s="473"/>
      <c r="RHX6" s="474"/>
      <c r="RHY6" s="473"/>
      <c r="RHZ6" s="474"/>
      <c r="RIA6" s="473"/>
      <c r="RIB6" s="474"/>
      <c r="RIC6" s="473"/>
      <c r="RID6" s="474"/>
      <c r="RIE6" s="473"/>
      <c r="RIF6" s="474"/>
      <c r="RIG6" s="473"/>
      <c r="RIH6" s="474"/>
      <c r="RII6" s="473"/>
      <c r="RIJ6" s="474"/>
      <c r="RIK6" s="473"/>
      <c r="RIL6" s="474"/>
      <c r="RIM6" s="473"/>
      <c r="RIN6" s="474"/>
      <c r="RIO6" s="473"/>
      <c r="RIP6" s="474"/>
      <c r="RIQ6" s="473"/>
      <c r="RIR6" s="474"/>
      <c r="RIS6" s="473"/>
      <c r="RIT6" s="474"/>
      <c r="RIU6" s="473"/>
      <c r="RIV6" s="474"/>
      <c r="RIW6" s="473"/>
      <c r="RIX6" s="474"/>
      <c r="RIY6" s="473"/>
      <c r="RIZ6" s="474"/>
      <c r="RJA6" s="473"/>
      <c r="RJB6" s="474"/>
      <c r="RJC6" s="473"/>
      <c r="RJD6" s="474"/>
      <c r="RJE6" s="473"/>
      <c r="RJF6" s="474"/>
      <c r="RJG6" s="473"/>
      <c r="RJH6" s="474"/>
      <c r="RJI6" s="473"/>
      <c r="RJJ6" s="474"/>
      <c r="RJK6" s="473"/>
      <c r="RJL6" s="474"/>
      <c r="RJM6" s="473"/>
      <c r="RJN6" s="474"/>
      <c r="RJO6" s="473"/>
      <c r="RJP6" s="474"/>
      <c r="RJQ6" s="473"/>
      <c r="RJR6" s="474"/>
      <c r="RJS6" s="473"/>
      <c r="RJT6" s="474"/>
      <c r="RJU6" s="473"/>
      <c r="RJV6" s="474"/>
      <c r="RJW6" s="473"/>
      <c r="RJX6" s="474"/>
      <c r="RJY6" s="473"/>
      <c r="RJZ6" s="474"/>
      <c r="RKA6" s="473"/>
      <c r="RKB6" s="474"/>
      <c r="RKC6" s="473"/>
      <c r="RKD6" s="474"/>
      <c r="RKE6" s="473"/>
      <c r="RKF6" s="474"/>
      <c r="RKG6" s="473"/>
      <c r="RKH6" s="474"/>
      <c r="RKI6" s="473"/>
      <c r="RKJ6" s="474"/>
      <c r="RKK6" s="473"/>
      <c r="RKL6" s="474"/>
      <c r="RKM6" s="473"/>
      <c r="RKN6" s="474"/>
      <c r="RKO6" s="473"/>
      <c r="RKP6" s="474"/>
      <c r="RKQ6" s="473"/>
      <c r="RKR6" s="474"/>
      <c r="RKS6" s="473"/>
      <c r="RKT6" s="474"/>
      <c r="RKU6" s="473"/>
      <c r="RKV6" s="474"/>
      <c r="RKW6" s="473"/>
      <c r="RKX6" s="474"/>
      <c r="RKY6" s="473"/>
      <c r="RKZ6" s="474"/>
      <c r="RLA6" s="473"/>
      <c r="RLB6" s="474"/>
      <c r="RLC6" s="473"/>
      <c r="RLD6" s="474"/>
      <c r="RLE6" s="473"/>
      <c r="RLF6" s="474"/>
      <c r="RLG6" s="473"/>
      <c r="RLH6" s="474"/>
      <c r="RLI6" s="473"/>
      <c r="RLJ6" s="474"/>
      <c r="RLK6" s="473"/>
      <c r="RLL6" s="474"/>
      <c r="RLM6" s="473"/>
      <c r="RLN6" s="474"/>
      <c r="RLO6" s="473"/>
      <c r="RLP6" s="474"/>
      <c r="RLQ6" s="473"/>
      <c r="RLR6" s="474"/>
      <c r="RLS6" s="473"/>
      <c r="RLT6" s="474"/>
      <c r="RLU6" s="473"/>
      <c r="RLV6" s="474"/>
      <c r="RLW6" s="473"/>
      <c r="RLX6" s="474"/>
      <c r="RLY6" s="473"/>
      <c r="RLZ6" s="474"/>
      <c r="RMA6" s="473"/>
      <c r="RMB6" s="474"/>
      <c r="RMC6" s="473"/>
      <c r="RMD6" s="474"/>
      <c r="RME6" s="473"/>
      <c r="RMF6" s="474"/>
      <c r="RMG6" s="473"/>
      <c r="RMH6" s="474"/>
      <c r="RMI6" s="473"/>
      <c r="RMJ6" s="474"/>
      <c r="RMK6" s="473"/>
      <c r="RML6" s="474"/>
      <c r="RMM6" s="473"/>
      <c r="RMN6" s="474"/>
      <c r="RMO6" s="473"/>
      <c r="RMP6" s="474"/>
      <c r="RMQ6" s="473"/>
      <c r="RMR6" s="474"/>
      <c r="RMS6" s="473"/>
      <c r="RMT6" s="474"/>
      <c r="RMU6" s="473"/>
      <c r="RMV6" s="474"/>
      <c r="RMW6" s="473"/>
      <c r="RMX6" s="474"/>
      <c r="RMY6" s="473"/>
      <c r="RMZ6" s="474"/>
      <c r="RNA6" s="473"/>
      <c r="RNB6" s="474"/>
      <c r="RNC6" s="473"/>
      <c r="RND6" s="474"/>
      <c r="RNE6" s="473"/>
      <c r="RNF6" s="474"/>
      <c r="RNG6" s="473"/>
      <c r="RNH6" s="474"/>
      <c r="RNI6" s="473"/>
      <c r="RNJ6" s="474"/>
      <c r="RNK6" s="473"/>
      <c r="RNL6" s="474"/>
      <c r="RNM6" s="473"/>
      <c r="RNN6" s="474"/>
      <c r="RNO6" s="473"/>
      <c r="RNP6" s="474"/>
      <c r="RNQ6" s="473"/>
      <c r="RNR6" s="474"/>
      <c r="RNS6" s="473"/>
      <c r="RNT6" s="474"/>
      <c r="RNU6" s="473"/>
      <c r="RNV6" s="474"/>
      <c r="RNW6" s="473"/>
      <c r="RNX6" s="474"/>
      <c r="RNY6" s="473"/>
      <c r="RNZ6" s="474"/>
      <c r="ROA6" s="473"/>
      <c r="ROB6" s="474"/>
      <c r="ROC6" s="473"/>
      <c r="ROD6" s="474"/>
      <c r="ROE6" s="473"/>
      <c r="ROF6" s="474"/>
      <c r="ROG6" s="473"/>
      <c r="ROH6" s="474"/>
      <c r="ROI6" s="473"/>
      <c r="ROJ6" s="474"/>
      <c r="ROK6" s="473"/>
      <c r="ROL6" s="474"/>
      <c r="ROM6" s="473"/>
      <c r="RON6" s="474"/>
      <c r="ROO6" s="473"/>
      <c r="ROP6" s="474"/>
      <c r="ROQ6" s="473"/>
      <c r="ROR6" s="474"/>
      <c r="ROS6" s="473"/>
      <c r="ROT6" s="474"/>
      <c r="ROU6" s="473"/>
      <c r="ROV6" s="474"/>
      <c r="ROW6" s="473"/>
      <c r="ROX6" s="474"/>
      <c r="ROY6" s="473"/>
      <c r="ROZ6" s="474"/>
      <c r="RPA6" s="473"/>
      <c r="RPB6" s="474"/>
      <c r="RPC6" s="473"/>
      <c r="RPD6" s="474"/>
      <c r="RPE6" s="473"/>
      <c r="RPF6" s="474"/>
      <c r="RPG6" s="473"/>
      <c r="RPH6" s="474"/>
      <c r="RPI6" s="473"/>
      <c r="RPJ6" s="474"/>
      <c r="RPK6" s="473"/>
      <c r="RPL6" s="474"/>
      <c r="RPM6" s="473"/>
      <c r="RPN6" s="474"/>
      <c r="RPO6" s="473"/>
      <c r="RPP6" s="474"/>
      <c r="RPQ6" s="473"/>
      <c r="RPR6" s="474"/>
      <c r="RPS6" s="473"/>
      <c r="RPT6" s="474"/>
      <c r="RPU6" s="473"/>
      <c r="RPV6" s="474"/>
      <c r="RPW6" s="473"/>
      <c r="RPX6" s="474"/>
      <c r="RPY6" s="473"/>
      <c r="RPZ6" s="474"/>
      <c r="RQA6" s="473"/>
      <c r="RQB6" s="474"/>
      <c r="RQC6" s="473"/>
      <c r="RQD6" s="474"/>
      <c r="RQE6" s="473"/>
      <c r="RQF6" s="474"/>
      <c r="RQG6" s="473"/>
      <c r="RQH6" s="474"/>
      <c r="RQI6" s="473"/>
      <c r="RQJ6" s="474"/>
      <c r="RQK6" s="473"/>
      <c r="RQL6" s="474"/>
      <c r="RQM6" s="473"/>
      <c r="RQN6" s="474"/>
      <c r="RQO6" s="473"/>
      <c r="RQP6" s="474"/>
      <c r="RQQ6" s="473"/>
      <c r="RQR6" s="474"/>
      <c r="RQS6" s="473"/>
      <c r="RQT6" s="474"/>
      <c r="RQU6" s="473"/>
      <c r="RQV6" s="474"/>
      <c r="RQW6" s="473"/>
      <c r="RQX6" s="474"/>
      <c r="RQY6" s="473"/>
      <c r="RQZ6" s="474"/>
      <c r="RRA6" s="473"/>
      <c r="RRB6" s="474"/>
      <c r="RRC6" s="473"/>
      <c r="RRD6" s="474"/>
      <c r="RRE6" s="473"/>
      <c r="RRF6" s="474"/>
      <c r="RRG6" s="473"/>
      <c r="RRH6" s="474"/>
      <c r="RRI6" s="473"/>
      <c r="RRJ6" s="474"/>
      <c r="RRK6" s="473"/>
      <c r="RRL6" s="474"/>
      <c r="RRM6" s="473"/>
      <c r="RRN6" s="474"/>
      <c r="RRO6" s="473"/>
      <c r="RRP6" s="474"/>
      <c r="RRQ6" s="473"/>
      <c r="RRR6" s="474"/>
      <c r="RRS6" s="473"/>
      <c r="RRT6" s="474"/>
      <c r="RRU6" s="473"/>
      <c r="RRV6" s="474"/>
      <c r="RRW6" s="473"/>
      <c r="RRX6" s="474"/>
      <c r="RRY6" s="473"/>
      <c r="RRZ6" s="474"/>
      <c r="RSA6" s="473"/>
      <c r="RSB6" s="474"/>
      <c r="RSC6" s="473"/>
      <c r="RSD6" s="474"/>
      <c r="RSE6" s="473"/>
      <c r="RSF6" s="474"/>
      <c r="RSG6" s="473"/>
      <c r="RSH6" s="474"/>
      <c r="RSI6" s="473"/>
      <c r="RSJ6" s="474"/>
      <c r="RSK6" s="473"/>
      <c r="RSL6" s="474"/>
      <c r="RSM6" s="473"/>
      <c r="RSN6" s="474"/>
      <c r="RSO6" s="473"/>
      <c r="RSP6" s="474"/>
      <c r="RSQ6" s="473"/>
      <c r="RSR6" s="474"/>
      <c r="RSS6" s="473"/>
      <c r="RST6" s="474"/>
      <c r="RSU6" s="473"/>
      <c r="RSV6" s="474"/>
      <c r="RSW6" s="473"/>
      <c r="RSX6" s="474"/>
      <c r="RSY6" s="473"/>
      <c r="RSZ6" s="474"/>
      <c r="RTA6" s="473"/>
      <c r="RTB6" s="474"/>
      <c r="RTC6" s="473"/>
      <c r="RTD6" s="474"/>
      <c r="RTE6" s="473"/>
      <c r="RTF6" s="474"/>
      <c r="RTG6" s="473"/>
      <c r="RTH6" s="474"/>
      <c r="RTI6" s="473"/>
      <c r="RTJ6" s="474"/>
      <c r="RTK6" s="473"/>
      <c r="RTL6" s="474"/>
      <c r="RTM6" s="473"/>
      <c r="RTN6" s="474"/>
      <c r="RTO6" s="473"/>
      <c r="RTP6" s="474"/>
      <c r="RTQ6" s="473"/>
      <c r="RTR6" s="474"/>
      <c r="RTS6" s="473"/>
      <c r="RTT6" s="474"/>
      <c r="RTU6" s="473"/>
      <c r="RTV6" s="474"/>
      <c r="RTW6" s="473"/>
      <c r="RTX6" s="474"/>
      <c r="RTY6" s="473"/>
      <c r="RTZ6" s="474"/>
      <c r="RUA6" s="473"/>
      <c r="RUB6" s="474"/>
      <c r="RUC6" s="473"/>
      <c r="RUD6" s="474"/>
      <c r="RUE6" s="473"/>
      <c r="RUF6" s="474"/>
      <c r="RUG6" s="473"/>
      <c r="RUH6" s="474"/>
      <c r="RUI6" s="473"/>
      <c r="RUJ6" s="474"/>
      <c r="RUK6" s="473"/>
      <c r="RUL6" s="474"/>
      <c r="RUM6" s="473"/>
      <c r="RUN6" s="474"/>
      <c r="RUO6" s="473"/>
      <c r="RUP6" s="474"/>
      <c r="RUQ6" s="473"/>
      <c r="RUR6" s="474"/>
      <c r="RUS6" s="473"/>
      <c r="RUT6" s="474"/>
      <c r="RUU6" s="473"/>
      <c r="RUV6" s="474"/>
      <c r="RUW6" s="473"/>
      <c r="RUX6" s="474"/>
      <c r="RUY6" s="473"/>
      <c r="RUZ6" s="474"/>
      <c r="RVA6" s="473"/>
      <c r="RVB6" s="474"/>
      <c r="RVC6" s="473"/>
      <c r="RVD6" s="474"/>
      <c r="RVE6" s="473"/>
      <c r="RVF6" s="474"/>
      <c r="RVG6" s="473"/>
      <c r="RVH6" s="474"/>
      <c r="RVI6" s="473"/>
      <c r="RVJ6" s="474"/>
      <c r="RVK6" s="473"/>
      <c r="RVL6" s="474"/>
      <c r="RVM6" s="473"/>
      <c r="RVN6" s="474"/>
      <c r="RVO6" s="473"/>
      <c r="RVP6" s="474"/>
      <c r="RVQ6" s="473"/>
      <c r="RVR6" s="474"/>
      <c r="RVS6" s="473"/>
      <c r="RVT6" s="474"/>
      <c r="RVU6" s="473"/>
      <c r="RVV6" s="474"/>
      <c r="RVW6" s="473"/>
      <c r="RVX6" s="474"/>
      <c r="RVY6" s="473"/>
      <c r="RVZ6" s="474"/>
      <c r="RWA6" s="473"/>
      <c r="RWB6" s="474"/>
      <c r="RWC6" s="473"/>
      <c r="RWD6" s="474"/>
      <c r="RWE6" s="473"/>
      <c r="RWF6" s="474"/>
      <c r="RWG6" s="473"/>
      <c r="RWH6" s="474"/>
      <c r="RWI6" s="473"/>
      <c r="RWJ6" s="474"/>
      <c r="RWK6" s="473"/>
      <c r="RWL6" s="474"/>
      <c r="RWM6" s="473"/>
      <c r="RWN6" s="474"/>
      <c r="RWO6" s="473"/>
      <c r="RWP6" s="474"/>
      <c r="RWQ6" s="473"/>
      <c r="RWR6" s="474"/>
      <c r="RWS6" s="473"/>
      <c r="RWT6" s="474"/>
      <c r="RWU6" s="473"/>
      <c r="RWV6" s="474"/>
      <c r="RWW6" s="473"/>
      <c r="RWX6" s="474"/>
      <c r="RWY6" s="473"/>
      <c r="RWZ6" s="474"/>
      <c r="RXA6" s="473"/>
      <c r="RXB6" s="474"/>
      <c r="RXC6" s="473"/>
      <c r="RXD6" s="474"/>
      <c r="RXE6" s="473"/>
      <c r="RXF6" s="474"/>
      <c r="RXG6" s="473"/>
      <c r="RXH6" s="474"/>
      <c r="RXI6" s="473"/>
      <c r="RXJ6" s="474"/>
      <c r="RXK6" s="473"/>
      <c r="RXL6" s="474"/>
      <c r="RXM6" s="473"/>
      <c r="RXN6" s="474"/>
      <c r="RXO6" s="473"/>
      <c r="RXP6" s="474"/>
      <c r="RXQ6" s="473"/>
      <c r="RXR6" s="474"/>
      <c r="RXS6" s="473"/>
      <c r="RXT6" s="474"/>
      <c r="RXU6" s="473"/>
      <c r="RXV6" s="474"/>
      <c r="RXW6" s="473"/>
      <c r="RXX6" s="474"/>
      <c r="RXY6" s="473"/>
      <c r="RXZ6" s="474"/>
      <c r="RYA6" s="473"/>
      <c r="RYB6" s="474"/>
      <c r="RYC6" s="473"/>
      <c r="RYD6" s="474"/>
      <c r="RYE6" s="473"/>
      <c r="RYF6" s="474"/>
      <c r="RYG6" s="473"/>
      <c r="RYH6" s="474"/>
      <c r="RYI6" s="473"/>
      <c r="RYJ6" s="474"/>
      <c r="RYK6" s="473"/>
      <c r="RYL6" s="474"/>
      <c r="RYM6" s="473"/>
      <c r="RYN6" s="474"/>
      <c r="RYO6" s="473"/>
      <c r="RYP6" s="474"/>
      <c r="RYQ6" s="473"/>
      <c r="RYR6" s="474"/>
      <c r="RYS6" s="473"/>
      <c r="RYT6" s="474"/>
      <c r="RYU6" s="473"/>
      <c r="RYV6" s="474"/>
      <c r="RYW6" s="473"/>
      <c r="RYX6" s="474"/>
      <c r="RYY6" s="473"/>
      <c r="RYZ6" s="474"/>
      <c r="RZA6" s="473"/>
      <c r="RZB6" s="474"/>
      <c r="RZC6" s="473"/>
      <c r="RZD6" s="474"/>
      <c r="RZE6" s="473"/>
      <c r="RZF6" s="474"/>
      <c r="RZG6" s="473"/>
      <c r="RZH6" s="474"/>
      <c r="RZI6" s="473"/>
      <c r="RZJ6" s="474"/>
      <c r="RZK6" s="473"/>
      <c r="RZL6" s="474"/>
      <c r="RZM6" s="473"/>
      <c r="RZN6" s="474"/>
      <c r="RZO6" s="473"/>
      <c r="RZP6" s="474"/>
      <c r="RZQ6" s="473"/>
      <c r="RZR6" s="474"/>
      <c r="RZS6" s="473"/>
      <c r="RZT6" s="474"/>
      <c r="RZU6" s="473"/>
      <c r="RZV6" s="474"/>
      <c r="RZW6" s="473"/>
      <c r="RZX6" s="474"/>
      <c r="RZY6" s="473"/>
      <c r="RZZ6" s="474"/>
      <c r="SAA6" s="473"/>
      <c r="SAB6" s="474"/>
      <c r="SAC6" s="473"/>
      <c r="SAD6" s="474"/>
      <c r="SAE6" s="473"/>
      <c r="SAF6" s="474"/>
      <c r="SAG6" s="473"/>
      <c r="SAH6" s="474"/>
      <c r="SAI6" s="473"/>
      <c r="SAJ6" s="474"/>
      <c r="SAK6" s="473"/>
      <c r="SAL6" s="474"/>
      <c r="SAM6" s="473"/>
      <c r="SAN6" s="474"/>
      <c r="SAO6" s="473"/>
      <c r="SAP6" s="474"/>
      <c r="SAQ6" s="473"/>
      <c r="SAR6" s="474"/>
      <c r="SAS6" s="473"/>
      <c r="SAT6" s="474"/>
      <c r="SAU6" s="473"/>
      <c r="SAV6" s="474"/>
      <c r="SAW6" s="473"/>
      <c r="SAX6" s="474"/>
      <c r="SAY6" s="473"/>
      <c r="SAZ6" s="474"/>
      <c r="SBA6" s="473"/>
      <c r="SBB6" s="474"/>
      <c r="SBC6" s="473"/>
      <c r="SBD6" s="474"/>
      <c r="SBE6" s="473"/>
      <c r="SBF6" s="474"/>
      <c r="SBG6" s="473"/>
      <c r="SBH6" s="474"/>
      <c r="SBI6" s="473"/>
      <c r="SBJ6" s="474"/>
      <c r="SBK6" s="473"/>
      <c r="SBL6" s="474"/>
      <c r="SBM6" s="473"/>
      <c r="SBN6" s="474"/>
      <c r="SBO6" s="473"/>
      <c r="SBP6" s="474"/>
      <c r="SBQ6" s="473"/>
      <c r="SBR6" s="474"/>
      <c r="SBS6" s="473"/>
      <c r="SBT6" s="474"/>
      <c r="SBU6" s="473"/>
      <c r="SBV6" s="474"/>
      <c r="SBW6" s="473"/>
      <c r="SBX6" s="474"/>
      <c r="SBY6" s="473"/>
      <c r="SBZ6" s="474"/>
      <c r="SCA6" s="473"/>
      <c r="SCB6" s="474"/>
      <c r="SCC6" s="473"/>
      <c r="SCD6" s="474"/>
      <c r="SCE6" s="473"/>
      <c r="SCF6" s="474"/>
      <c r="SCG6" s="473"/>
      <c r="SCH6" s="474"/>
      <c r="SCI6" s="473"/>
      <c r="SCJ6" s="474"/>
      <c r="SCK6" s="473"/>
      <c r="SCL6" s="474"/>
      <c r="SCM6" s="473"/>
      <c r="SCN6" s="474"/>
      <c r="SCO6" s="473"/>
      <c r="SCP6" s="474"/>
      <c r="SCQ6" s="473"/>
      <c r="SCR6" s="474"/>
      <c r="SCS6" s="473"/>
      <c r="SCT6" s="474"/>
      <c r="SCU6" s="473"/>
      <c r="SCV6" s="474"/>
      <c r="SCW6" s="473"/>
      <c r="SCX6" s="474"/>
      <c r="SCY6" s="473"/>
      <c r="SCZ6" s="474"/>
      <c r="SDA6" s="473"/>
      <c r="SDB6" s="474"/>
      <c r="SDC6" s="473"/>
      <c r="SDD6" s="474"/>
      <c r="SDE6" s="473"/>
      <c r="SDF6" s="474"/>
      <c r="SDG6" s="473"/>
      <c r="SDH6" s="474"/>
      <c r="SDI6" s="473"/>
      <c r="SDJ6" s="474"/>
      <c r="SDK6" s="473"/>
      <c r="SDL6" s="474"/>
      <c r="SDM6" s="473"/>
      <c r="SDN6" s="474"/>
      <c r="SDO6" s="473"/>
      <c r="SDP6" s="474"/>
      <c r="SDQ6" s="473"/>
      <c r="SDR6" s="474"/>
      <c r="SDS6" s="473"/>
      <c r="SDT6" s="474"/>
      <c r="SDU6" s="473"/>
      <c r="SDV6" s="474"/>
      <c r="SDW6" s="473"/>
      <c r="SDX6" s="474"/>
      <c r="SDY6" s="473"/>
      <c r="SDZ6" s="474"/>
      <c r="SEA6" s="473"/>
      <c r="SEB6" s="474"/>
      <c r="SEC6" s="473"/>
      <c r="SED6" s="474"/>
      <c r="SEE6" s="473"/>
      <c r="SEF6" s="474"/>
      <c r="SEG6" s="473"/>
      <c r="SEH6" s="474"/>
      <c r="SEI6" s="473"/>
      <c r="SEJ6" s="474"/>
      <c r="SEK6" s="473"/>
      <c r="SEL6" s="474"/>
      <c r="SEM6" s="473"/>
      <c r="SEN6" s="474"/>
      <c r="SEO6" s="473"/>
      <c r="SEP6" s="474"/>
      <c r="SEQ6" s="473"/>
      <c r="SER6" s="474"/>
      <c r="SES6" s="473"/>
      <c r="SET6" s="474"/>
      <c r="SEU6" s="473"/>
      <c r="SEV6" s="474"/>
      <c r="SEW6" s="473"/>
      <c r="SEX6" s="474"/>
      <c r="SEY6" s="473"/>
      <c r="SEZ6" s="474"/>
      <c r="SFA6" s="473"/>
      <c r="SFB6" s="474"/>
      <c r="SFC6" s="473"/>
      <c r="SFD6" s="474"/>
      <c r="SFE6" s="473"/>
      <c r="SFF6" s="474"/>
      <c r="SFG6" s="473"/>
      <c r="SFH6" s="474"/>
      <c r="SFI6" s="473"/>
      <c r="SFJ6" s="474"/>
      <c r="SFK6" s="473"/>
      <c r="SFL6" s="474"/>
      <c r="SFM6" s="473"/>
      <c r="SFN6" s="474"/>
      <c r="SFO6" s="473"/>
      <c r="SFP6" s="474"/>
      <c r="SFQ6" s="473"/>
      <c r="SFR6" s="474"/>
      <c r="SFS6" s="473"/>
      <c r="SFT6" s="474"/>
      <c r="SFU6" s="473"/>
      <c r="SFV6" s="474"/>
      <c r="SFW6" s="473"/>
      <c r="SFX6" s="474"/>
      <c r="SFY6" s="473"/>
      <c r="SFZ6" s="474"/>
      <c r="SGA6" s="473"/>
      <c r="SGB6" s="474"/>
      <c r="SGC6" s="473"/>
      <c r="SGD6" s="474"/>
      <c r="SGE6" s="473"/>
      <c r="SGF6" s="474"/>
      <c r="SGG6" s="473"/>
      <c r="SGH6" s="474"/>
      <c r="SGI6" s="473"/>
      <c r="SGJ6" s="474"/>
      <c r="SGK6" s="473"/>
      <c r="SGL6" s="474"/>
      <c r="SGM6" s="473"/>
      <c r="SGN6" s="474"/>
      <c r="SGO6" s="473"/>
      <c r="SGP6" s="474"/>
      <c r="SGQ6" s="473"/>
      <c r="SGR6" s="474"/>
      <c r="SGS6" s="473"/>
      <c r="SGT6" s="474"/>
      <c r="SGU6" s="473"/>
      <c r="SGV6" s="474"/>
      <c r="SGW6" s="473"/>
      <c r="SGX6" s="474"/>
      <c r="SGY6" s="473"/>
      <c r="SGZ6" s="474"/>
      <c r="SHA6" s="473"/>
      <c r="SHB6" s="474"/>
      <c r="SHC6" s="473"/>
      <c r="SHD6" s="474"/>
      <c r="SHE6" s="473"/>
      <c r="SHF6" s="474"/>
      <c r="SHG6" s="473"/>
      <c r="SHH6" s="474"/>
      <c r="SHI6" s="473"/>
      <c r="SHJ6" s="474"/>
      <c r="SHK6" s="473"/>
      <c r="SHL6" s="474"/>
      <c r="SHM6" s="473"/>
      <c r="SHN6" s="474"/>
      <c r="SHO6" s="473"/>
      <c r="SHP6" s="474"/>
      <c r="SHQ6" s="473"/>
      <c r="SHR6" s="474"/>
      <c r="SHS6" s="473"/>
      <c r="SHT6" s="474"/>
      <c r="SHU6" s="473"/>
      <c r="SHV6" s="474"/>
      <c r="SHW6" s="473"/>
      <c r="SHX6" s="474"/>
      <c r="SHY6" s="473"/>
      <c r="SHZ6" s="474"/>
      <c r="SIA6" s="473"/>
      <c r="SIB6" s="474"/>
      <c r="SIC6" s="473"/>
      <c r="SID6" s="474"/>
      <c r="SIE6" s="473"/>
      <c r="SIF6" s="474"/>
      <c r="SIG6" s="473"/>
      <c r="SIH6" s="474"/>
      <c r="SII6" s="473"/>
      <c r="SIJ6" s="474"/>
      <c r="SIK6" s="473"/>
      <c r="SIL6" s="474"/>
      <c r="SIM6" s="473"/>
      <c r="SIN6" s="474"/>
      <c r="SIO6" s="473"/>
      <c r="SIP6" s="474"/>
      <c r="SIQ6" s="473"/>
      <c r="SIR6" s="474"/>
      <c r="SIS6" s="473"/>
      <c r="SIT6" s="474"/>
      <c r="SIU6" s="473"/>
      <c r="SIV6" s="474"/>
      <c r="SIW6" s="473"/>
      <c r="SIX6" s="474"/>
      <c r="SIY6" s="473"/>
      <c r="SIZ6" s="474"/>
      <c r="SJA6" s="473"/>
      <c r="SJB6" s="474"/>
      <c r="SJC6" s="473"/>
      <c r="SJD6" s="474"/>
      <c r="SJE6" s="473"/>
      <c r="SJF6" s="474"/>
      <c r="SJG6" s="473"/>
      <c r="SJH6" s="474"/>
      <c r="SJI6" s="473"/>
      <c r="SJJ6" s="474"/>
      <c r="SJK6" s="473"/>
      <c r="SJL6" s="474"/>
      <c r="SJM6" s="473"/>
      <c r="SJN6" s="474"/>
      <c r="SJO6" s="473"/>
      <c r="SJP6" s="474"/>
      <c r="SJQ6" s="473"/>
      <c r="SJR6" s="474"/>
      <c r="SJS6" s="473"/>
      <c r="SJT6" s="474"/>
      <c r="SJU6" s="473"/>
      <c r="SJV6" s="474"/>
      <c r="SJW6" s="473"/>
      <c r="SJX6" s="474"/>
      <c r="SJY6" s="473"/>
      <c r="SJZ6" s="474"/>
      <c r="SKA6" s="473"/>
      <c r="SKB6" s="474"/>
      <c r="SKC6" s="473"/>
      <c r="SKD6" s="474"/>
      <c r="SKE6" s="473"/>
      <c r="SKF6" s="474"/>
      <c r="SKG6" s="473"/>
      <c r="SKH6" s="474"/>
      <c r="SKI6" s="473"/>
      <c r="SKJ6" s="474"/>
      <c r="SKK6" s="473"/>
      <c r="SKL6" s="474"/>
      <c r="SKM6" s="473"/>
      <c r="SKN6" s="474"/>
      <c r="SKO6" s="473"/>
      <c r="SKP6" s="474"/>
      <c r="SKQ6" s="473"/>
      <c r="SKR6" s="474"/>
      <c r="SKS6" s="473"/>
      <c r="SKT6" s="474"/>
      <c r="SKU6" s="473"/>
      <c r="SKV6" s="474"/>
      <c r="SKW6" s="473"/>
      <c r="SKX6" s="474"/>
      <c r="SKY6" s="473"/>
      <c r="SKZ6" s="474"/>
      <c r="SLA6" s="473"/>
      <c r="SLB6" s="474"/>
      <c r="SLC6" s="473"/>
      <c r="SLD6" s="474"/>
      <c r="SLE6" s="473"/>
      <c r="SLF6" s="474"/>
      <c r="SLG6" s="473"/>
      <c r="SLH6" s="474"/>
      <c r="SLI6" s="473"/>
      <c r="SLJ6" s="474"/>
      <c r="SLK6" s="473"/>
      <c r="SLL6" s="474"/>
      <c r="SLM6" s="473"/>
      <c r="SLN6" s="474"/>
      <c r="SLO6" s="473"/>
      <c r="SLP6" s="474"/>
      <c r="SLQ6" s="473"/>
      <c r="SLR6" s="474"/>
      <c r="SLS6" s="473"/>
      <c r="SLT6" s="474"/>
      <c r="SLU6" s="473"/>
      <c r="SLV6" s="474"/>
      <c r="SLW6" s="473"/>
      <c r="SLX6" s="474"/>
      <c r="SLY6" s="473"/>
      <c r="SLZ6" s="474"/>
      <c r="SMA6" s="473"/>
      <c r="SMB6" s="474"/>
      <c r="SMC6" s="473"/>
      <c r="SMD6" s="474"/>
      <c r="SME6" s="473"/>
      <c r="SMF6" s="474"/>
      <c r="SMG6" s="473"/>
      <c r="SMH6" s="474"/>
      <c r="SMI6" s="473"/>
      <c r="SMJ6" s="474"/>
      <c r="SMK6" s="473"/>
      <c r="SML6" s="474"/>
      <c r="SMM6" s="473"/>
      <c r="SMN6" s="474"/>
      <c r="SMO6" s="473"/>
      <c r="SMP6" s="474"/>
      <c r="SMQ6" s="473"/>
      <c r="SMR6" s="474"/>
      <c r="SMS6" s="473"/>
      <c r="SMT6" s="474"/>
      <c r="SMU6" s="473"/>
      <c r="SMV6" s="474"/>
      <c r="SMW6" s="473"/>
      <c r="SMX6" s="474"/>
      <c r="SMY6" s="473"/>
      <c r="SMZ6" s="474"/>
      <c r="SNA6" s="473"/>
      <c r="SNB6" s="474"/>
      <c r="SNC6" s="473"/>
      <c r="SND6" s="474"/>
      <c r="SNE6" s="473"/>
      <c r="SNF6" s="474"/>
      <c r="SNG6" s="473"/>
      <c r="SNH6" s="474"/>
      <c r="SNI6" s="473"/>
      <c r="SNJ6" s="474"/>
      <c r="SNK6" s="473"/>
      <c r="SNL6" s="474"/>
      <c r="SNM6" s="473"/>
      <c r="SNN6" s="474"/>
      <c r="SNO6" s="473"/>
      <c r="SNP6" s="474"/>
      <c r="SNQ6" s="473"/>
      <c r="SNR6" s="474"/>
      <c r="SNS6" s="473"/>
      <c r="SNT6" s="474"/>
      <c r="SNU6" s="473"/>
      <c r="SNV6" s="474"/>
      <c r="SNW6" s="473"/>
      <c r="SNX6" s="474"/>
      <c r="SNY6" s="473"/>
      <c r="SNZ6" s="474"/>
      <c r="SOA6" s="473"/>
      <c r="SOB6" s="474"/>
      <c r="SOC6" s="473"/>
      <c r="SOD6" s="474"/>
      <c r="SOE6" s="473"/>
      <c r="SOF6" s="474"/>
      <c r="SOG6" s="473"/>
      <c r="SOH6" s="474"/>
      <c r="SOI6" s="473"/>
      <c r="SOJ6" s="474"/>
      <c r="SOK6" s="473"/>
      <c r="SOL6" s="474"/>
      <c r="SOM6" s="473"/>
      <c r="SON6" s="474"/>
      <c r="SOO6" s="473"/>
      <c r="SOP6" s="474"/>
      <c r="SOQ6" s="473"/>
      <c r="SOR6" s="474"/>
      <c r="SOS6" s="473"/>
      <c r="SOT6" s="474"/>
      <c r="SOU6" s="473"/>
      <c r="SOV6" s="474"/>
      <c r="SOW6" s="473"/>
      <c r="SOX6" s="474"/>
      <c r="SOY6" s="473"/>
      <c r="SOZ6" s="474"/>
      <c r="SPA6" s="473"/>
      <c r="SPB6" s="474"/>
      <c r="SPC6" s="473"/>
      <c r="SPD6" s="474"/>
      <c r="SPE6" s="473"/>
      <c r="SPF6" s="474"/>
      <c r="SPG6" s="473"/>
      <c r="SPH6" s="474"/>
      <c r="SPI6" s="473"/>
      <c r="SPJ6" s="474"/>
      <c r="SPK6" s="473"/>
      <c r="SPL6" s="474"/>
      <c r="SPM6" s="473"/>
      <c r="SPN6" s="474"/>
      <c r="SPO6" s="473"/>
      <c r="SPP6" s="474"/>
      <c r="SPQ6" s="473"/>
      <c r="SPR6" s="474"/>
      <c r="SPS6" s="473"/>
      <c r="SPT6" s="474"/>
      <c r="SPU6" s="473"/>
      <c r="SPV6" s="474"/>
      <c r="SPW6" s="473"/>
      <c r="SPX6" s="474"/>
      <c r="SPY6" s="473"/>
      <c r="SPZ6" s="474"/>
      <c r="SQA6" s="473"/>
      <c r="SQB6" s="474"/>
      <c r="SQC6" s="473"/>
      <c r="SQD6" s="474"/>
      <c r="SQE6" s="473"/>
      <c r="SQF6" s="474"/>
      <c r="SQG6" s="473"/>
      <c r="SQH6" s="474"/>
      <c r="SQI6" s="473"/>
      <c r="SQJ6" s="474"/>
      <c r="SQK6" s="473"/>
      <c r="SQL6" s="474"/>
      <c r="SQM6" s="473"/>
      <c r="SQN6" s="474"/>
      <c r="SQO6" s="473"/>
      <c r="SQP6" s="474"/>
      <c r="SQQ6" s="473"/>
      <c r="SQR6" s="474"/>
      <c r="SQS6" s="473"/>
      <c r="SQT6" s="474"/>
      <c r="SQU6" s="473"/>
      <c r="SQV6" s="474"/>
      <c r="SQW6" s="473"/>
      <c r="SQX6" s="474"/>
      <c r="SQY6" s="473"/>
      <c r="SQZ6" s="474"/>
      <c r="SRA6" s="473"/>
      <c r="SRB6" s="474"/>
      <c r="SRC6" s="473"/>
      <c r="SRD6" s="474"/>
      <c r="SRE6" s="473"/>
      <c r="SRF6" s="474"/>
      <c r="SRG6" s="473"/>
      <c r="SRH6" s="474"/>
      <c r="SRI6" s="473"/>
      <c r="SRJ6" s="474"/>
      <c r="SRK6" s="473"/>
      <c r="SRL6" s="474"/>
      <c r="SRM6" s="473"/>
      <c r="SRN6" s="474"/>
      <c r="SRO6" s="473"/>
      <c r="SRP6" s="474"/>
      <c r="SRQ6" s="473"/>
      <c r="SRR6" s="474"/>
      <c r="SRS6" s="473"/>
      <c r="SRT6" s="474"/>
      <c r="SRU6" s="473"/>
      <c r="SRV6" s="474"/>
      <c r="SRW6" s="473"/>
      <c r="SRX6" s="474"/>
      <c r="SRY6" s="473"/>
      <c r="SRZ6" s="474"/>
      <c r="SSA6" s="473"/>
      <c r="SSB6" s="474"/>
      <c r="SSC6" s="473"/>
      <c r="SSD6" s="474"/>
      <c r="SSE6" s="473"/>
      <c r="SSF6" s="474"/>
      <c r="SSG6" s="473"/>
      <c r="SSH6" s="474"/>
      <c r="SSI6" s="473"/>
      <c r="SSJ6" s="474"/>
      <c r="SSK6" s="473"/>
      <c r="SSL6" s="474"/>
      <c r="SSM6" s="473"/>
      <c r="SSN6" s="474"/>
      <c r="SSO6" s="473"/>
      <c r="SSP6" s="474"/>
      <c r="SSQ6" s="473"/>
      <c r="SSR6" s="474"/>
      <c r="SSS6" s="473"/>
      <c r="SST6" s="474"/>
      <c r="SSU6" s="473"/>
      <c r="SSV6" s="474"/>
      <c r="SSW6" s="473"/>
      <c r="SSX6" s="474"/>
      <c r="SSY6" s="473"/>
      <c r="SSZ6" s="474"/>
      <c r="STA6" s="473"/>
      <c r="STB6" s="474"/>
      <c r="STC6" s="473"/>
      <c r="STD6" s="474"/>
      <c r="STE6" s="473"/>
      <c r="STF6" s="474"/>
      <c r="STG6" s="473"/>
      <c r="STH6" s="474"/>
      <c r="STI6" s="473"/>
      <c r="STJ6" s="474"/>
      <c r="STK6" s="473"/>
      <c r="STL6" s="474"/>
      <c r="STM6" s="473"/>
      <c r="STN6" s="474"/>
      <c r="STO6" s="473"/>
      <c r="STP6" s="474"/>
      <c r="STQ6" s="473"/>
      <c r="STR6" s="474"/>
      <c r="STS6" s="473"/>
      <c r="STT6" s="474"/>
      <c r="STU6" s="473"/>
      <c r="STV6" s="474"/>
      <c r="STW6" s="473"/>
      <c r="STX6" s="474"/>
      <c r="STY6" s="473"/>
      <c r="STZ6" s="474"/>
      <c r="SUA6" s="473"/>
      <c r="SUB6" s="474"/>
      <c r="SUC6" s="473"/>
      <c r="SUD6" s="474"/>
      <c r="SUE6" s="473"/>
      <c r="SUF6" s="474"/>
      <c r="SUG6" s="473"/>
      <c r="SUH6" s="474"/>
      <c r="SUI6" s="473"/>
      <c r="SUJ6" s="474"/>
      <c r="SUK6" s="473"/>
      <c r="SUL6" s="474"/>
      <c r="SUM6" s="473"/>
      <c r="SUN6" s="474"/>
      <c r="SUO6" s="473"/>
      <c r="SUP6" s="474"/>
      <c r="SUQ6" s="473"/>
      <c r="SUR6" s="474"/>
      <c r="SUS6" s="473"/>
      <c r="SUT6" s="474"/>
      <c r="SUU6" s="473"/>
      <c r="SUV6" s="474"/>
      <c r="SUW6" s="473"/>
      <c r="SUX6" s="474"/>
      <c r="SUY6" s="473"/>
      <c r="SUZ6" s="474"/>
      <c r="SVA6" s="473"/>
      <c r="SVB6" s="474"/>
      <c r="SVC6" s="473"/>
      <c r="SVD6" s="474"/>
      <c r="SVE6" s="473"/>
      <c r="SVF6" s="474"/>
      <c r="SVG6" s="473"/>
      <c r="SVH6" s="474"/>
      <c r="SVI6" s="473"/>
      <c r="SVJ6" s="474"/>
      <c r="SVK6" s="473"/>
      <c r="SVL6" s="474"/>
      <c r="SVM6" s="473"/>
      <c r="SVN6" s="474"/>
      <c r="SVO6" s="473"/>
      <c r="SVP6" s="474"/>
      <c r="SVQ6" s="473"/>
      <c r="SVR6" s="474"/>
      <c r="SVS6" s="473"/>
      <c r="SVT6" s="474"/>
      <c r="SVU6" s="473"/>
      <c r="SVV6" s="474"/>
      <c r="SVW6" s="473"/>
      <c r="SVX6" s="474"/>
      <c r="SVY6" s="473"/>
      <c r="SVZ6" s="474"/>
      <c r="SWA6" s="473"/>
      <c r="SWB6" s="474"/>
      <c r="SWC6" s="473"/>
      <c r="SWD6" s="474"/>
      <c r="SWE6" s="473"/>
      <c r="SWF6" s="474"/>
      <c r="SWG6" s="473"/>
      <c r="SWH6" s="474"/>
      <c r="SWI6" s="473"/>
      <c r="SWJ6" s="474"/>
      <c r="SWK6" s="473"/>
      <c r="SWL6" s="474"/>
      <c r="SWM6" s="473"/>
      <c r="SWN6" s="474"/>
      <c r="SWO6" s="473"/>
      <c r="SWP6" s="474"/>
      <c r="SWQ6" s="473"/>
      <c r="SWR6" s="474"/>
      <c r="SWS6" s="473"/>
      <c r="SWT6" s="474"/>
      <c r="SWU6" s="473"/>
      <c r="SWV6" s="474"/>
      <c r="SWW6" s="473"/>
      <c r="SWX6" s="474"/>
      <c r="SWY6" s="473"/>
      <c r="SWZ6" s="474"/>
      <c r="SXA6" s="473"/>
      <c r="SXB6" s="474"/>
      <c r="SXC6" s="473"/>
      <c r="SXD6" s="474"/>
      <c r="SXE6" s="473"/>
      <c r="SXF6" s="474"/>
      <c r="SXG6" s="473"/>
      <c r="SXH6" s="474"/>
      <c r="SXI6" s="473"/>
      <c r="SXJ6" s="474"/>
      <c r="SXK6" s="473"/>
      <c r="SXL6" s="474"/>
      <c r="SXM6" s="473"/>
      <c r="SXN6" s="474"/>
      <c r="SXO6" s="473"/>
      <c r="SXP6" s="474"/>
      <c r="SXQ6" s="473"/>
      <c r="SXR6" s="474"/>
      <c r="SXS6" s="473"/>
      <c r="SXT6" s="474"/>
      <c r="SXU6" s="473"/>
      <c r="SXV6" s="474"/>
      <c r="SXW6" s="473"/>
      <c r="SXX6" s="474"/>
      <c r="SXY6" s="473"/>
      <c r="SXZ6" s="474"/>
      <c r="SYA6" s="473"/>
      <c r="SYB6" s="474"/>
      <c r="SYC6" s="473"/>
      <c r="SYD6" s="474"/>
      <c r="SYE6" s="473"/>
      <c r="SYF6" s="474"/>
      <c r="SYG6" s="473"/>
      <c r="SYH6" s="474"/>
      <c r="SYI6" s="473"/>
      <c r="SYJ6" s="474"/>
      <c r="SYK6" s="473"/>
      <c r="SYL6" s="474"/>
      <c r="SYM6" s="473"/>
      <c r="SYN6" s="474"/>
      <c r="SYO6" s="473"/>
      <c r="SYP6" s="474"/>
      <c r="SYQ6" s="473"/>
      <c r="SYR6" s="474"/>
      <c r="SYS6" s="473"/>
      <c r="SYT6" s="474"/>
      <c r="SYU6" s="473"/>
      <c r="SYV6" s="474"/>
      <c r="SYW6" s="473"/>
      <c r="SYX6" s="474"/>
      <c r="SYY6" s="473"/>
      <c r="SYZ6" s="474"/>
      <c r="SZA6" s="473"/>
      <c r="SZB6" s="474"/>
      <c r="SZC6" s="473"/>
      <c r="SZD6" s="474"/>
      <c r="SZE6" s="473"/>
      <c r="SZF6" s="474"/>
      <c r="SZG6" s="473"/>
      <c r="SZH6" s="474"/>
      <c r="SZI6" s="473"/>
      <c r="SZJ6" s="474"/>
      <c r="SZK6" s="473"/>
      <c r="SZL6" s="474"/>
      <c r="SZM6" s="473"/>
      <c r="SZN6" s="474"/>
      <c r="SZO6" s="473"/>
      <c r="SZP6" s="474"/>
      <c r="SZQ6" s="473"/>
      <c r="SZR6" s="474"/>
      <c r="SZS6" s="473"/>
      <c r="SZT6" s="474"/>
      <c r="SZU6" s="473"/>
      <c r="SZV6" s="474"/>
      <c r="SZW6" s="473"/>
      <c r="SZX6" s="474"/>
      <c r="SZY6" s="473"/>
      <c r="SZZ6" s="474"/>
      <c r="TAA6" s="473"/>
      <c r="TAB6" s="474"/>
      <c r="TAC6" s="473"/>
      <c r="TAD6" s="474"/>
      <c r="TAE6" s="473"/>
      <c r="TAF6" s="474"/>
      <c r="TAG6" s="473"/>
      <c r="TAH6" s="474"/>
      <c r="TAI6" s="473"/>
      <c r="TAJ6" s="474"/>
      <c r="TAK6" s="473"/>
      <c r="TAL6" s="474"/>
      <c r="TAM6" s="473"/>
      <c r="TAN6" s="474"/>
      <c r="TAO6" s="473"/>
      <c r="TAP6" s="474"/>
      <c r="TAQ6" s="473"/>
      <c r="TAR6" s="474"/>
      <c r="TAS6" s="473"/>
      <c r="TAT6" s="474"/>
      <c r="TAU6" s="473"/>
      <c r="TAV6" s="474"/>
      <c r="TAW6" s="473"/>
      <c r="TAX6" s="474"/>
      <c r="TAY6" s="473"/>
      <c r="TAZ6" s="474"/>
      <c r="TBA6" s="473"/>
      <c r="TBB6" s="474"/>
      <c r="TBC6" s="473"/>
      <c r="TBD6" s="474"/>
      <c r="TBE6" s="473"/>
      <c r="TBF6" s="474"/>
      <c r="TBG6" s="473"/>
      <c r="TBH6" s="474"/>
      <c r="TBI6" s="473"/>
      <c r="TBJ6" s="474"/>
      <c r="TBK6" s="473"/>
      <c r="TBL6" s="474"/>
      <c r="TBM6" s="473"/>
      <c r="TBN6" s="474"/>
      <c r="TBO6" s="473"/>
      <c r="TBP6" s="474"/>
      <c r="TBQ6" s="473"/>
      <c r="TBR6" s="474"/>
      <c r="TBS6" s="473"/>
      <c r="TBT6" s="474"/>
      <c r="TBU6" s="473"/>
      <c r="TBV6" s="474"/>
      <c r="TBW6" s="473"/>
      <c r="TBX6" s="474"/>
      <c r="TBY6" s="473"/>
      <c r="TBZ6" s="474"/>
      <c r="TCA6" s="473"/>
      <c r="TCB6" s="474"/>
      <c r="TCC6" s="473"/>
      <c r="TCD6" s="474"/>
      <c r="TCE6" s="473"/>
      <c r="TCF6" s="474"/>
      <c r="TCG6" s="473"/>
      <c r="TCH6" s="474"/>
      <c r="TCI6" s="473"/>
      <c r="TCJ6" s="474"/>
      <c r="TCK6" s="473"/>
      <c r="TCL6" s="474"/>
      <c r="TCM6" s="473"/>
      <c r="TCN6" s="474"/>
      <c r="TCO6" s="473"/>
      <c r="TCP6" s="474"/>
      <c r="TCQ6" s="473"/>
      <c r="TCR6" s="474"/>
      <c r="TCS6" s="473"/>
      <c r="TCT6" s="474"/>
      <c r="TCU6" s="473"/>
      <c r="TCV6" s="474"/>
      <c r="TCW6" s="473"/>
      <c r="TCX6" s="474"/>
      <c r="TCY6" s="473"/>
      <c r="TCZ6" s="474"/>
      <c r="TDA6" s="473"/>
      <c r="TDB6" s="474"/>
      <c r="TDC6" s="473"/>
      <c r="TDD6" s="474"/>
      <c r="TDE6" s="473"/>
      <c r="TDF6" s="474"/>
      <c r="TDG6" s="473"/>
      <c r="TDH6" s="474"/>
      <c r="TDI6" s="473"/>
      <c r="TDJ6" s="474"/>
      <c r="TDK6" s="473"/>
      <c r="TDL6" s="474"/>
      <c r="TDM6" s="473"/>
      <c r="TDN6" s="474"/>
      <c r="TDO6" s="473"/>
      <c r="TDP6" s="474"/>
      <c r="TDQ6" s="473"/>
      <c r="TDR6" s="474"/>
      <c r="TDS6" s="473"/>
      <c r="TDT6" s="474"/>
      <c r="TDU6" s="473"/>
      <c r="TDV6" s="474"/>
      <c r="TDW6" s="473"/>
      <c r="TDX6" s="474"/>
      <c r="TDY6" s="473"/>
      <c r="TDZ6" s="474"/>
      <c r="TEA6" s="473"/>
      <c r="TEB6" s="474"/>
      <c r="TEC6" s="473"/>
      <c r="TED6" s="474"/>
      <c r="TEE6" s="473"/>
      <c r="TEF6" s="474"/>
      <c r="TEG6" s="473"/>
      <c r="TEH6" s="474"/>
      <c r="TEI6" s="473"/>
      <c r="TEJ6" s="474"/>
      <c r="TEK6" s="473"/>
      <c r="TEL6" s="474"/>
      <c r="TEM6" s="473"/>
      <c r="TEN6" s="474"/>
      <c r="TEO6" s="473"/>
      <c r="TEP6" s="474"/>
      <c r="TEQ6" s="473"/>
      <c r="TER6" s="474"/>
      <c r="TES6" s="473"/>
      <c r="TET6" s="474"/>
      <c r="TEU6" s="473"/>
      <c r="TEV6" s="474"/>
      <c r="TEW6" s="473"/>
      <c r="TEX6" s="474"/>
      <c r="TEY6" s="473"/>
      <c r="TEZ6" s="474"/>
      <c r="TFA6" s="473"/>
      <c r="TFB6" s="474"/>
      <c r="TFC6" s="473"/>
      <c r="TFD6" s="474"/>
      <c r="TFE6" s="473"/>
      <c r="TFF6" s="474"/>
      <c r="TFG6" s="473"/>
      <c r="TFH6" s="474"/>
      <c r="TFI6" s="473"/>
      <c r="TFJ6" s="474"/>
      <c r="TFK6" s="473"/>
      <c r="TFL6" s="474"/>
      <c r="TFM6" s="473"/>
      <c r="TFN6" s="474"/>
      <c r="TFO6" s="473"/>
      <c r="TFP6" s="474"/>
      <c r="TFQ6" s="473"/>
      <c r="TFR6" s="474"/>
      <c r="TFS6" s="473"/>
      <c r="TFT6" s="474"/>
      <c r="TFU6" s="473"/>
      <c r="TFV6" s="474"/>
      <c r="TFW6" s="473"/>
      <c r="TFX6" s="474"/>
      <c r="TFY6" s="473"/>
      <c r="TFZ6" s="474"/>
      <c r="TGA6" s="473"/>
      <c r="TGB6" s="474"/>
      <c r="TGC6" s="473"/>
      <c r="TGD6" s="474"/>
      <c r="TGE6" s="473"/>
      <c r="TGF6" s="474"/>
      <c r="TGG6" s="473"/>
      <c r="TGH6" s="474"/>
      <c r="TGI6" s="473"/>
      <c r="TGJ6" s="474"/>
      <c r="TGK6" s="473"/>
      <c r="TGL6" s="474"/>
      <c r="TGM6" s="473"/>
      <c r="TGN6" s="474"/>
      <c r="TGO6" s="473"/>
      <c r="TGP6" s="474"/>
      <c r="TGQ6" s="473"/>
      <c r="TGR6" s="474"/>
      <c r="TGS6" s="473"/>
      <c r="TGT6" s="474"/>
      <c r="TGU6" s="473"/>
      <c r="TGV6" s="474"/>
      <c r="TGW6" s="473"/>
      <c r="TGX6" s="474"/>
      <c r="TGY6" s="473"/>
      <c r="TGZ6" s="474"/>
      <c r="THA6" s="473"/>
      <c r="THB6" s="474"/>
      <c r="THC6" s="473"/>
      <c r="THD6" s="474"/>
      <c r="THE6" s="473"/>
      <c r="THF6" s="474"/>
      <c r="THG6" s="473"/>
      <c r="THH6" s="474"/>
      <c r="THI6" s="473"/>
      <c r="THJ6" s="474"/>
      <c r="THK6" s="473"/>
      <c r="THL6" s="474"/>
      <c r="THM6" s="473"/>
      <c r="THN6" s="474"/>
      <c r="THO6" s="473"/>
      <c r="THP6" s="474"/>
      <c r="THQ6" s="473"/>
      <c r="THR6" s="474"/>
      <c r="THS6" s="473"/>
      <c r="THT6" s="474"/>
      <c r="THU6" s="473"/>
      <c r="THV6" s="474"/>
      <c r="THW6" s="473"/>
      <c r="THX6" s="474"/>
      <c r="THY6" s="473"/>
      <c r="THZ6" s="474"/>
      <c r="TIA6" s="473"/>
      <c r="TIB6" s="474"/>
      <c r="TIC6" s="473"/>
      <c r="TID6" s="474"/>
      <c r="TIE6" s="473"/>
      <c r="TIF6" s="474"/>
      <c r="TIG6" s="473"/>
      <c r="TIH6" s="474"/>
      <c r="TII6" s="473"/>
      <c r="TIJ6" s="474"/>
      <c r="TIK6" s="473"/>
      <c r="TIL6" s="474"/>
      <c r="TIM6" s="473"/>
      <c r="TIN6" s="474"/>
      <c r="TIO6" s="473"/>
      <c r="TIP6" s="474"/>
      <c r="TIQ6" s="473"/>
      <c r="TIR6" s="474"/>
      <c r="TIS6" s="473"/>
      <c r="TIT6" s="474"/>
      <c r="TIU6" s="473"/>
      <c r="TIV6" s="474"/>
      <c r="TIW6" s="473"/>
      <c r="TIX6" s="474"/>
      <c r="TIY6" s="473"/>
      <c r="TIZ6" s="474"/>
      <c r="TJA6" s="473"/>
      <c r="TJB6" s="474"/>
      <c r="TJC6" s="473"/>
      <c r="TJD6" s="474"/>
      <c r="TJE6" s="473"/>
      <c r="TJF6" s="474"/>
      <c r="TJG6" s="473"/>
      <c r="TJH6" s="474"/>
      <c r="TJI6" s="473"/>
      <c r="TJJ6" s="474"/>
      <c r="TJK6" s="473"/>
      <c r="TJL6" s="474"/>
      <c r="TJM6" s="473"/>
      <c r="TJN6" s="474"/>
      <c r="TJO6" s="473"/>
      <c r="TJP6" s="474"/>
      <c r="TJQ6" s="473"/>
      <c r="TJR6" s="474"/>
      <c r="TJS6" s="473"/>
      <c r="TJT6" s="474"/>
      <c r="TJU6" s="473"/>
      <c r="TJV6" s="474"/>
      <c r="TJW6" s="473"/>
      <c r="TJX6" s="474"/>
      <c r="TJY6" s="473"/>
      <c r="TJZ6" s="474"/>
      <c r="TKA6" s="473"/>
      <c r="TKB6" s="474"/>
      <c r="TKC6" s="473"/>
      <c r="TKD6" s="474"/>
      <c r="TKE6" s="473"/>
      <c r="TKF6" s="474"/>
      <c r="TKG6" s="473"/>
      <c r="TKH6" s="474"/>
      <c r="TKI6" s="473"/>
      <c r="TKJ6" s="474"/>
      <c r="TKK6" s="473"/>
      <c r="TKL6" s="474"/>
      <c r="TKM6" s="473"/>
      <c r="TKN6" s="474"/>
      <c r="TKO6" s="473"/>
      <c r="TKP6" s="474"/>
      <c r="TKQ6" s="473"/>
      <c r="TKR6" s="474"/>
      <c r="TKS6" s="473"/>
      <c r="TKT6" s="474"/>
      <c r="TKU6" s="473"/>
      <c r="TKV6" s="474"/>
      <c r="TKW6" s="473"/>
      <c r="TKX6" s="474"/>
      <c r="TKY6" s="473"/>
      <c r="TKZ6" s="474"/>
      <c r="TLA6" s="473"/>
      <c r="TLB6" s="474"/>
      <c r="TLC6" s="473"/>
      <c r="TLD6" s="474"/>
      <c r="TLE6" s="473"/>
      <c r="TLF6" s="474"/>
      <c r="TLG6" s="473"/>
      <c r="TLH6" s="474"/>
      <c r="TLI6" s="473"/>
      <c r="TLJ6" s="474"/>
      <c r="TLK6" s="473"/>
      <c r="TLL6" s="474"/>
      <c r="TLM6" s="473"/>
      <c r="TLN6" s="474"/>
      <c r="TLO6" s="473"/>
      <c r="TLP6" s="474"/>
      <c r="TLQ6" s="473"/>
      <c r="TLR6" s="474"/>
      <c r="TLS6" s="473"/>
      <c r="TLT6" s="474"/>
      <c r="TLU6" s="473"/>
      <c r="TLV6" s="474"/>
      <c r="TLW6" s="473"/>
      <c r="TLX6" s="474"/>
      <c r="TLY6" s="473"/>
      <c r="TLZ6" s="474"/>
      <c r="TMA6" s="473"/>
      <c r="TMB6" s="474"/>
      <c r="TMC6" s="473"/>
      <c r="TMD6" s="474"/>
      <c r="TME6" s="473"/>
      <c r="TMF6" s="474"/>
      <c r="TMG6" s="473"/>
      <c r="TMH6" s="474"/>
      <c r="TMI6" s="473"/>
      <c r="TMJ6" s="474"/>
      <c r="TMK6" s="473"/>
      <c r="TML6" s="474"/>
      <c r="TMM6" s="473"/>
      <c r="TMN6" s="474"/>
      <c r="TMO6" s="473"/>
      <c r="TMP6" s="474"/>
      <c r="TMQ6" s="473"/>
      <c r="TMR6" s="474"/>
      <c r="TMS6" s="473"/>
      <c r="TMT6" s="474"/>
      <c r="TMU6" s="473"/>
      <c r="TMV6" s="474"/>
      <c r="TMW6" s="473"/>
      <c r="TMX6" s="474"/>
      <c r="TMY6" s="473"/>
      <c r="TMZ6" s="474"/>
      <c r="TNA6" s="473"/>
      <c r="TNB6" s="474"/>
      <c r="TNC6" s="473"/>
      <c r="TND6" s="474"/>
      <c r="TNE6" s="473"/>
      <c r="TNF6" s="474"/>
      <c r="TNG6" s="473"/>
      <c r="TNH6" s="474"/>
      <c r="TNI6" s="473"/>
      <c r="TNJ6" s="474"/>
      <c r="TNK6" s="473"/>
      <c r="TNL6" s="474"/>
      <c r="TNM6" s="473"/>
      <c r="TNN6" s="474"/>
      <c r="TNO6" s="473"/>
      <c r="TNP6" s="474"/>
      <c r="TNQ6" s="473"/>
      <c r="TNR6" s="474"/>
      <c r="TNS6" s="473"/>
      <c r="TNT6" s="474"/>
      <c r="TNU6" s="473"/>
      <c r="TNV6" s="474"/>
      <c r="TNW6" s="473"/>
      <c r="TNX6" s="474"/>
      <c r="TNY6" s="473"/>
      <c r="TNZ6" s="474"/>
      <c r="TOA6" s="473"/>
      <c r="TOB6" s="474"/>
      <c r="TOC6" s="473"/>
      <c r="TOD6" s="474"/>
      <c r="TOE6" s="473"/>
      <c r="TOF6" s="474"/>
      <c r="TOG6" s="473"/>
      <c r="TOH6" s="474"/>
      <c r="TOI6" s="473"/>
      <c r="TOJ6" s="474"/>
      <c r="TOK6" s="473"/>
      <c r="TOL6" s="474"/>
      <c r="TOM6" s="473"/>
      <c r="TON6" s="474"/>
      <c r="TOO6" s="473"/>
      <c r="TOP6" s="474"/>
      <c r="TOQ6" s="473"/>
      <c r="TOR6" s="474"/>
      <c r="TOS6" s="473"/>
      <c r="TOT6" s="474"/>
      <c r="TOU6" s="473"/>
      <c r="TOV6" s="474"/>
      <c r="TOW6" s="473"/>
      <c r="TOX6" s="474"/>
      <c r="TOY6" s="473"/>
      <c r="TOZ6" s="474"/>
      <c r="TPA6" s="473"/>
      <c r="TPB6" s="474"/>
      <c r="TPC6" s="473"/>
      <c r="TPD6" s="474"/>
      <c r="TPE6" s="473"/>
      <c r="TPF6" s="474"/>
      <c r="TPG6" s="473"/>
      <c r="TPH6" s="474"/>
      <c r="TPI6" s="473"/>
      <c r="TPJ6" s="474"/>
      <c r="TPK6" s="473"/>
      <c r="TPL6" s="474"/>
      <c r="TPM6" s="473"/>
      <c r="TPN6" s="474"/>
      <c r="TPO6" s="473"/>
      <c r="TPP6" s="474"/>
      <c r="TPQ6" s="473"/>
      <c r="TPR6" s="474"/>
      <c r="TPS6" s="473"/>
      <c r="TPT6" s="474"/>
      <c r="TPU6" s="473"/>
      <c r="TPV6" s="474"/>
      <c r="TPW6" s="473"/>
      <c r="TPX6" s="474"/>
      <c r="TPY6" s="473"/>
      <c r="TPZ6" s="474"/>
      <c r="TQA6" s="473"/>
      <c r="TQB6" s="474"/>
      <c r="TQC6" s="473"/>
      <c r="TQD6" s="474"/>
      <c r="TQE6" s="473"/>
      <c r="TQF6" s="474"/>
      <c r="TQG6" s="473"/>
      <c r="TQH6" s="474"/>
      <c r="TQI6" s="473"/>
      <c r="TQJ6" s="474"/>
      <c r="TQK6" s="473"/>
      <c r="TQL6" s="474"/>
      <c r="TQM6" s="473"/>
      <c r="TQN6" s="474"/>
      <c r="TQO6" s="473"/>
      <c r="TQP6" s="474"/>
      <c r="TQQ6" s="473"/>
      <c r="TQR6" s="474"/>
      <c r="TQS6" s="473"/>
      <c r="TQT6" s="474"/>
      <c r="TQU6" s="473"/>
      <c r="TQV6" s="474"/>
      <c r="TQW6" s="473"/>
      <c r="TQX6" s="474"/>
      <c r="TQY6" s="473"/>
      <c r="TQZ6" s="474"/>
      <c r="TRA6" s="473"/>
      <c r="TRB6" s="474"/>
      <c r="TRC6" s="473"/>
      <c r="TRD6" s="474"/>
      <c r="TRE6" s="473"/>
      <c r="TRF6" s="474"/>
      <c r="TRG6" s="473"/>
      <c r="TRH6" s="474"/>
      <c r="TRI6" s="473"/>
      <c r="TRJ6" s="474"/>
      <c r="TRK6" s="473"/>
      <c r="TRL6" s="474"/>
      <c r="TRM6" s="473"/>
      <c r="TRN6" s="474"/>
      <c r="TRO6" s="473"/>
      <c r="TRP6" s="474"/>
      <c r="TRQ6" s="473"/>
      <c r="TRR6" s="474"/>
      <c r="TRS6" s="473"/>
      <c r="TRT6" s="474"/>
      <c r="TRU6" s="473"/>
      <c r="TRV6" s="474"/>
      <c r="TRW6" s="473"/>
      <c r="TRX6" s="474"/>
      <c r="TRY6" s="473"/>
      <c r="TRZ6" s="474"/>
      <c r="TSA6" s="473"/>
      <c r="TSB6" s="474"/>
      <c r="TSC6" s="473"/>
      <c r="TSD6" s="474"/>
      <c r="TSE6" s="473"/>
      <c r="TSF6" s="474"/>
      <c r="TSG6" s="473"/>
      <c r="TSH6" s="474"/>
      <c r="TSI6" s="473"/>
      <c r="TSJ6" s="474"/>
      <c r="TSK6" s="473"/>
      <c r="TSL6" s="474"/>
      <c r="TSM6" s="473"/>
      <c r="TSN6" s="474"/>
      <c r="TSO6" s="473"/>
      <c r="TSP6" s="474"/>
      <c r="TSQ6" s="473"/>
      <c r="TSR6" s="474"/>
      <c r="TSS6" s="473"/>
      <c r="TST6" s="474"/>
      <c r="TSU6" s="473"/>
      <c r="TSV6" s="474"/>
      <c r="TSW6" s="473"/>
      <c r="TSX6" s="474"/>
      <c r="TSY6" s="473"/>
      <c r="TSZ6" s="474"/>
      <c r="TTA6" s="473"/>
      <c r="TTB6" s="474"/>
      <c r="TTC6" s="473"/>
      <c r="TTD6" s="474"/>
      <c r="TTE6" s="473"/>
      <c r="TTF6" s="474"/>
      <c r="TTG6" s="473"/>
      <c r="TTH6" s="474"/>
      <c r="TTI6" s="473"/>
      <c r="TTJ6" s="474"/>
      <c r="TTK6" s="473"/>
      <c r="TTL6" s="474"/>
      <c r="TTM6" s="473"/>
      <c r="TTN6" s="474"/>
      <c r="TTO6" s="473"/>
      <c r="TTP6" s="474"/>
      <c r="TTQ6" s="473"/>
      <c r="TTR6" s="474"/>
      <c r="TTS6" s="473"/>
      <c r="TTT6" s="474"/>
      <c r="TTU6" s="473"/>
      <c r="TTV6" s="474"/>
      <c r="TTW6" s="473"/>
      <c r="TTX6" s="474"/>
      <c r="TTY6" s="473"/>
      <c r="TTZ6" s="474"/>
      <c r="TUA6" s="473"/>
      <c r="TUB6" s="474"/>
      <c r="TUC6" s="473"/>
      <c r="TUD6" s="474"/>
      <c r="TUE6" s="473"/>
      <c r="TUF6" s="474"/>
      <c r="TUG6" s="473"/>
      <c r="TUH6" s="474"/>
      <c r="TUI6" s="473"/>
      <c r="TUJ6" s="474"/>
      <c r="TUK6" s="473"/>
      <c r="TUL6" s="474"/>
      <c r="TUM6" s="473"/>
      <c r="TUN6" s="474"/>
      <c r="TUO6" s="473"/>
      <c r="TUP6" s="474"/>
      <c r="TUQ6" s="473"/>
      <c r="TUR6" s="474"/>
      <c r="TUS6" s="473"/>
      <c r="TUT6" s="474"/>
      <c r="TUU6" s="473"/>
      <c r="TUV6" s="474"/>
      <c r="TUW6" s="473"/>
      <c r="TUX6" s="474"/>
      <c r="TUY6" s="473"/>
      <c r="TUZ6" s="474"/>
      <c r="TVA6" s="473"/>
      <c r="TVB6" s="474"/>
      <c r="TVC6" s="473"/>
      <c r="TVD6" s="474"/>
      <c r="TVE6" s="473"/>
      <c r="TVF6" s="474"/>
      <c r="TVG6" s="473"/>
      <c r="TVH6" s="474"/>
      <c r="TVI6" s="473"/>
      <c r="TVJ6" s="474"/>
      <c r="TVK6" s="473"/>
      <c r="TVL6" s="474"/>
      <c r="TVM6" s="473"/>
      <c r="TVN6" s="474"/>
      <c r="TVO6" s="473"/>
      <c r="TVP6" s="474"/>
      <c r="TVQ6" s="473"/>
      <c r="TVR6" s="474"/>
      <c r="TVS6" s="473"/>
      <c r="TVT6" s="474"/>
      <c r="TVU6" s="473"/>
      <c r="TVV6" s="474"/>
      <c r="TVW6" s="473"/>
      <c r="TVX6" s="474"/>
      <c r="TVY6" s="473"/>
      <c r="TVZ6" s="474"/>
      <c r="TWA6" s="473"/>
      <c r="TWB6" s="474"/>
      <c r="TWC6" s="473"/>
      <c r="TWD6" s="474"/>
      <c r="TWE6" s="473"/>
      <c r="TWF6" s="474"/>
      <c r="TWG6" s="473"/>
      <c r="TWH6" s="474"/>
      <c r="TWI6" s="473"/>
      <c r="TWJ6" s="474"/>
      <c r="TWK6" s="473"/>
      <c r="TWL6" s="474"/>
      <c r="TWM6" s="473"/>
      <c r="TWN6" s="474"/>
      <c r="TWO6" s="473"/>
      <c r="TWP6" s="474"/>
      <c r="TWQ6" s="473"/>
      <c r="TWR6" s="474"/>
      <c r="TWS6" s="473"/>
      <c r="TWT6" s="474"/>
      <c r="TWU6" s="473"/>
      <c r="TWV6" s="474"/>
      <c r="TWW6" s="473"/>
      <c r="TWX6" s="474"/>
      <c r="TWY6" s="473"/>
      <c r="TWZ6" s="474"/>
      <c r="TXA6" s="473"/>
      <c r="TXB6" s="474"/>
      <c r="TXC6" s="473"/>
      <c r="TXD6" s="474"/>
      <c r="TXE6" s="473"/>
      <c r="TXF6" s="474"/>
      <c r="TXG6" s="473"/>
      <c r="TXH6" s="474"/>
      <c r="TXI6" s="473"/>
      <c r="TXJ6" s="474"/>
      <c r="TXK6" s="473"/>
      <c r="TXL6" s="474"/>
      <c r="TXM6" s="473"/>
      <c r="TXN6" s="474"/>
      <c r="TXO6" s="473"/>
      <c r="TXP6" s="474"/>
      <c r="TXQ6" s="473"/>
      <c r="TXR6" s="474"/>
      <c r="TXS6" s="473"/>
      <c r="TXT6" s="474"/>
      <c r="TXU6" s="473"/>
      <c r="TXV6" s="474"/>
      <c r="TXW6" s="473"/>
      <c r="TXX6" s="474"/>
      <c r="TXY6" s="473"/>
      <c r="TXZ6" s="474"/>
      <c r="TYA6" s="473"/>
      <c r="TYB6" s="474"/>
      <c r="TYC6" s="473"/>
      <c r="TYD6" s="474"/>
      <c r="TYE6" s="473"/>
      <c r="TYF6" s="474"/>
      <c r="TYG6" s="473"/>
      <c r="TYH6" s="474"/>
      <c r="TYI6" s="473"/>
      <c r="TYJ6" s="474"/>
      <c r="TYK6" s="473"/>
      <c r="TYL6" s="474"/>
      <c r="TYM6" s="473"/>
      <c r="TYN6" s="474"/>
      <c r="TYO6" s="473"/>
      <c r="TYP6" s="474"/>
      <c r="TYQ6" s="473"/>
      <c r="TYR6" s="474"/>
      <c r="TYS6" s="473"/>
      <c r="TYT6" s="474"/>
      <c r="TYU6" s="473"/>
      <c r="TYV6" s="474"/>
      <c r="TYW6" s="473"/>
      <c r="TYX6" s="474"/>
      <c r="TYY6" s="473"/>
      <c r="TYZ6" s="474"/>
      <c r="TZA6" s="473"/>
      <c r="TZB6" s="474"/>
      <c r="TZC6" s="473"/>
      <c r="TZD6" s="474"/>
      <c r="TZE6" s="473"/>
      <c r="TZF6" s="474"/>
      <c r="TZG6" s="473"/>
      <c r="TZH6" s="474"/>
      <c r="TZI6" s="473"/>
      <c r="TZJ6" s="474"/>
      <c r="TZK6" s="473"/>
      <c r="TZL6" s="474"/>
      <c r="TZM6" s="473"/>
      <c r="TZN6" s="474"/>
      <c r="TZO6" s="473"/>
      <c r="TZP6" s="474"/>
      <c r="TZQ6" s="473"/>
      <c r="TZR6" s="474"/>
      <c r="TZS6" s="473"/>
      <c r="TZT6" s="474"/>
      <c r="TZU6" s="473"/>
      <c r="TZV6" s="474"/>
      <c r="TZW6" s="473"/>
      <c r="TZX6" s="474"/>
      <c r="TZY6" s="473"/>
      <c r="TZZ6" s="474"/>
      <c r="UAA6" s="473"/>
      <c r="UAB6" s="474"/>
      <c r="UAC6" s="473"/>
      <c r="UAD6" s="474"/>
      <c r="UAE6" s="473"/>
      <c r="UAF6" s="474"/>
      <c r="UAG6" s="473"/>
      <c r="UAH6" s="474"/>
      <c r="UAI6" s="473"/>
      <c r="UAJ6" s="474"/>
      <c r="UAK6" s="473"/>
      <c r="UAL6" s="474"/>
      <c r="UAM6" s="473"/>
      <c r="UAN6" s="474"/>
      <c r="UAO6" s="473"/>
      <c r="UAP6" s="474"/>
      <c r="UAQ6" s="473"/>
      <c r="UAR6" s="474"/>
      <c r="UAS6" s="473"/>
      <c r="UAT6" s="474"/>
      <c r="UAU6" s="473"/>
      <c r="UAV6" s="474"/>
      <c r="UAW6" s="473"/>
      <c r="UAX6" s="474"/>
      <c r="UAY6" s="473"/>
      <c r="UAZ6" s="474"/>
      <c r="UBA6" s="473"/>
      <c r="UBB6" s="474"/>
      <c r="UBC6" s="473"/>
      <c r="UBD6" s="474"/>
      <c r="UBE6" s="473"/>
      <c r="UBF6" s="474"/>
      <c r="UBG6" s="473"/>
      <c r="UBH6" s="474"/>
      <c r="UBI6" s="473"/>
      <c r="UBJ6" s="474"/>
      <c r="UBK6" s="473"/>
      <c r="UBL6" s="474"/>
      <c r="UBM6" s="473"/>
      <c r="UBN6" s="474"/>
      <c r="UBO6" s="473"/>
      <c r="UBP6" s="474"/>
      <c r="UBQ6" s="473"/>
      <c r="UBR6" s="474"/>
      <c r="UBS6" s="473"/>
      <c r="UBT6" s="474"/>
      <c r="UBU6" s="473"/>
      <c r="UBV6" s="474"/>
      <c r="UBW6" s="473"/>
      <c r="UBX6" s="474"/>
      <c r="UBY6" s="473"/>
      <c r="UBZ6" s="474"/>
      <c r="UCA6" s="473"/>
      <c r="UCB6" s="474"/>
      <c r="UCC6" s="473"/>
      <c r="UCD6" s="474"/>
      <c r="UCE6" s="473"/>
      <c r="UCF6" s="474"/>
      <c r="UCG6" s="473"/>
      <c r="UCH6" s="474"/>
      <c r="UCI6" s="473"/>
      <c r="UCJ6" s="474"/>
      <c r="UCK6" s="473"/>
      <c r="UCL6" s="474"/>
      <c r="UCM6" s="473"/>
      <c r="UCN6" s="474"/>
      <c r="UCO6" s="473"/>
      <c r="UCP6" s="474"/>
      <c r="UCQ6" s="473"/>
      <c r="UCR6" s="474"/>
      <c r="UCS6" s="473"/>
      <c r="UCT6" s="474"/>
      <c r="UCU6" s="473"/>
      <c r="UCV6" s="474"/>
      <c r="UCW6" s="473"/>
      <c r="UCX6" s="474"/>
      <c r="UCY6" s="473"/>
      <c r="UCZ6" s="474"/>
      <c r="UDA6" s="473"/>
      <c r="UDB6" s="474"/>
      <c r="UDC6" s="473"/>
      <c r="UDD6" s="474"/>
      <c r="UDE6" s="473"/>
      <c r="UDF6" s="474"/>
      <c r="UDG6" s="473"/>
      <c r="UDH6" s="474"/>
      <c r="UDI6" s="473"/>
      <c r="UDJ6" s="474"/>
      <c r="UDK6" s="473"/>
      <c r="UDL6" s="474"/>
      <c r="UDM6" s="473"/>
      <c r="UDN6" s="474"/>
      <c r="UDO6" s="473"/>
      <c r="UDP6" s="474"/>
      <c r="UDQ6" s="473"/>
      <c r="UDR6" s="474"/>
      <c r="UDS6" s="473"/>
      <c r="UDT6" s="474"/>
      <c r="UDU6" s="473"/>
      <c r="UDV6" s="474"/>
      <c r="UDW6" s="473"/>
      <c r="UDX6" s="474"/>
      <c r="UDY6" s="473"/>
      <c r="UDZ6" s="474"/>
      <c r="UEA6" s="473"/>
      <c r="UEB6" s="474"/>
      <c r="UEC6" s="473"/>
      <c r="UED6" s="474"/>
      <c r="UEE6" s="473"/>
      <c r="UEF6" s="474"/>
      <c r="UEG6" s="473"/>
      <c r="UEH6" s="474"/>
      <c r="UEI6" s="473"/>
      <c r="UEJ6" s="474"/>
      <c r="UEK6" s="473"/>
      <c r="UEL6" s="474"/>
      <c r="UEM6" s="473"/>
      <c r="UEN6" s="474"/>
      <c r="UEO6" s="473"/>
      <c r="UEP6" s="474"/>
      <c r="UEQ6" s="473"/>
      <c r="UER6" s="474"/>
      <c r="UES6" s="473"/>
      <c r="UET6" s="474"/>
      <c r="UEU6" s="473"/>
      <c r="UEV6" s="474"/>
      <c r="UEW6" s="473"/>
      <c r="UEX6" s="474"/>
      <c r="UEY6" s="473"/>
      <c r="UEZ6" s="474"/>
      <c r="UFA6" s="473"/>
      <c r="UFB6" s="474"/>
      <c r="UFC6" s="473"/>
      <c r="UFD6" s="474"/>
      <c r="UFE6" s="473"/>
      <c r="UFF6" s="474"/>
      <c r="UFG6" s="473"/>
      <c r="UFH6" s="474"/>
      <c r="UFI6" s="473"/>
      <c r="UFJ6" s="474"/>
      <c r="UFK6" s="473"/>
      <c r="UFL6" s="474"/>
      <c r="UFM6" s="473"/>
      <c r="UFN6" s="474"/>
      <c r="UFO6" s="473"/>
      <c r="UFP6" s="474"/>
      <c r="UFQ6" s="473"/>
      <c r="UFR6" s="474"/>
      <c r="UFS6" s="473"/>
      <c r="UFT6" s="474"/>
      <c r="UFU6" s="473"/>
      <c r="UFV6" s="474"/>
      <c r="UFW6" s="473"/>
      <c r="UFX6" s="474"/>
      <c r="UFY6" s="473"/>
      <c r="UFZ6" s="474"/>
      <c r="UGA6" s="473"/>
      <c r="UGB6" s="474"/>
      <c r="UGC6" s="473"/>
      <c r="UGD6" s="474"/>
      <c r="UGE6" s="473"/>
      <c r="UGF6" s="474"/>
      <c r="UGG6" s="473"/>
      <c r="UGH6" s="474"/>
      <c r="UGI6" s="473"/>
      <c r="UGJ6" s="474"/>
      <c r="UGK6" s="473"/>
      <c r="UGL6" s="474"/>
      <c r="UGM6" s="473"/>
      <c r="UGN6" s="474"/>
      <c r="UGO6" s="473"/>
      <c r="UGP6" s="474"/>
      <c r="UGQ6" s="473"/>
      <c r="UGR6" s="474"/>
      <c r="UGS6" s="473"/>
      <c r="UGT6" s="474"/>
      <c r="UGU6" s="473"/>
      <c r="UGV6" s="474"/>
      <c r="UGW6" s="473"/>
      <c r="UGX6" s="474"/>
      <c r="UGY6" s="473"/>
      <c r="UGZ6" s="474"/>
      <c r="UHA6" s="473"/>
      <c r="UHB6" s="474"/>
      <c r="UHC6" s="473"/>
      <c r="UHD6" s="474"/>
      <c r="UHE6" s="473"/>
      <c r="UHF6" s="474"/>
      <c r="UHG6" s="473"/>
      <c r="UHH6" s="474"/>
      <c r="UHI6" s="473"/>
      <c r="UHJ6" s="474"/>
      <c r="UHK6" s="473"/>
      <c r="UHL6" s="474"/>
      <c r="UHM6" s="473"/>
      <c r="UHN6" s="474"/>
      <c r="UHO6" s="473"/>
      <c r="UHP6" s="474"/>
      <c r="UHQ6" s="473"/>
      <c r="UHR6" s="474"/>
      <c r="UHS6" s="473"/>
      <c r="UHT6" s="474"/>
      <c r="UHU6" s="473"/>
      <c r="UHV6" s="474"/>
      <c r="UHW6" s="473"/>
      <c r="UHX6" s="474"/>
      <c r="UHY6" s="473"/>
      <c r="UHZ6" s="474"/>
      <c r="UIA6" s="473"/>
      <c r="UIB6" s="474"/>
      <c r="UIC6" s="473"/>
      <c r="UID6" s="474"/>
      <c r="UIE6" s="473"/>
      <c r="UIF6" s="474"/>
      <c r="UIG6" s="473"/>
      <c r="UIH6" s="474"/>
      <c r="UII6" s="473"/>
      <c r="UIJ6" s="474"/>
      <c r="UIK6" s="473"/>
      <c r="UIL6" s="474"/>
      <c r="UIM6" s="473"/>
      <c r="UIN6" s="474"/>
      <c r="UIO6" s="473"/>
      <c r="UIP6" s="474"/>
      <c r="UIQ6" s="473"/>
      <c r="UIR6" s="474"/>
      <c r="UIS6" s="473"/>
      <c r="UIT6" s="474"/>
      <c r="UIU6" s="473"/>
      <c r="UIV6" s="474"/>
      <c r="UIW6" s="473"/>
      <c r="UIX6" s="474"/>
      <c r="UIY6" s="473"/>
      <c r="UIZ6" s="474"/>
      <c r="UJA6" s="473"/>
      <c r="UJB6" s="474"/>
      <c r="UJC6" s="473"/>
      <c r="UJD6" s="474"/>
      <c r="UJE6" s="473"/>
      <c r="UJF6" s="474"/>
      <c r="UJG6" s="473"/>
      <c r="UJH6" s="474"/>
      <c r="UJI6" s="473"/>
      <c r="UJJ6" s="474"/>
      <c r="UJK6" s="473"/>
      <c r="UJL6" s="474"/>
      <c r="UJM6" s="473"/>
      <c r="UJN6" s="474"/>
      <c r="UJO6" s="473"/>
      <c r="UJP6" s="474"/>
      <c r="UJQ6" s="473"/>
      <c r="UJR6" s="474"/>
      <c r="UJS6" s="473"/>
      <c r="UJT6" s="474"/>
      <c r="UJU6" s="473"/>
      <c r="UJV6" s="474"/>
      <c r="UJW6" s="473"/>
      <c r="UJX6" s="474"/>
      <c r="UJY6" s="473"/>
      <c r="UJZ6" s="474"/>
      <c r="UKA6" s="473"/>
      <c r="UKB6" s="474"/>
      <c r="UKC6" s="473"/>
      <c r="UKD6" s="474"/>
      <c r="UKE6" s="473"/>
      <c r="UKF6" s="474"/>
      <c r="UKG6" s="473"/>
      <c r="UKH6" s="474"/>
      <c r="UKI6" s="473"/>
      <c r="UKJ6" s="474"/>
      <c r="UKK6" s="473"/>
      <c r="UKL6" s="474"/>
      <c r="UKM6" s="473"/>
      <c r="UKN6" s="474"/>
      <c r="UKO6" s="473"/>
      <c r="UKP6" s="474"/>
      <c r="UKQ6" s="473"/>
      <c r="UKR6" s="474"/>
      <c r="UKS6" s="473"/>
      <c r="UKT6" s="474"/>
      <c r="UKU6" s="473"/>
      <c r="UKV6" s="474"/>
      <c r="UKW6" s="473"/>
      <c r="UKX6" s="474"/>
      <c r="UKY6" s="473"/>
      <c r="UKZ6" s="474"/>
      <c r="ULA6" s="473"/>
      <c r="ULB6" s="474"/>
      <c r="ULC6" s="473"/>
      <c r="ULD6" s="474"/>
      <c r="ULE6" s="473"/>
      <c r="ULF6" s="474"/>
      <c r="ULG6" s="473"/>
      <c r="ULH6" s="474"/>
      <c r="ULI6" s="473"/>
      <c r="ULJ6" s="474"/>
      <c r="ULK6" s="473"/>
      <c r="ULL6" s="474"/>
      <c r="ULM6" s="473"/>
      <c r="ULN6" s="474"/>
      <c r="ULO6" s="473"/>
      <c r="ULP6" s="474"/>
      <c r="ULQ6" s="473"/>
      <c r="ULR6" s="474"/>
      <c r="ULS6" s="473"/>
      <c r="ULT6" s="474"/>
      <c r="ULU6" s="473"/>
      <c r="ULV6" s="474"/>
      <c r="ULW6" s="473"/>
      <c r="ULX6" s="474"/>
      <c r="ULY6" s="473"/>
      <c r="ULZ6" s="474"/>
      <c r="UMA6" s="473"/>
      <c r="UMB6" s="474"/>
      <c r="UMC6" s="473"/>
      <c r="UMD6" s="474"/>
      <c r="UME6" s="473"/>
      <c r="UMF6" s="474"/>
      <c r="UMG6" s="473"/>
      <c r="UMH6" s="474"/>
      <c r="UMI6" s="473"/>
      <c r="UMJ6" s="474"/>
      <c r="UMK6" s="473"/>
      <c r="UML6" s="474"/>
      <c r="UMM6" s="473"/>
      <c r="UMN6" s="474"/>
      <c r="UMO6" s="473"/>
      <c r="UMP6" s="474"/>
      <c r="UMQ6" s="473"/>
      <c r="UMR6" s="474"/>
      <c r="UMS6" s="473"/>
      <c r="UMT6" s="474"/>
      <c r="UMU6" s="473"/>
      <c r="UMV6" s="474"/>
      <c r="UMW6" s="473"/>
      <c r="UMX6" s="474"/>
      <c r="UMY6" s="473"/>
      <c r="UMZ6" s="474"/>
      <c r="UNA6" s="473"/>
      <c r="UNB6" s="474"/>
      <c r="UNC6" s="473"/>
      <c r="UND6" s="474"/>
      <c r="UNE6" s="473"/>
      <c r="UNF6" s="474"/>
      <c r="UNG6" s="473"/>
      <c r="UNH6" s="474"/>
      <c r="UNI6" s="473"/>
      <c r="UNJ6" s="474"/>
      <c r="UNK6" s="473"/>
      <c r="UNL6" s="474"/>
      <c r="UNM6" s="473"/>
      <c r="UNN6" s="474"/>
      <c r="UNO6" s="473"/>
      <c r="UNP6" s="474"/>
      <c r="UNQ6" s="473"/>
      <c r="UNR6" s="474"/>
      <c r="UNS6" s="473"/>
      <c r="UNT6" s="474"/>
      <c r="UNU6" s="473"/>
      <c r="UNV6" s="474"/>
      <c r="UNW6" s="473"/>
      <c r="UNX6" s="474"/>
      <c r="UNY6" s="473"/>
      <c r="UNZ6" s="474"/>
      <c r="UOA6" s="473"/>
      <c r="UOB6" s="474"/>
      <c r="UOC6" s="473"/>
      <c r="UOD6" s="474"/>
      <c r="UOE6" s="473"/>
      <c r="UOF6" s="474"/>
      <c r="UOG6" s="473"/>
      <c r="UOH6" s="474"/>
      <c r="UOI6" s="473"/>
      <c r="UOJ6" s="474"/>
      <c r="UOK6" s="473"/>
      <c r="UOL6" s="474"/>
      <c r="UOM6" s="473"/>
      <c r="UON6" s="474"/>
      <c r="UOO6" s="473"/>
      <c r="UOP6" s="474"/>
      <c r="UOQ6" s="473"/>
      <c r="UOR6" s="474"/>
      <c r="UOS6" s="473"/>
      <c r="UOT6" s="474"/>
      <c r="UOU6" s="473"/>
      <c r="UOV6" s="474"/>
      <c r="UOW6" s="473"/>
      <c r="UOX6" s="474"/>
      <c r="UOY6" s="473"/>
      <c r="UOZ6" s="474"/>
      <c r="UPA6" s="473"/>
      <c r="UPB6" s="474"/>
      <c r="UPC6" s="473"/>
      <c r="UPD6" s="474"/>
      <c r="UPE6" s="473"/>
      <c r="UPF6" s="474"/>
      <c r="UPG6" s="473"/>
      <c r="UPH6" s="474"/>
      <c r="UPI6" s="473"/>
      <c r="UPJ6" s="474"/>
      <c r="UPK6" s="473"/>
      <c r="UPL6" s="474"/>
      <c r="UPM6" s="473"/>
      <c r="UPN6" s="474"/>
      <c r="UPO6" s="473"/>
      <c r="UPP6" s="474"/>
      <c r="UPQ6" s="473"/>
      <c r="UPR6" s="474"/>
      <c r="UPS6" s="473"/>
      <c r="UPT6" s="474"/>
      <c r="UPU6" s="473"/>
      <c r="UPV6" s="474"/>
      <c r="UPW6" s="473"/>
      <c r="UPX6" s="474"/>
      <c r="UPY6" s="473"/>
      <c r="UPZ6" s="474"/>
      <c r="UQA6" s="473"/>
      <c r="UQB6" s="474"/>
      <c r="UQC6" s="473"/>
      <c r="UQD6" s="474"/>
      <c r="UQE6" s="473"/>
      <c r="UQF6" s="474"/>
      <c r="UQG6" s="473"/>
      <c r="UQH6" s="474"/>
      <c r="UQI6" s="473"/>
      <c r="UQJ6" s="474"/>
      <c r="UQK6" s="473"/>
      <c r="UQL6" s="474"/>
      <c r="UQM6" s="473"/>
      <c r="UQN6" s="474"/>
      <c r="UQO6" s="473"/>
      <c r="UQP6" s="474"/>
      <c r="UQQ6" s="473"/>
      <c r="UQR6" s="474"/>
      <c r="UQS6" s="473"/>
      <c r="UQT6" s="474"/>
      <c r="UQU6" s="473"/>
      <c r="UQV6" s="474"/>
      <c r="UQW6" s="473"/>
      <c r="UQX6" s="474"/>
      <c r="UQY6" s="473"/>
      <c r="UQZ6" s="474"/>
      <c r="URA6" s="473"/>
      <c r="URB6" s="474"/>
      <c r="URC6" s="473"/>
      <c r="URD6" s="474"/>
      <c r="URE6" s="473"/>
      <c r="URF6" s="474"/>
      <c r="URG6" s="473"/>
      <c r="URH6" s="474"/>
      <c r="URI6" s="473"/>
      <c r="URJ6" s="474"/>
      <c r="URK6" s="473"/>
      <c r="URL6" s="474"/>
      <c r="URM6" s="473"/>
      <c r="URN6" s="474"/>
      <c r="URO6" s="473"/>
      <c r="URP6" s="474"/>
      <c r="URQ6" s="473"/>
      <c r="URR6" s="474"/>
      <c r="URS6" s="473"/>
      <c r="URT6" s="474"/>
      <c r="URU6" s="473"/>
      <c r="URV6" s="474"/>
      <c r="URW6" s="473"/>
      <c r="URX6" s="474"/>
      <c r="URY6" s="473"/>
      <c r="URZ6" s="474"/>
      <c r="USA6" s="473"/>
      <c r="USB6" s="474"/>
      <c r="USC6" s="473"/>
      <c r="USD6" s="474"/>
      <c r="USE6" s="473"/>
      <c r="USF6" s="474"/>
      <c r="USG6" s="473"/>
      <c r="USH6" s="474"/>
      <c r="USI6" s="473"/>
      <c r="USJ6" s="474"/>
      <c r="USK6" s="473"/>
      <c r="USL6" s="474"/>
      <c r="USM6" s="473"/>
      <c r="USN6" s="474"/>
      <c r="USO6" s="473"/>
      <c r="USP6" s="474"/>
      <c r="USQ6" s="473"/>
      <c r="USR6" s="474"/>
      <c r="USS6" s="473"/>
      <c r="UST6" s="474"/>
      <c r="USU6" s="473"/>
      <c r="USV6" s="474"/>
      <c r="USW6" s="473"/>
      <c r="USX6" s="474"/>
      <c r="USY6" s="473"/>
      <c r="USZ6" s="474"/>
      <c r="UTA6" s="473"/>
      <c r="UTB6" s="474"/>
      <c r="UTC6" s="473"/>
      <c r="UTD6" s="474"/>
      <c r="UTE6" s="473"/>
      <c r="UTF6" s="474"/>
      <c r="UTG6" s="473"/>
      <c r="UTH6" s="474"/>
      <c r="UTI6" s="473"/>
      <c r="UTJ6" s="474"/>
      <c r="UTK6" s="473"/>
      <c r="UTL6" s="474"/>
      <c r="UTM6" s="473"/>
      <c r="UTN6" s="474"/>
      <c r="UTO6" s="473"/>
      <c r="UTP6" s="474"/>
      <c r="UTQ6" s="473"/>
      <c r="UTR6" s="474"/>
      <c r="UTS6" s="473"/>
      <c r="UTT6" s="474"/>
      <c r="UTU6" s="473"/>
      <c r="UTV6" s="474"/>
      <c r="UTW6" s="473"/>
      <c r="UTX6" s="474"/>
      <c r="UTY6" s="473"/>
      <c r="UTZ6" s="474"/>
      <c r="UUA6" s="473"/>
      <c r="UUB6" s="474"/>
      <c r="UUC6" s="473"/>
      <c r="UUD6" s="474"/>
      <c r="UUE6" s="473"/>
      <c r="UUF6" s="474"/>
      <c r="UUG6" s="473"/>
      <c r="UUH6" s="474"/>
      <c r="UUI6" s="473"/>
      <c r="UUJ6" s="474"/>
      <c r="UUK6" s="473"/>
      <c r="UUL6" s="474"/>
      <c r="UUM6" s="473"/>
      <c r="UUN6" s="474"/>
      <c r="UUO6" s="473"/>
      <c r="UUP6" s="474"/>
      <c r="UUQ6" s="473"/>
      <c r="UUR6" s="474"/>
      <c r="UUS6" s="473"/>
      <c r="UUT6" s="474"/>
      <c r="UUU6" s="473"/>
      <c r="UUV6" s="474"/>
      <c r="UUW6" s="473"/>
      <c r="UUX6" s="474"/>
      <c r="UUY6" s="473"/>
      <c r="UUZ6" s="474"/>
      <c r="UVA6" s="473"/>
      <c r="UVB6" s="474"/>
      <c r="UVC6" s="473"/>
      <c r="UVD6" s="474"/>
      <c r="UVE6" s="473"/>
      <c r="UVF6" s="474"/>
      <c r="UVG6" s="473"/>
      <c r="UVH6" s="474"/>
      <c r="UVI6" s="473"/>
      <c r="UVJ6" s="474"/>
      <c r="UVK6" s="473"/>
      <c r="UVL6" s="474"/>
      <c r="UVM6" s="473"/>
      <c r="UVN6" s="474"/>
      <c r="UVO6" s="473"/>
      <c r="UVP6" s="474"/>
      <c r="UVQ6" s="473"/>
      <c r="UVR6" s="474"/>
      <c r="UVS6" s="473"/>
      <c r="UVT6" s="474"/>
      <c r="UVU6" s="473"/>
      <c r="UVV6" s="474"/>
      <c r="UVW6" s="473"/>
      <c r="UVX6" s="474"/>
      <c r="UVY6" s="473"/>
      <c r="UVZ6" s="474"/>
      <c r="UWA6" s="473"/>
      <c r="UWB6" s="474"/>
      <c r="UWC6" s="473"/>
      <c r="UWD6" s="474"/>
      <c r="UWE6" s="473"/>
      <c r="UWF6" s="474"/>
      <c r="UWG6" s="473"/>
      <c r="UWH6" s="474"/>
      <c r="UWI6" s="473"/>
      <c r="UWJ6" s="474"/>
      <c r="UWK6" s="473"/>
      <c r="UWL6" s="474"/>
      <c r="UWM6" s="473"/>
      <c r="UWN6" s="474"/>
      <c r="UWO6" s="473"/>
      <c r="UWP6" s="474"/>
      <c r="UWQ6" s="473"/>
      <c r="UWR6" s="474"/>
      <c r="UWS6" s="473"/>
      <c r="UWT6" s="474"/>
      <c r="UWU6" s="473"/>
      <c r="UWV6" s="474"/>
      <c r="UWW6" s="473"/>
      <c r="UWX6" s="474"/>
      <c r="UWY6" s="473"/>
      <c r="UWZ6" s="474"/>
      <c r="UXA6" s="473"/>
      <c r="UXB6" s="474"/>
      <c r="UXC6" s="473"/>
      <c r="UXD6" s="474"/>
      <c r="UXE6" s="473"/>
      <c r="UXF6" s="474"/>
      <c r="UXG6" s="473"/>
      <c r="UXH6" s="474"/>
      <c r="UXI6" s="473"/>
      <c r="UXJ6" s="474"/>
      <c r="UXK6" s="473"/>
      <c r="UXL6" s="474"/>
      <c r="UXM6" s="473"/>
      <c r="UXN6" s="474"/>
      <c r="UXO6" s="473"/>
      <c r="UXP6" s="474"/>
      <c r="UXQ6" s="473"/>
      <c r="UXR6" s="474"/>
      <c r="UXS6" s="473"/>
      <c r="UXT6" s="474"/>
      <c r="UXU6" s="473"/>
      <c r="UXV6" s="474"/>
      <c r="UXW6" s="473"/>
      <c r="UXX6" s="474"/>
      <c r="UXY6" s="473"/>
      <c r="UXZ6" s="474"/>
      <c r="UYA6" s="473"/>
      <c r="UYB6" s="474"/>
      <c r="UYC6" s="473"/>
      <c r="UYD6" s="474"/>
      <c r="UYE6" s="473"/>
      <c r="UYF6" s="474"/>
      <c r="UYG6" s="473"/>
      <c r="UYH6" s="474"/>
      <c r="UYI6" s="473"/>
      <c r="UYJ6" s="474"/>
      <c r="UYK6" s="473"/>
      <c r="UYL6" s="474"/>
      <c r="UYM6" s="473"/>
      <c r="UYN6" s="474"/>
      <c r="UYO6" s="473"/>
      <c r="UYP6" s="474"/>
      <c r="UYQ6" s="473"/>
      <c r="UYR6" s="474"/>
      <c r="UYS6" s="473"/>
      <c r="UYT6" s="474"/>
      <c r="UYU6" s="473"/>
      <c r="UYV6" s="474"/>
      <c r="UYW6" s="473"/>
      <c r="UYX6" s="474"/>
      <c r="UYY6" s="473"/>
      <c r="UYZ6" s="474"/>
      <c r="UZA6" s="473"/>
      <c r="UZB6" s="474"/>
      <c r="UZC6" s="473"/>
      <c r="UZD6" s="474"/>
      <c r="UZE6" s="473"/>
      <c r="UZF6" s="474"/>
      <c r="UZG6" s="473"/>
      <c r="UZH6" s="474"/>
      <c r="UZI6" s="473"/>
      <c r="UZJ6" s="474"/>
      <c r="UZK6" s="473"/>
      <c r="UZL6" s="474"/>
      <c r="UZM6" s="473"/>
      <c r="UZN6" s="474"/>
      <c r="UZO6" s="473"/>
      <c r="UZP6" s="474"/>
      <c r="UZQ6" s="473"/>
      <c r="UZR6" s="474"/>
      <c r="UZS6" s="473"/>
      <c r="UZT6" s="474"/>
      <c r="UZU6" s="473"/>
      <c r="UZV6" s="474"/>
      <c r="UZW6" s="473"/>
      <c r="UZX6" s="474"/>
      <c r="UZY6" s="473"/>
      <c r="UZZ6" s="474"/>
      <c r="VAA6" s="473"/>
      <c r="VAB6" s="474"/>
      <c r="VAC6" s="473"/>
      <c r="VAD6" s="474"/>
      <c r="VAE6" s="473"/>
      <c r="VAF6" s="474"/>
      <c r="VAG6" s="473"/>
      <c r="VAH6" s="474"/>
      <c r="VAI6" s="473"/>
      <c r="VAJ6" s="474"/>
      <c r="VAK6" s="473"/>
      <c r="VAL6" s="474"/>
      <c r="VAM6" s="473"/>
      <c r="VAN6" s="474"/>
      <c r="VAO6" s="473"/>
      <c r="VAP6" s="474"/>
      <c r="VAQ6" s="473"/>
      <c r="VAR6" s="474"/>
      <c r="VAS6" s="473"/>
      <c r="VAT6" s="474"/>
      <c r="VAU6" s="473"/>
      <c r="VAV6" s="474"/>
      <c r="VAW6" s="473"/>
      <c r="VAX6" s="474"/>
      <c r="VAY6" s="473"/>
      <c r="VAZ6" s="474"/>
      <c r="VBA6" s="473"/>
      <c r="VBB6" s="474"/>
      <c r="VBC6" s="473"/>
      <c r="VBD6" s="474"/>
      <c r="VBE6" s="473"/>
      <c r="VBF6" s="474"/>
      <c r="VBG6" s="473"/>
      <c r="VBH6" s="474"/>
      <c r="VBI6" s="473"/>
      <c r="VBJ6" s="474"/>
      <c r="VBK6" s="473"/>
      <c r="VBL6" s="474"/>
      <c r="VBM6" s="473"/>
      <c r="VBN6" s="474"/>
      <c r="VBO6" s="473"/>
      <c r="VBP6" s="474"/>
      <c r="VBQ6" s="473"/>
      <c r="VBR6" s="474"/>
      <c r="VBS6" s="473"/>
      <c r="VBT6" s="474"/>
      <c r="VBU6" s="473"/>
      <c r="VBV6" s="474"/>
      <c r="VBW6" s="473"/>
      <c r="VBX6" s="474"/>
      <c r="VBY6" s="473"/>
      <c r="VBZ6" s="474"/>
      <c r="VCA6" s="473"/>
      <c r="VCB6" s="474"/>
      <c r="VCC6" s="473"/>
      <c r="VCD6" s="474"/>
      <c r="VCE6" s="473"/>
      <c r="VCF6" s="474"/>
      <c r="VCG6" s="473"/>
      <c r="VCH6" s="474"/>
      <c r="VCI6" s="473"/>
      <c r="VCJ6" s="474"/>
      <c r="VCK6" s="473"/>
      <c r="VCL6" s="474"/>
      <c r="VCM6" s="473"/>
      <c r="VCN6" s="474"/>
      <c r="VCO6" s="473"/>
      <c r="VCP6" s="474"/>
      <c r="VCQ6" s="473"/>
      <c r="VCR6" s="474"/>
      <c r="VCS6" s="473"/>
      <c r="VCT6" s="474"/>
      <c r="VCU6" s="473"/>
      <c r="VCV6" s="474"/>
      <c r="VCW6" s="473"/>
      <c r="VCX6" s="474"/>
      <c r="VCY6" s="473"/>
      <c r="VCZ6" s="474"/>
      <c r="VDA6" s="473"/>
      <c r="VDB6" s="474"/>
      <c r="VDC6" s="473"/>
      <c r="VDD6" s="474"/>
      <c r="VDE6" s="473"/>
      <c r="VDF6" s="474"/>
      <c r="VDG6" s="473"/>
      <c r="VDH6" s="474"/>
      <c r="VDI6" s="473"/>
      <c r="VDJ6" s="474"/>
      <c r="VDK6" s="473"/>
      <c r="VDL6" s="474"/>
      <c r="VDM6" s="473"/>
      <c r="VDN6" s="474"/>
      <c r="VDO6" s="473"/>
      <c r="VDP6" s="474"/>
      <c r="VDQ6" s="473"/>
      <c r="VDR6" s="474"/>
      <c r="VDS6" s="473"/>
      <c r="VDT6" s="474"/>
      <c r="VDU6" s="473"/>
      <c r="VDV6" s="474"/>
      <c r="VDW6" s="473"/>
      <c r="VDX6" s="474"/>
      <c r="VDY6" s="473"/>
      <c r="VDZ6" s="474"/>
      <c r="VEA6" s="473"/>
      <c r="VEB6" s="474"/>
      <c r="VEC6" s="473"/>
      <c r="VED6" s="474"/>
      <c r="VEE6" s="473"/>
      <c r="VEF6" s="474"/>
      <c r="VEG6" s="473"/>
      <c r="VEH6" s="474"/>
      <c r="VEI6" s="473"/>
      <c r="VEJ6" s="474"/>
      <c r="VEK6" s="473"/>
      <c r="VEL6" s="474"/>
      <c r="VEM6" s="473"/>
      <c r="VEN6" s="474"/>
      <c r="VEO6" s="473"/>
      <c r="VEP6" s="474"/>
      <c r="VEQ6" s="473"/>
      <c r="VER6" s="474"/>
      <c r="VES6" s="473"/>
      <c r="VET6" s="474"/>
      <c r="VEU6" s="473"/>
      <c r="VEV6" s="474"/>
      <c r="VEW6" s="473"/>
      <c r="VEX6" s="474"/>
      <c r="VEY6" s="473"/>
      <c r="VEZ6" s="474"/>
      <c r="VFA6" s="473"/>
      <c r="VFB6" s="474"/>
      <c r="VFC6" s="473"/>
      <c r="VFD6" s="474"/>
      <c r="VFE6" s="473"/>
      <c r="VFF6" s="474"/>
      <c r="VFG6" s="473"/>
      <c r="VFH6" s="474"/>
      <c r="VFI6" s="473"/>
      <c r="VFJ6" s="474"/>
      <c r="VFK6" s="473"/>
      <c r="VFL6" s="474"/>
      <c r="VFM6" s="473"/>
      <c r="VFN6" s="474"/>
      <c r="VFO6" s="473"/>
      <c r="VFP6" s="474"/>
      <c r="VFQ6" s="473"/>
      <c r="VFR6" s="474"/>
      <c r="VFS6" s="473"/>
      <c r="VFT6" s="474"/>
      <c r="VFU6" s="473"/>
      <c r="VFV6" s="474"/>
      <c r="VFW6" s="473"/>
      <c r="VFX6" s="474"/>
      <c r="VFY6" s="473"/>
      <c r="VFZ6" s="474"/>
      <c r="VGA6" s="473"/>
      <c r="VGB6" s="474"/>
      <c r="VGC6" s="473"/>
      <c r="VGD6" s="474"/>
      <c r="VGE6" s="473"/>
      <c r="VGF6" s="474"/>
      <c r="VGG6" s="473"/>
      <c r="VGH6" s="474"/>
      <c r="VGI6" s="473"/>
      <c r="VGJ6" s="474"/>
      <c r="VGK6" s="473"/>
      <c r="VGL6" s="474"/>
      <c r="VGM6" s="473"/>
      <c r="VGN6" s="474"/>
      <c r="VGO6" s="473"/>
      <c r="VGP6" s="474"/>
      <c r="VGQ6" s="473"/>
      <c r="VGR6" s="474"/>
      <c r="VGS6" s="473"/>
      <c r="VGT6" s="474"/>
      <c r="VGU6" s="473"/>
      <c r="VGV6" s="474"/>
      <c r="VGW6" s="473"/>
      <c r="VGX6" s="474"/>
      <c r="VGY6" s="473"/>
      <c r="VGZ6" s="474"/>
      <c r="VHA6" s="473"/>
      <c r="VHB6" s="474"/>
      <c r="VHC6" s="473"/>
      <c r="VHD6" s="474"/>
      <c r="VHE6" s="473"/>
      <c r="VHF6" s="474"/>
      <c r="VHG6" s="473"/>
      <c r="VHH6" s="474"/>
      <c r="VHI6" s="473"/>
      <c r="VHJ6" s="474"/>
      <c r="VHK6" s="473"/>
      <c r="VHL6" s="474"/>
      <c r="VHM6" s="473"/>
      <c r="VHN6" s="474"/>
      <c r="VHO6" s="473"/>
      <c r="VHP6" s="474"/>
      <c r="VHQ6" s="473"/>
      <c r="VHR6" s="474"/>
      <c r="VHS6" s="473"/>
      <c r="VHT6" s="474"/>
      <c r="VHU6" s="473"/>
      <c r="VHV6" s="474"/>
      <c r="VHW6" s="473"/>
      <c r="VHX6" s="474"/>
      <c r="VHY6" s="473"/>
      <c r="VHZ6" s="474"/>
      <c r="VIA6" s="473"/>
      <c r="VIB6" s="474"/>
      <c r="VIC6" s="473"/>
      <c r="VID6" s="474"/>
      <c r="VIE6" s="473"/>
      <c r="VIF6" s="474"/>
      <c r="VIG6" s="473"/>
      <c r="VIH6" s="474"/>
      <c r="VII6" s="473"/>
      <c r="VIJ6" s="474"/>
      <c r="VIK6" s="473"/>
      <c r="VIL6" s="474"/>
      <c r="VIM6" s="473"/>
      <c r="VIN6" s="474"/>
      <c r="VIO6" s="473"/>
      <c r="VIP6" s="474"/>
      <c r="VIQ6" s="473"/>
      <c r="VIR6" s="474"/>
      <c r="VIS6" s="473"/>
      <c r="VIT6" s="474"/>
      <c r="VIU6" s="473"/>
      <c r="VIV6" s="474"/>
      <c r="VIW6" s="473"/>
      <c r="VIX6" s="474"/>
      <c r="VIY6" s="473"/>
      <c r="VIZ6" s="474"/>
      <c r="VJA6" s="473"/>
      <c r="VJB6" s="474"/>
      <c r="VJC6" s="473"/>
      <c r="VJD6" s="474"/>
      <c r="VJE6" s="473"/>
      <c r="VJF6" s="474"/>
      <c r="VJG6" s="473"/>
      <c r="VJH6" s="474"/>
      <c r="VJI6" s="473"/>
      <c r="VJJ6" s="474"/>
      <c r="VJK6" s="473"/>
      <c r="VJL6" s="474"/>
      <c r="VJM6" s="473"/>
      <c r="VJN6" s="474"/>
      <c r="VJO6" s="473"/>
      <c r="VJP6" s="474"/>
      <c r="VJQ6" s="473"/>
      <c r="VJR6" s="474"/>
      <c r="VJS6" s="473"/>
      <c r="VJT6" s="474"/>
      <c r="VJU6" s="473"/>
      <c r="VJV6" s="474"/>
      <c r="VJW6" s="473"/>
      <c r="VJX6" s="474"/>
      <c r="VJY6" s="473"/>
      <c r="VJZ6" s="474"/>
      <c r="VKA6" s="473"/>
      <c r="VKB6" s="474"/>
      <c r="VKC6" s="473"/>
      <c r="VKD6" s="474"/>
      <c r="VKE6" s="473"/>
      <c r="VKF6" s="474"/>
      <c r="VKG6" s="473"/>
      <c r="VKH6" s="474"/>
      <c r="VKI6" s="473"/>
      <c r="VKJ6" s="474"/>
      <c r="VKK6" s="473"/>
      <c r="VKL6" s="474"/>
      <c r="VKM6" s="473"/>
      <c r="VKN6" s="474"/>
      <c r="VKO6" s="473"/>
      <c r="VKP6" s="474"/>
      <c r="VKQ6" s="473"/>
      <c r="VKR6" s="474"/>
      <c r="VKS6" s="473"/>
      <c r="VKT6" s="474"/>
      <c r="VKU6" s="473"/>
      <c r="VKV6" s="474"/>
      <c r="VKW6" s="473"/>
      <c r="VKX6" s="474"/>
      <c r="VKY6" s="473"/>
      <c r="VKZ6" s="474"/>
      <c r="VLA6" s="473"/>
      <c r="VLB6" s="474"/>
      <c r="VLC6" s="473"/>
      <c r="VLD6" s="474"/>
      <c r="VLE6" s="473"/>
      <c r="VLF6" s="474"/>
      <c r="VLG6" s="473"/>
      <c r="VLH6" s="474"/>
      <c r="VLI6" s="473"/>
      <c r="VLJ6" s="474"/>
      <c r="VLK6" s="473"/>
      <c r="VLL6" s="474"/>
      <c r="VLM6" s="473"/>
      <c r="VLN6" s="474"/>
      <c r="VLO6" s="473"/>
      <c r="VLP6" s="474"/>
      <c r="VLQ6" s="473"/>
      <c r="VLR6" s="474"/>
      <c r="VLS6" s="473"/>
      <c r="VLT6" s="474"/>
      <c r="VLU6" s="473"/>
      <c r="VLV6" s="474"/>
      <c r="VLW6" s="473"/>
      <c r="VLX6" s="474"/>
      <c r="VLY6" s="473"/>
      <c r="VLZ6" s="474"/>
      <c r="VMA6" s="473"/>
      <c r="VMB6" s="474"/>
      <c r="VMC6" s="473"/>
      <c r="VMD6" s="474"/>
      <c r="VME6" s="473"/>
      <c r="VMF6" s="474"/>
      <c r="VMG6" s="473"/>
      <c r="VMH6" s="474"/>
      <c r="VMI6" s="473"/>
      <c r="VMJ6" s="474"/>
      <c r="VMK6" s="473"/>
      <c r="VML6" s="474"/>
      <c r="VMM6" s="473"/>
      <c r="VMN6" s="474"/>
      <c r="VMO6" s="473"/>
      <c r="VMP6" s="474"/>
      <c r="VMQ6" s="473"/>
      <c r="VMR6" s="474"/>
      <c r="VMS6" s="473"/>
      <c r="VMT6" s="474"/>
      <c r="VMU6" s="473"/>
      <c r="VMV6" s="474"/>
      <c r="VMW6" s="473"/>
      <c r="VMX6" s="474"/>
      <c r="VMY6" s="473"/>
      <c r="VMZ6" s="474"/>
      <c r="VNA6" s="473"/>
      <c r="VNB6" s="474"/>
      <c r="VNC6" s="473"/>
      <c r="VND6" s="474"/>
      <c r="VNE6" s="473"/>
      <c r="VNF6" s="474"/>
      <c r="VNG6" s="473"/>
      <c r="VNH6" s="474"/>
      <c r="VNI6" s="473"/>
      <c r="VNJ6" s="474"/>
      <c r="VNK6" s="473"/>
      <c r="VNL6" s="474"/>
      <c r="VNM6" s="473"/>
      <c r="VNN6" s="474"/>
      <c r="VNO6" s="473"/>
      <c r="VNP6" s="474"/>
      <c r="VNQ6" s="473"/>
      <c r="VNR6" s="474"/>
      <c r="VNS6" s="473"/>
      <c r="VNT6" s="474"/>
      <c r="VNU6" s="473"/>
      <c r="VNV6" s="474"/>
      <c r="VNW6" s="473"/>
      <c r="VNX6" s="474"/>
      <c r="VNY6" s="473"/>
      <c r="VNZ6" s="474"/>
      <c r="VOA6" s="473"/>
      <c r="VOB6" s="474"/>
      <c r="VOC6" s="473"/>
      <c r="VOD6" s="474"/>
      <c r="VOE6" s="473"/>
      <c r="VOF6" s="474"/>
      <c r="VOG6" s="473"/>
      <c r="VOH6" s="474"/>
      <c r="VOI6" s="473"/>
      <c r="VOJ6" s="474"/>
      <c r="VOK6" s="473"/>
      <c r="VOL6" s="474"/>
      <c r="VOM6" s="473"/>
      <c r="VON6" s="474"/>
      <c r="VOO6" s="473"/>
      <c r="VOP6" s="474"/>
      <c r="VOQ6" s="473"/>
      <c r="VOR6" s="474"/>
      <c r="VOS6" s="473"/>
      <c r="VOT6" s="474"/>
      <c r="VOU6" s="473"/>
      <c r="VOV6" s="474"/>
      <c r="VOW6" s="473"/>
      <c r="VOX6" s="474"/>
      <c r="VOY6" s="473"/>
      <c r="VOZ6" s="474"/>
      <c r="VPA6" s="473"/>
      <c r="VPB6" s="474"/>
      <c r="VPC6" s="473"/>
      <c r="VPD6" s="474"/>
      <c r="VPE6" s="473"/>
      <c r="VPF6" s="474"/>
      <c r="VPG6" s="473"/>
      <c r="VPH6" s="474"/>
      <c r="VPI6" s="473"/>
      <c r="VPJ6" s="474"/>
      <c r="VPK6" s="473"/>
      <c r="VPL6" s="474"/>
      <c r="VPM6" s="473"/>
      <c r="VPN6" s="474"/>
      <c r="VPO6" s="473"/>
      <c r="VPP6" s="474"/>
      <c r="VPQ6" s="473"/>
      <c r="VPR6" s="474"/>
      <c r="VPS6" s="473"/>
      <c r="VPT6" s="474"/>
      <c r="VPU6" s="473"/>
      <c r="VPV6" s="474"/>
      <c r="VPW6" s="473"/>
      <c r="VPX6" s="474"/>
      <c r="VPY6" s="473"/>
      <c r="VPZ6" s="474"/>
      <c r="VQA6" s="473"/>
      <c r="VQB6" s="474"/>
      <c r="VQC6" s="473"/>
      <c r="VQD6" s="474"/>
      <c r="VQE6" s="473"/>
      <c r="VQF6" s="474"/>
      <c r="VQG6" s="473"/>
      <c r="VQH6" s="474"/>
      <c r="VQI6" s="473"/>
      <c r="VQJ6" s="474"/>
      <c r="VQK6" s="473"/>
      <c r="VQL6" s="474"/>
      <c r="VQM6" s="473"/>
      <c r="VQN6" s="474"/>
      <c r="VQO6" s="473"/>
      <c r="VQP6" s="474"/>
      <c r="VQQ6" s="473"/>
      <c r="VQR6" s="474"/>
      <c r="VQS6" s="473"/>
      <c r="VQT6" s="474"/>
      <c r="VQU6" s="473"/>
      <c r="VQV6" s="474"/>
      <c r="VQW6" s="473"/>
      <c r="VQX6" s="474"/>
      <c r="VQY6" s="473"/>
      <c r="VQZ6" s="474"/>
      <c r="VRA6" s="473"/>
      <c r="VRB6" s="474"/>
      <c r="VRC6" s="473"/>
      <c r="VRD6" s="474"/>
      <c r="VRE6" s="473"/>
      <c r="VRF6" s="474"/>
      <c r="VRG6" s="473"/>
      <c r="VRH6" s="474"/>
      <c r="VRI6" s="473"/>
      <c r="VRJ6" s="474"/>
      <c r="VRK6" s="473"/>
      <c r="VRL6" s="474"/>
      <c r="VRM6" s="473"/>
      <c r="VRN6" s="474"/>
      <c r="VRO6" s="473"/>
      <c r="VRP6" s="474"/>
      <c r="VRQ6" s="473"/>
      <c r="VRR6" s="474"/>
      <c r="VRS6" s="473"/>
      <c r="VRT6" s="474"/>
      <c r="VRU6" s="473"/>
      <c r="VRV6" s="474"/>
      <c r="VRW6" s="473"/>
      <c r="VRX6" s="474"/>
      <c r="VRY6" s="473"/>
      <c r="VRZ6" s="474"/>
      <c r="VSA6" s="473"/>
      <c r="VSB6" s="474"/>
      <c r="VSC6" s="473"/>
      <c r="VSD6" s="474"/>
      <c r="VSE6" s="473"/>
      <c r="VSF6" s="474"/>
      <c r="VSG6" s="473"/>
      <c r="VSH6" s="474"/>
      <c r="VSI6" s="473"/>
      <c r="VSJ6" s="474"/>
      <c r="VSK6" s="473"/>
      <c r="VSL6" s="474"/>
      <c r="VSM6" s="473"/>
      <c r="VSN6" s="474"/>
      <c r="VSO6" s="473"/>
      <c r="VSP6" s="474"/>
      <c r="VSQ6" s="473"/>
      <c r="VSR6" s="474"/>
      <c r="VSS6" s="473"/>
      <c r="VST6" s="474"/>
      <c r="VSU6" s="473"/>
      <c r="VSV6" s="474"/>
      <c r="VSW6" s="473"/>
      <c r="VSX6" s="474"/>
      <c r="VSY6" s="473"/>
      <c r="VSZ6" s="474"/>
      <c r="VTA6" s="473"/>
      <c r="VTB6" s="474"/>
      <c r="VTC6" s="473"/>
      <c r="VTD6" s="474"/>
      <c r="VTE6" s="473"/>
      <c r="VTF6" s="474"/>
      <c r="VTG6" s="473"/>
      <c r="VTH6" s="474"/>
      <c r="VTI6" s="473"/>
      <c r="VTJ6" s="474"/>
      <c r="VTK6" s="473"/>
      <c r="VTL6" s="474"/>
      <c r="VTM6" s="473"/>
      <c r="VTN6" s="474"/>
      <c r="VTO6" s="473"/>
      <c r="VTP6" s="474"/>
      <c r="VTQ6" s="473"/>
      <c r="VTR6" s="474"/>
      <c r="VTS6" s="473"/>
      <c r="VTT6" s="474"/>
      <c r="VTU6" s="473"/>
      <c r="VTV6" s="474"/>
      <c r="VTW6" s="473"/>
      <c r="VTX6" s="474"/>
      <c r="VTY6" s="473"/>
      <c r="VTZ6" s="474"/>
      <c r="VUA6" s="473"/>
      <c r="VUB6" s="474"/>
      <c r="VUC6" s="473"/>
      <c r="VUD6" s="474"/>
      <c r="VUE6" s="473"/>
      <c r="VUF6" s="474"/>
      <c r="VUG6" s="473"/>
      <c r="VUH6" s="474"/>
      <c r="VUI6" s="473"/>
      <c r="VUJ6" s="474"/>
      <c r="VUK6" s="473"/>
      <c r="VUL6" s="474"/>
      <c r="VUM6" s="473"/>
      <c r="VUN6" s="474"/>
      <c r="VUO6" s="473"/>
      <c r="VUP6" s="474"/>
      <c r="VUQ6" s="473"/>
      <c r="VUR6" s="474"/>
      <c r="VUS6" s="473"/>
      <c r="VUT6" s="474"/>
      <c r="VUU6" s="473"/>
      <c r="VUV6" s="474"/>
      <c r="VUW6" s="473"/>
      <c r="VUX6" s="474"/>
      <c r="VUY6" s="473"/>
      <c r="VUZ6" s="474"/>
      <c r="VVA6" s="473"/>
      <c r="VVB6" s="474"/>
      <c r="VVC6" s="473"/>
      <c r="VVD6" s="474"/>
      <c r="VVE6" s="473"/>
      <c r="VVF6" s="474"/>
      <c r="VVG6" s="473"/>
      <c r="VVH6" s="474"/>
      <c r="VVI6" s="473"/>
      <c r="VVJ6" s="474"/>
      <c r="VVK6" s="473"/>
      <c r="VVL6" s="474"/>
      <c r="VVM6" s="473"/>
      <c r="VVN6" s="474"/>
      <c r="VVO6" s="473"/>
      <c r="VVP6" s="474"/>
      <c r="VVQ6" s="473"/>
      <c r="VVR6" s="474"/>
      <c r="VVS6" s="473"/>
      <c r="VVT6" s="474"/>
      <c r="VVU6" s="473"/>
      <c r="VVV6" s="474"/>
      <c r="VVW6" s="473"/>
      <c r="VVX6" s="474"/>
      <c r="VVY6" s="473"/>
      <c r="VVZ6" s="474"/>
      <c r="VWA6" s="473"/>
      <c r="VWB6" s="474"/>
      <c r="VWC6" s="473"/>
      <c r="VWD6" s="474"/>
      <c r="VWE6" s="473"/>
      <c r="VWF6" s="474"/>
      <c r="VWG6" s="473"/>
      <c r="VWH6" s="474"/>
      <c r="VWI6" s="473"/>
      <c r="VWJ6" s="474"/>
      <c r="VWK6" s="473"/>
      <c r="VWL6" s="474"/>
      <c r="VWM6" s="473"/>
      <c r="VWN6" s="474"/>
      <c r="VWO6" s="473"/>
      <c r="VWP6" s="474"/>
      <c r="VWQ6" s="473"/>
      <c r="VWR6" s="474"/>
      <c r="VWS6" s="473"/>
      <c r="VWT6" s="474"/>
      <c r="VWU6" s="473"/>
      <c r="VWV6" s="474"/>
      <c r="VWW6" s="473"/>
      <c r="VWX6" s="474"/>
      <c r="VWY6" s="473"/>
      <c r="VWZ6" s="474"/>
      <c r="VXA6" s="473"/>
      <c r="VXB6" s="474"/>
      <c r="VXC6" s="473"/>
      <c r="VXD6" s="474"/>
      <c r="VXE6" s="473"/>
      <c r="VXF6" s="474"/>
      <c r="VXG6" s="473"/>
      <c r="VXH6" s="474"/>
      <c r="VXI6" s="473"/>
      <c r="VXJ6" s="474"/>
      <c r="VXK6" s="473"/>
      <c r="VXL6" s="474"/>
      <c r="VXM6" s="473"/>
      <c r="VXN6" s="474"/>
      <c r="VXO6" s="473"/>
      <c r="VXP6" s="474"/>
      <c r="VXQ6" s="473"/>
      <c r="VXR6" s="474"/>
      <c r="VXS6" s="473"/>
      <c r="VXT6" s="474"/>
      <c r="VXU6" s="473"/>
      <c r="VXV6" s="474"/>
      <c r="VXW6" s="473"/>
      <c r="VXX6" s="474"/>
      <c r="VXY6" s="473"/>
      <c r="VXZ6" s="474"/>
      <c r="VYA6" s="473"/>
      <c r="VYB6" s="474"/>
      <c r="VYC6" s="473"/>
      <c r="VYD6" s="474"/>
      <c r="VYE6" s="473"/>
      <c r="VYF6" s="474"/>
      <c r="VYG6" s="473"/>
      <c r="VYH6" s="474"/>
      <c r="VYI6" s="473"/>
      <c r="VYJ6" s="474"/>
      <c r="VYK6" s="473"/>
      <c r="VYL6" s="474"/>
      <c r="VYM6" s="473"/>
      <c r="VYN6" s="474"/>
      <c r="VYO6" s="473"/>
      <c r="VYP6" s="474"/>
      <c r="VYQ6" s="473"/>
      <c r="VYR6" s="474"/>
      <c r="VYS6" s="473"/>
      <c r="VYT6" s="474"/>
      <c r="VYU6" s="473"/>
      <c r="VYV6" s="474"/>
      <c r="VYW6" s="473"/>
      <c r="VYX6" s="474"/>
      <c r="VYY6" s="473"/>
      <c r="VYZ6" s="474"/>
      <c r="VZA6" s="473"/>
      <c r="VZB6" s="474"/>
      <c r="VZC6" s="473"/>
      <c r="VZD6" s="474"/>
      <c r="VZE6" s="473"/>
      <c r="VZF6" s="474"/>
      <c r="VZG6" s="473"/>
      <c r="VZH6" s="474"/>
      <c r="VZI6" s="473"/>
      <c r="VZJ6" s="474"/>
      <c r="VZK6" s="473"/>
      <c r="VZL6" s="474"/>
      <c r="VZM6" s="473"/>
      <c r="VZN6" s="474"/>
      <c r="VZO6" s="473"/>
      <c r="VZP6" s="474"/>
      <c r="VZQ6" s="473"/>
      <c r="VZR6" s="474"/>
      <c r="VZS6" s="473"/>
      <c r="VZT6" s="474"/>
      <c r="VZU6" s="473"/>
      <c r="VZV6" s="474"/>
      <c r="VZW6" s="473"/>
      <c r="VZX6" s="474"/>
      <c r="VZY6" s="473"/>
      <c r="VZZ6" s="474"/>
      <c r="WAA6" s="473"/>
      <c r="WAB6" s="474"/>
      <c r="WAC6" s="473"/>
      <c r="WAD6" s="474"/>
      <c r="WAE6" s="473"/>
      <c r="WAF6" s="474"/>
      <c r="WAG6" s="473"/>
      <c r="WAH6" s="474"/>
      <c r="WAI6" s="473"/>
      <c r="WAJ6" s="474"/>
      <c r="WAK6" s="473"/>
      <c r="WAL6" s="474"/>
      <c r="WAM6" s="473"/>
      <c r="WAN6" s="474"/>
      <c r="WAO6" s="473"/>
      <c r="WAP6" s="474"/>
      <c r="WAQ6" s="473"/>
      <c r="WAR6" s="474"/>
      <c r="WAS6" s="473"/>
      <c r="WAT6" s="474"/>
      <c r="WAU6" s="473"/>
      <c r="WAV6" s="474"/>
      <c r="WAW6" s="473"/>
      <c r="WAX6" s="474"/>
      <c r="WAY6" s="473"/>
      <c r="WAZ6" s="474"/>
      <c r="WBA6" s="473"/>
      <c r="WBB6" s="474"/>
      <c r="WBC6" s="473"/>
      <c r="WBD6" s="474"/>
      <c r="WBE6" s="473"/>
      <c r="WBF6" s="474"/>
      <c r="WBG6" s="473"/>
      <c r="WBH6" s="474"/>
      <c r="WBI6" s="473"/>
      <c r="WBJ6" s="474"/>
      <c r="WBK6" s="473"/>
      <c r="WBL6" s="474"/>
      <c r="WBM6" s="473"/>
      <c r="WBN6" s="474"/>
      <c r="WBO6" s="473"/>
      <c r="WBP6" s="474"/>
      <c r="WBQ6" s="473"/>
      <c r="WBR6" s="474"/>
      <c r="WBS6" s="473"/>
      <c r="WBT6" s="474"/>
      <c r="WBU6" s="473"/>
      <c r="WBV6" s="474"/>
      <c r="WBW6" s="473"/>
      <c r="WBX6" s="474"/>
      <c r="WBY6" s="473"/>
      <c r="WBZ6" s="474"/>
      <c r="WCA6" s="473"/>
      <c r="WCB6" s="474"/>
      <c r="WCC6" s="473"/>
      <c r="WCD6" s="474"/>
      <c r="WCE6" s="473"/>
      <c r="WCF6" s="474"/>
      <c r="WCG6" s="473"/>
      <c r="WCH6" s="474"/>
      <c r="WCI6" s="473"/>
      <c r="WCJ6" s="474"/>
      <c r="WCK6" s="473"/>
      <c r="WCL6" s="474"/>
      <c r="WCM6" s="473"/>
      <c r="WCN6" s="474"/>
      <c r="WCO6" s="473"/>
      <c r="WCP6" s="474"/>
      <c r="WCQ6" s="473"/>
      <c r="WCR6" s="474"/>
      <c r="WCS6" s="473"/>
      <c r="WCT6" s="474"/>
      <c r="WCU6" s="473"/>
      <c r="WCV6" s="474"/>
      <c r="WCW6" s="473"/>
      <c r="WCX6" s="474"/>
      <c r="WCY6" s="473"/>
      <c r="WCZ6" s="474"/>
      <c r="WDA6" s="473"/>
      <c r="WDB6" s="474"/>
      <c r="WDC6" s="473"/>
      <c r="WDD6" s="474"/>
      <c r="WDE6" s="473"/>
      <c r="WDF6" s="474"/>
      <c r="WDG6" s="473"/>
      <c r="WDH6" s="474"/>
      <c r="WDI6" s="473"/>
      <c r="WDJ6" s="474"/>
      <c r="WDK6" s="473"/>
      <c r="WDL6" s="474"/>
      <c r="WDM6" s="473"/>
      <c r="WDN6" s="474"/>
      <c r="WDO6" s="473"/>
      <c r="WDP6" s="474"/>
      <c r="WDQ6" s="473"/>
      <c r="WDR6" s="474"/>
      <c r="WDS6" s="473"/>
      <c r="WDT6" s="474"/>
      <c r="WDU6" s="473"/>
      <c r="WDV6" s="474"/>
      <c r="WDW6" s="473"/>
      <c r="WDX6" s="474"/>
      <c r="WDY6" s="473"/>
      <c r="WDZ6" s="474"/>
      <c r="WEA6" s="473"/>
      <c r="WEB6" s="474"/>
      <c r="WEC6" s="473"/>
      <c r="WED6" s="474"/>
      <c r="WEE6" s="473"/>
      <c r="WEF6" s="474"/>
      <c r="WEG6" s="473"/>
      <c r="WEH6" s="474"/>
      <c r="WEI6" s="473"/>
      <c r="WEJ6" s="474"/>
      <c r="WEK6" s="473"/>
      <c r="WEL6" s="474"/>
      <c r="WEM6" s="473"/>
      <c r="WEN6" s="474"/>
      <c r="WEO6" s="473"/>
      <c r="WEP6" s="474"/>
      <c r="WEQ6" s="473"/>
      <c r="WER6" s="474"/>
      <c r="WES6" s="473"/>
      <c r="WET6" s="474"/>
      <c r="WEU6" s="473"/>
      <c r="WEV6" s="474"/>
      <c r="WEW6" s="473"/>
      <c r="WEX6" s="474"/>
      <c r="WEY6" s="473"/>
      <c r="WEZ6" s="474"/>
      <c r="WFA6" s="473"/>
      <c r="WFB6" s="474"/>
      <c r="WFC6" s="473"/>
      <c r="WFD6" s="474"/>
      <c r="WFE6" s="473"/>
      <c r="WFF6" s="474"/>
      <c r="WFG6" s="473"/>
      <c r="WFH6" s="474"/>
      <c r="WFI6" s="473"/>
      <c r="WFJ6" s="474"/>
      <c r="WFK6" s="473"/>
      <c r="WFL6" s="474"/>
      <c r="WFM6" s="473"/>
      <c r="WFN6" s="474"/>
      <c r="WFO6" s="473"/>
      <c r="WFP6" s="474"/>
      <c r="WFQ6" s="473"/>
      <c r="WFR6" s="474"/>
      <c r="WFS6" s="473"/>
      <c r="WFT6" s="474"/>
      <c r="WFU6" s="473"/>
      <c r="WFV6" s="474"/>
      <c r="WFW6" s="473"/>
      <c r="WFX6" s="474"/>
      <c r="WFY6" s="473"/>
      <c r="WFZ6" s="474"/>
      <c r="WGA6" s="473"/>
      <c r="WGB6" s="474"/>
      <c r="WGC6" s="473"/>
      <c r="WGD6" s="474"/>
      <c r="WGE6" s="473"/>
      <c r="WGF6" s="474"/>
      <c r="WGG6" s="473"/>
      <c r="WGH6" s="474"/>
      <c r="WGI6" s="473"/>
      <c r="WGJ6" s="474"/>
      <c r="WGK6" s="473"/>
      <c r="WGL6" s="474"/>
      <c r="WGM6" s="473"/>
      <c r="WGN6" s="474"/>
      <c r="WGO6" s="473"/>
      <c r="WGP6" s="474"/>
      <c r="WGQ6" s="473"/>
      <c r="WGR6" s="474"/>
      <c r="WGS6" s="473"/>
      <c r="WGT6" s="474"/>
      <c r="WGU6" s="473"/>
      <c r="WGV6" s="474"/>
      <c r="WGW6" s="473"/>
      <c r="WGX6" s="474"/>
      <c r="WGY6" s="473"/>
      <c r="WGZ6" s="474"/>
      <c r="WHA6" s="473"/>
      <c r="WHB6" s="474"/>
      <c r="WHC6" s="473"/>
      <c r="WHD6" s="474"/>
      <c r="WHE6" s="473"/>
      <c r="WHF6" s="474"/>
      <c r="WHG6" s="473"/>
      <c r="WHH6" s="474"/>
      <c r="WHI6" s="473"/>
      <c r="WHJ6" s="474"/>
      <c r="WHK6" s="473"/>
      <c r="WHL6" s="474"/>
      <c r="WHM6" s="473"/>
      <c r="WHN6" s="474"/>
      <c r="WHO6" s="473"/>
      <c r="WHP6" s="474"/>
      <c r="WHQ6" s="473"/>
      <c r="WHR6" s="474"/>
      <c r="WHS6" s="473"/>
      <c r="WHT6" s="474"/>
      <c r="WHU6" s="473"/>
      <c r="WHV6" s="474"/>
      <c r="WHW6" s="473"/>
      <c r="WHX6" s="474"/>
      <c r="WHY6" s="473"/>
      <c r="WHZ6" s="474"/>
      <c r="WIA6" s="473"/>
      <c r="WIB6" s="474"/>
      <c r="WIC6" s="473"/>
      <c r="WID6" s="474"/>
      <c r="WIE6" s="473"/>
      <c r="WIF6" s="474"/>
      <c r="WIG6" s="473"/>
      <c r="WIH6" s="474"/>
      <c r="WII6" s="473"/>
      <c r="WIJ6" s="474"/>
      <c r="WIK6" s="473"/>
      <c r="WIL6" s="474"/>
      <c r="WIM6" s="473"/>
      <c r="WIN6" s="474"/>
      <c r="WIO6" s="473"/>
      <c r="WIP6" s="474"/>
      <c r="WIQ6" s="473"/>
      <c r="WIR6" s="474"/>
      <c r="WIS6" s="473"/>
      <c r="WIT6" s="474"/>
      <c r="WIU6" s="473"/>
      <c r="WIV6" s="474"/>
      <c r="WIW6" s="473"/>
      <c r="WIX6" s="474"/>
      <c r="WIY6" s="473"/>
      <c r="WIZ6" s="474"/>
      <c r="WJA6" s="473"/>
      <c r="WJB6" s="474"/>
      <c r="WJC6" s="473"/>
      <c r="WJD6" s="474"/>
      <c r="WJE6" s="473"/>
      <c r="WJF6" s="474"/>
      <c r="WJG6" s="473"/>
      <c r="WJH6" s="474"/>
      <c r="WJI6" s="473"/>
      <c r="WJJ6" s="474"/>
      <c r="WJK6" s="473"/>
      <c r="WJL6" s="474"/>
      <c r="WJM6" s="473"/>
      <c r="WJN6" s="474"/>
      <c r="WJO6" s="473"/>
      <c r="WJP6" s="474"/>
      <c r="WJQ6" s="473"/>
      <c r="WJR6" s="474"/>
      <c r="WJS6" s="473"/>
      <c r="WJT6" s="474"/>
      <c r="WJU6" s="473"/>
      <c r="WJV6" s="474"/>
      <c r="WJW6" s="473"/>
      <c r="WJX6" s="474"/>
      <c r="WJY6" s="473"/>
      <c r="WJZ6" s="474"/>
      <c r="WKA6" s="473"/>
      <c r="WKB6" s="474"/>
      <c r="WKC6" s="473"/>
      <c r="WKD6" s="474"/>
      <c r="WKE6" s="473"/>
      <c r="WKF6" s="474"/>
      <c r="WKG6" s="473"/>
      <c r="WKH6" s="474"/>
      <c r="WKI6" s="473"/>
      <c r="WKJ6" s="474"/>
      <c r="WKK6" s="473"/>
      <c r="WKL6" s="474"/>
      <c r="WKM6" s="473"/>
      <c r="WKN6" s="474"/>
      <c r="WKO6" s="473"/>
      <c r="WKP6" s="474"/>
      <c r="WKQ6" s="473"/>
      <c r="WKR6" s="474"/>
      <c r="WKS6" s="473"/>
      <c r="WKT6" s="474"/>
      <c r="WKU6" s="473"/>
      <c r="WKV6" s="474"/>
      <c r="WKW6" s="473"/>
      <c r="WKX6" s="474"/>
      <c r="WKY6" s="473"/>
      <c r="WKZ6" s="474"/>
      <c r="WLA6" s="473"/>
      <c r="WLB6" s="474"/>
      <c r="WLC6" s="473"/>
      <c r="WLD6" s="474"/>
      <c r="WLE6" s="473"/>
      <c r="WLF6" s="474"/>
      <c r="WLG6" s="473"/>
      <c r="WLH6" s="474"/>
      <c r="WLI6" s="473"/>
      <c r="WLJ6" s="474"/>
      <c r="WLK6" s="473"/>
      <c r="WLL6" s="474"/>
      <c r="WLM6" s="473"/>
      <c r="WLN6" s="474"/>
      <c r="WLO6" s="473"/>
      <c r="WLP6" s="474"/>
      <c r="WLQ6" s="473"/>
      <c r="WLR6" s="474"/>
      <c r="WLS6" s="473"/>
      <c r="WLT6" s="474"/>
      <c r="WLU6" s="473"/>
      <c r="WLV6" s="474"/>
      <c r="WLW6" s="473"/>
      <c r="WLX6" s="474"/>
      <c r="WLY6" s="473"/>
      <c r="WLZ6" s="474"/>
      <c r="WMA6" s="473"/>
      <c r="WMB6" s="474"/>
      <c r="WMC6" s="473"/>
      <c r="WMD6" s="474"/>
      <c r="WME6" s="473"/>
      <c r="WMF6" s="474"/>
      <c r="WMG6" s="473"/>
      <c r="WMH6" s="474"/>
      <c r="WMI6" s="473"/>
      <c r="WMJ6" s="474"/>
      <c r="WMK6" s="473"/>
      <c r="WML6" s="474"/>
      <c r="WMM6" s="473"/>
      <c r="WMN6" s="474"/>
      <c r="WMO6" s="473"/>
      <c r="WMP6" s="474"/>
      <c r="WMQ6" s="473"/>
      <c r="WMR6" s="474"/>
      <c r="WMS6" s="473"/>
      <c r="WMT6" s="474"/>
      <c r="WMU6" s="473"/>
      <c r="WMV6" s="474"/>
      <c r="WMW6" s="473"/>
      <c r="WMX6" s="474"/>
      <c r="WMY6" s="473"/>
      <c r="WMZ6" s="474"/>
      <c r="WNA6" s="473"/>
      <c r="WNB6" s="474"/>
      <c r="WNC6" s="473"/>
      <c r="WND6" s="474"/>
      <c r="WNE6" s="473"/>
      <c r="WNF6" s="474"/>
      <c r="WNG6" s="473"/>
      <c r="WNH6" s="474"/>
      <c r="WNI6" s="473"/>
      <c r="WNJ6" s="474"/>
      <c r="WNK6" s="473"/>
      <c r="WNL6" s="474"/>
      <c r="WNM6" s="473"/>
      <c r="WNN6" s="474"/>
      <c r="WNO6" s="473"/>
      <c r="WNP6" s="474"/>
      <c r="WNQ6" s="473"/>
      <c r="WNR6" s="474"/>
      <c r="WNS6" s="473"/>
      <c r="WNT6" s="474"/>
      <c r="WNU6" s="473"/>
      <c r="WNV6" s="474"/>
      <c r="WNW6" s="473"/>
      <c r="WNX6" s="474"/>
      <c r="WNY6" s="473"/>
      <c r="WNZ6" s="474"/>
      <c r="WOA6" s="473"/>
      <c r="WOB6" s="474"/>
      <c r="WOC6" s="473"/>
      <c r="WOD6" s="474"/>
      <c r="WOE6" s="473"/>
      <c r="WOF6" s="474"/>
      <c r="WOG6" s="473"/>
      <c r="WOH6" s="474"/>
      <c r="WOI6" s="473"/>
      <c r="WOJ6" s="474"/>
      <c r="WOK6" s="473"/>
      <c r="WOL6" s="474"/>
      <c r="WOM6" s="473"/>
      <c r="WON6" s="474"/>
      <c r="WOO6" s="473"/>
      <c r="WOP6" s="474"/>
      <c r="WOQ6" s="473"/>
      <c r="WOR6" s="474"/>
      <c r="WOS6" s="473"/>
      <c r="WOT6" s="474"/>
      <c r="WOU6" s="473"/>
      <c r="WOV6" s="474"/>
      <c r="WOW6" s="473"/>
      <c r="WOX6" s="474"/>
      <c r="WOY6" s="473"/>
      <c r="WOZ6" s="474"/>
      <c r="WPA6" s="473"/>
      <c r="WPB6" s="474"/>
      <c r="WPC6" s="473"/>
      <c r="WPD6" s="474"/>
      <c r="WPE6" s="473"/>
      <c r="WPF6" s="474"/>
      <c r="WPG6" s="473"/>
      <c r="WPH6" s="474"/>
      <c r="WPI6" s="473"/>
      <c r="WPJ6" s="474"/>
      <c r="WPK6" s="473"/>
      <c r="WPL6" s="474"/>
      <c r="WPM6" s="473"/>
      <c r="WPN6" s="474"/>
      <c r="WPO6" s="473"/>
      <c r="WPP6" s="474"/>
      <c r="WPQ6" s="473"/>
      <c r="WPR6" s="474"/>
      <c r="WPS6" s="473"/>
      <c r="WPT6" s="474"/>
      <c r="WPU6" s="473"/>
      <c r="WPV6" s="474"/>
      <c r="WPW6" s="473"/>
      <c r="WPX6" s="474"/>
      <c r="WPY6" s="473"/>
      <c r="WPZ6" s="474"/>
      <c r="WQA6" s="473"/>
      <c r="WQB6" s="474"/>
      <c r="WQC6" s="473"/>
      <c r="WQD6" s="474"/>
      <c r="WQE6" s="473"/>
      <c r="WQF6" s="474"/>
      <c r="WQG6" s="473"/>
      <c r="WQH6" s="474"/>
      <c r="WQI6" s="473"/>
      <c r="WQJ6" s="474"/>
      <c r="WQK6" s="473"/>
      <c r="WQL6" s="474"/>
      <c r="WQM6" s="473"/>
      <c r="WQN6" s="474"/>
      <c r="WQO6" s="473"/>
      <c r="WQP6" s="474"/>
      <c r="WQQ6" s="473"/>
      <c r="WQR6" s="474"/>
      <c r="WQS6" s="473"/>
      <c r="WQT6" s="474"/>
      <c r="WQU6" s="473"/>
      <c r="WQV6" s="474"/>
      <c r="WQW6" s="473"/>
      <c r="WQX6" s="474"/>
      <c r="WQY6" s="473"/>
      <c r="WQZ6" s="474"/>
      <c r="WRA6" s="473"/>
      <c r="WRB6" s="474"/>
      <c r="WRC6" s="473"/>
      <c r="WRD6" s="474"/>
      <c r="WRE6" s="473"/>
      <c r="WRF6" s="474"/>
      <c r="WRG6" s="473"/>
      <c r="WRH6" s="474"/>
      <c r="WRI6" s="473"/>
      <c r="WRJ6" s="474"/>
      <c r="WRK6" s="473"/>
      <c r="WRL6" s="474"/>
      <c r="WRM6" s="473"/>
      <c r="WRN6" s="474"/>
      <c r="WRO6" s="473"/>
      <c r="WRP6" s="474"/>
      <c r="WRQ6" s="473"/>
      <c r="WRR6" s="474"/>
      <c r="WRS6" s="473"/>
      <c r="WRT6" s="474"/>
      <c r="WRU6" s="473"/>
      <c r="WRV6" s="474"/>
      <c r="WRW6" s="473"/>
      <c r="WRX6" s="474"/>
      <c r="WRY6" s="473"/>
      <c r="WRZ6" s="474"/>
      <c r="WSA6" s="473"/>
      <c r="WSB6" s="474"/>
      <c r="WSC6" s="473"/>
      <c r="WSD6" s="474"/>
      <c r="WSE6" s="473"/>
      <c r="WSF6" s="474"/>
      <c r="WSG6" s="473"/>
      <c r="WSH6" s="474"/>
      <c r="WSI6" s="473"/>
      <c r="WSJ6" s="474"/>
      <c r="WSK6" s="473"/>
      <c r="WSL6" s="474"/>
      <c r="WSM6" s="473"/>
      <c r="WSN6" s="474"/>
      <c r="WSO6" s="473"/>
      <c r="WSP6" s="474"/>
      <c r="WSQ6" s="473"/>
      <c r="WSR6" s="474"/>
      <c r="WSS6" s="473"/>
      <c r="WST6" s="474"/>
      <c r="WSU6" s="473"/>
      <c r="WSV6" s="474"/>
      <c r="WSW6" s="473"/>
      <c r="WSX6" s="474"/>
      <c r="WSY6" s="473"/>
      <c r="WSZ6" s="474"/>
      <c r="WTA6" s="473"/>
      <c r="WTB6" s="474"/>
      <c r="WTC6" s="473"/>
      <c r="WTD6" s="474"/>
      <c r="WTE6" s="473"/>
      <c r="WTF6" s="474"/>
      <c r="WTG6" s="473"/>
      <c r="WTH6" s="474"/>
      <c r="WTI6" s="473"/>
      <c r="WTJ6" s="474"/>
      <c r="WTK6" s="473"/>
      <c r="WTL6" s="474"/>
      <c r="WTM6" s="473"/>
      <c r="WTN6" s="474"/>
      <c r="WTO6" s="473"/>
      <c r="WTP6" s="474"/>
      <c r="WTQ6" s="473"/>
      <c r="WTR6" s="474"/>
      <c r="WTS6" s="473"/>
      <c r="WTT6" s="474"/>
      <c r="WTU6" s="473"/>
      <c r="WTV6" s="474"/>
      <c r="WTW6" s="473"/>
      <c r="WTX6" s="474"/>
      <c r="WTY6" s="473"/>
      <c r="WTZ6" s="474"/>
      <c r="WUA6" s="473"/>
      <c r="WUB6" s="474"/>
      <c r="WUC6" s="473"/>
      <c r="WUD6" s="474"/>
      <c r="WUE6" s="473"/>
      <c r="WUF6" s="474"/>
      <c r="WUG6" s="473"/>
      <c r="WUH6" s="474"/>
      <c r="WUI6" s="473"/>
      <c r="WUJ6" s="474"/>
      <c r="WUK6" s="473"/>
      <c r="WUL6" s="474"/>
      <c r="WUM6" s="473"/>
      <c r="WUN6" s="474"/>
      <c r="WUO6" s="473"/>
      <c r="WUP6" s="474"/>
      <c r="WUQ6" s="473"/>
      <c r="WUR6" s="474"/>
      <c r="WUS6" s="473"/>
      <c r="WUT6" s="474"/>
      <c r="WUU6" s="473"/>
      <c r="WUV6" s="474"/>
      <c r="WUW6" s="473"/>
      <c r="WUX6" s="474"/>
      <c r="WUY6" s="473"/>
      <c r="WUZ6" s="474"/>
      <c r="WVA6" s="473"/>
      <c r="WVB6" s="474"/>
      <c r="WVC6" s="473"/>
      <c r="WVD6" s="474"/>
      <c r="WVE6" s="473"/>
      <c r="WVF6" s="474"/>
      <c r="WVG6" s="473"/>
      <c r="WVH6" s="474"/>
      <c r="WVI6" s="473"/>
      <c r="WVJ6" s="474"/>
      <c r="WVK6" s="473"/>
      <c r="WVL6" s="474"/>
      <c r="WVM6" s="473"/>
      <c r="WVN6" s="474"/>
      <c r="WVO6" s="473"/>
      <c r="WVP6" s="474"/>
      <c r="WVQ6" s="473"/>
      <c r="WVR6" s="474"/>
      <c r="WVS6" s="473"/>
      <c r="WVT6" s="474"/>
      <c r="WVU6" s="473"/>
      <c r="WVV6" s="474"/>
      <c r="WVW6" s="473"/>
      <c r="WVX6" s="474"/>
      <c r="WVY6" s="473"/>
      <c r="WVZ6" s="474"/>
      <c r="WWA6" s="473"/>
      <c r="WWB6" s="474"/>
      <c r="WWC6" s="473"/>
      <c r="WWD6" s="474"/>
      <c r="WWE6" s="473"/>
      <c r="WWF6" s="474"/>
      <c r="WWG6" s="473"/>
      <c r="WWH6" s="474"/>
      <c r="WWI6" s="473"/>
      <c r="WWJ6" s="474"/>
      <c r="WWK6" s="473"/>
      <c r="WWL6" s="474"/>
      <c r="WWM6" s="473"/>
      <c r="WWN6" s="474"/>
      <c r="WWO6" s="473"/>
      <c r="WWP6" s="474"/>
      <c r="WWQ6" s="473"/>
      <c r="WWR6" s="474"/>
      <c r="WWS6" s="473"/>
      <c r="WWT6" s="474"/>
      <c r="WWU6" s="473"/>
      <c r="WWV6" s="474"/>
      <c r="WWW6" s="473"/>
      <c r="WWX6" s="474"/>
      <c r="WWY6" s="473"/>
      <c r="WWZ6" s="474"/>
      <c r="WXA6" s="473"/>
      <c r="WXB6" s="474"/>
      <c r="WXC6" s="473"/>
      <c r="WXD6" s="474"/>
      <c r="WXE6" s="473"/>
      <c r="WXF6" s="474"/>
      <c r="WXG6" s="473"/>
      <c r="WXH6" s="474"/>
      <c r="WXI6" s="473"/>
      <c r="WXJ6" s="474"/>
      <c r="WXK6" s="473"/>
      <c r="WXL6" s="474"/>
      <c r="WXM6" s="473"/>
      <c r="WXN6" s="474"/>
      <c r="WXO6" s="473"/>
      <c r="WXP6" s="474"/>
      <c r="WXQ6" s="473"/>
      <c r="WXR6" s="474"/>
      <c r="WXS6" s="473"/>
      <c r="WXT6" s="474"/>
      <c r="WXU6" s="473"/>
      <c r="WXV6" s="474"/>
      <c r="WXW6" s="473"/>
      <c r="WXX6" s="474"/>
      <c r="WXY6" s="473"/>
      <c r="WXZ6" s="474"/>
      <c r="WYA6" s="473"/>
      <c r="WYB6" s="474"/>
      <c r="WYC6" s="473"/>
      <c r="WYD6" s="474"/>
      <c r="WYE6" s="473"/>
      <c r="WYF6" s="474"/>
      <c r="WYG6" s="473"/>
      <c r="WYH6" s="474"/>
      <c r="WYI6" s="473"/>
      <c r="WYJ6" s="474"/>
      <c r="WYK6" s="473"/>
      <c r="WYL6" s="474"/>
      <c r="WYM6" s="473"/>
      <c r="WYN6" s="474"/>
      <c r="WYO6" s="473"/>
      <c r="WYP6" s="474"/>
      <c r="WYQ6" s="473"/>
      <c r="WYR6" s="474"/>
      <c r="WYS6" s="473"/>
      <c r="WYT6" s="474"/>
      <c r="WYU6" s="473"/>
      <c r="WYV6" s="474"/>
      <c r="WYW6" s="473"/>
      <c r="WYX6" s="474"/>
      <c r="WYY6" s="473"/>
      <c r="WYZ6" s="474"/>
      <c r="WZA6" s="473"/>
      <c r="WZB6" s="474"/>
      <c r="WZC6" s="473"/>
      <c r="WZD6" s="474"/>
      <c r="WZE6" s="473"/>
      <c r="WZF6" s="474"/>
      <c r="WZG6" s="473"/>
      <c r="WZH6" s="474"/>
      <c r="WZI6" s="473"/>
      <c r="WZJ6" s="474"/>
      <c r="WZK6" s="473"/>
      <c r="WZL6" s="474"/>
      <c r="WZM6" s="473"/>
      <c r="WZN6" s="474"/>
      <c r="WZO6" s="473"/>
      <c r="WZP6" s="474"/>
      <c r="WZQ6" s="473"/>
      <c r="WZR6" s="474"/>
      <c r="WZS6" s="473"/>
      <c r="WZT6" s="474"/>
      <c r="WZU6" s="473"/>
      <c r="WZV6" s="474"/>
      <c r="WZW6" s="473"/>
      <c r="WZX6" s="474"/>
      <c r="WZY6" s="473"/>
      <c r="WZZ6" s="474"/>
      <c r="XAA6" s="473"/>
      <c r="XAB6" s="474"/>
      <c r="XAC6" s="473"/>
      <c r="XAD6" s="474"/>
      <c r="XAE6" s="473"/>
      <c r="XAF6" s="474"/>
      <c r="XAG6" s="473"/>
      <c r="XAH6" s="474"/>
      <c r="XAI6" s="473"/>
      <c r="XAJ6" s="474"/>
      <c r="XAK6" s="473"/>
      <c r="XAL6" s="474"/>
      <c r="XAM6" s="473"/>
      <c r="XAN6" s="474"/>
      <c r="XAO6" s="473"/>
      <c r="XAP6" s="474"/>
      <c r="XAQ6" s="473"/>
      <c r="XAR6" s="474"/>
      <c r="XAS6" s="473"/>
      <c r="XAT6" s="474"/>
      <c r="XAU6" s="473"/>
      <c r="XAV6" s="474"/>
      <c r="XAW6" s="473"/>
      <c r="XAX6" s="474"/>
      <c r="XAY6" s="473"/>
      <c r="XAZ6" s="474"/>
      <c r="XBA6" s="473"/>
      <c r="XBB6" s="474"/>
      <c r="XBC6" s="473"/>
      <c r="XBD6" s="474"/>
      <c r="XBE6" s="473"/>
      <c r="XBF6" s="474"/>
      <c r="XBG6" s="473"/>
      <c r="XBH6" s="474"/>
      <c r="XBI6" s="473"/>
      <c r="XBJ6" s="474"/>
      <c r="XBK6" s="473"/>
      <c r="XBL6" s="474"/>
      <c r="XBM6" s="473"/>
      <c r="XBN6" s="474"/>
      <c r="XBO6" s="473"/>
      <c r="XBP6" s="474"/>
      <c r="XBQ6" s="473"/>
      <c r="XBR6" s="474"/>
      <c r="XBS6" s="473"/>
      <c r="XBT6" s="474"/>
      <c r="XBU6" s="473"/>
      <c r="XBV6" s="474"/>
      <c r="XBW6" s="473"/>
      <c r="XBX6" s="474"/>
      <c r="XBY6" s="473"/>
      <c r="XBZ6" s="474"/>
      <c r="XCA6" s="473"/>
      <c r="XCB6" s="474"/>
      <c r="XCC6" s="473"/>
      <c r="XCD6" s="474"/>
      <c r="XCE6" s="473"/>
      <c r="XCF6" s="474"/>
      <c r="XCG6" s="473"/>
      <c r="XCH6" s="474"/>
      <c r="XCI6" s="473"/>
      <c r="XCJ6" s="474"/>
      <c r="XCK6" s="473"/>
      <c r="XCL6" s="474"/>
      <c r="XCM6" s="473"/>
      <c r="XCN6" s="474"/>
      <c r="XCO6" s="473"/>
      <c r="XCP6" s="474"/>
      <c r="XCQ6" s="473"/>
      <c r="XCR6" s="474"/>
      <c r="XCS6" s="473"/>
      <c r="XCT6" s="474"/>
      <c r="XCU6" s="473"/>
      <c r="XCV6" s="474"/>
      <c r="XCW6" s="473"/>
      <c r="XCX6" s="474"/>
      <c r="XCY6" s="473"/>
      <c r="XCZ6" s="474"/>
      <c r="XDA6" s="473"/>
      <c r="XDB6" s="474"/>
      <c r="XDC6" s="473"/>
      <c r="XDD6" s="474"/>
      <c r="XDE6" s="473"/>
      <c r="XDF6" s="474"/>
      <c r="XDG6" s="473"/>
      <c r="XDH6" s="474"/>
      <c r="XDI6" s="473"/>
      <c r="XDJ6" s="474"/>
      <c r="XDK6" s="473"/>
      <c r="XDL6" s="474"/>
      <c r="XDM6" s="473"/>
      <c r="XDN6" s="474"/>
      <c r="XDO6" s="473"/>
      <c r="XDP6" s="474"/>
      <c r="XDQ6" s="473"/>
      <c r="XDR6" s="474"/>
      <c r="XDS6" s="473"/>
      <c r="XDT6" s="474"/>
      <c r="XDU6" s="473"/>
      <c r="XDV6" s="474"/>
      <c r="XDW6" s="473"/>
      <c r="XDX6" s="474"/>
      <c r="XDY6" s="473"/>
      <c r="XDZ6" s="474"/>
      <c r="XEA6" s="473"/>
      <c r="XEB6" s="474"/>
      <c r="XEC6" s="473"/>
      <c r="XED6" s="474"/>
      <c r="XEE6" s="473"/>
      <c r="XEF6" s="474"/>
      <c r="XEG6" s="473"/>
      <c r="XEH6" s="474"/>
      <c r="XEI6" s="473"/>
      <c r="XEJ6" s="474"/>
      <c r="XEK6" s="473"/>
      <c r="XEL6" s="474"/>
      <c r="XEM6" s="473"/>
      <c r="XEN6" s="474"/>
      <c r="XEO6" s="473"/>
      <c r="XEP6" s="474"/>
      <c r="XEQ6" s="473"/>
      <c r="XER6" s="474"/>
      <c r="XES6" s="473"/>
      <c r="XET6" s="474"/>
      <c r="XEU6" s="473"/>
      <c r="XEV6" s="474"/>
      <c r="XEW6" s="473"/>
      <c r="XEX6" s="474"/>
      <c r="XEY6" s="473"/>
      <c r="XEZ6" s="474"/>
      <c r="XFA6" s="473"/>
      <c r="XFB6" s="474"/>
      <c r="XFC6" s="473"/>
      <c r="XFD6" s="474"/>
    </row>
    <row r="7" spans="1:16384" s="474" customFormat="1" x14ac:dyDescent="0.2">
      <c r="A7" s="7"/>
      <c r="B7" s="545" t="s">
        <v>213</v>
      </c>
      <c r="C7" s="534" t="s">
        <v>214</v>
      </c>
      <c r="D7" s="535">
        <v>1.47</v>
      </c>
      <c r="E7" s="548">
        <v>3890</v>
      </c>
      <c r="F7" s="548">
        <v>4045</v>
      </c>
      <c r="G7" s="536">
        <v>0.26</v>
      </c>
      <c r="H7" s="537">
        <f t="shared" si="0"/>
        <v>0.85882344445086367</v>
      </c>
      <c r="I7" s="641"/>
      <c r="J7" s="645" t="s">
        <v>438</v>
      </c>
      <c r="K7" s="437">
        <f>'Three Statement Model'!V29</f>
        <v>0.32266666666666666</v>
      </c>
      <c r="L7" s="642"/>
      <c r="M7" s="505"/>
      <c r="N7" s="507"/>
      <c r="O7"/>
      <c r="Q7"/>
      <c r="S7"/>
      <c r="U7"/>
      <c r="W7"/>
      <c r="Y7"/>
      <c r="AA7"/>
      <c r="AC7"/>
      <c r="AE7"/>
      <c r="AG7"/>
      <c r="AI7"/>
      <c r="AK7"/>
      <c r="AM7"/>
      <c r="AO7"/>
      <c r="AQ7"/>
      <c r="AS7"/>
      <c r="AU7"/>
      <c r="AW7"/>
      <c r="AY7"/>
      <c r="BA7"/>
      <c r="BC7"/>
      <c r="BE7"/>
      <c r="BG7"/>
      <c r="BI7"/>
      <c r="BK7"/>
      <c r="BM7"/>
      <c r="BO7"/>
      <c r="BQ7"/>
      <c r="BS7"/>
      <c r="BU7"/>
      <c r="BW7"/>
      <c r="BY7"/>
      <c r="CA7"/>
      <c r="CC7"/>
      <c r="CE7"/>
      <c r="CG7"/>
      <c r="CI7"/>
      <c r="CK7"/>
      <c r="CM7"/>
      <c r="CO7"/>
      <c r="CQ7"/>
      <c r="CS7"/>
      <c r="CU7"/>
      <c r="CW7"/>
      <c r="CY7"/>
      <c r="DA7"/>
      <c r="DC7"/>
      <c r="DE7"/>
      <c r="DG7"/>
      <c r="DI7"/>
      <c r="DK7"/>
      <c r="DM7"/>
      <c r="DO7"/>
      <c r="DQ7"/>
      <c r="DS7"/>
      <c r="DU7"/>
      <c r="DW7"/>
      <c r="DY7"/>
      <c r="EA7"/>
      <c r="EC7"/>
      <c r="EE7"/>
      <c r="EG7"/>
      <c r="EI7"/>
      <c r="EK7"/>
      <c r="EM7"/>
      <c r="EO7"/>
      <c r="EQ7"/>
      <c r="ES7"/>
      <c r="EU7"/>
      <c r="EW7"/>
      <c r="EY7"/>
      <c r="FA7"/>
      <c r="FC7"/>
      <c r="FE7"/>
      <c r="FG7"/>
      <c r="FI7"/>
      <c r="FK7"/>
      <c r="FM7"/>
      <c r="FO7"/>
      <c r="FQ7"/>
      <c r="FS7"/>
      <c r="FU7"/>
      <c r="FW7"/>
      <c r="FY7"/>
      <c r="GA7"/>
      <c r="GC7"/>
      <c r="GE7"/>
      <c r="GG7"/>
      <c r="GI7"/>
      <c r="GK7"/>
      <c r="GM7"/>
      <c r="GO7"/>
      <c r="GQ7"/>
      <c r="GS7"/>
      <c r="GU7"/>
      <c r="GW7"/>
      <c r="GY7"/>
      <c r="HA7"/>
      <c r="HC7"/>
      <c r="HE7"/>
      <c r="HG7"/>
      <c r="HI7"/>
      <c r="HK7"/>
      <c r="HM7"/>
      <c r="HO7"/>
      <c r="HQ7"/>
      <c r="HS7"/>
      <c r="HU7"/>
      <c r="HW7"/>
      <c r="HY7"/>
      <c r="IA7"/>
      <c r="IC7"/>
      <c r="IE7"/>
      <c r="IG7"/>
      <c r="II7"/>
      <c r="IK7"/>
      <c r="IM7"/>
      <c r="IO7"/>
      <c r="IQ7"/>
      <c r="IS7"/>
      <c r="IU7"/>
      <c r="IW7"/>
      <c r="IY7"/>
      <c r="JA7"/>
      <c r="JC7"/>
      <c r="JE7"/>
      <c r="JG7"/>
      <c r="JI7"/>
      <c r="JK7"/>
      <c r="JM7"/>
      <c r="JO7"/>
      <c r="JQ7"/>
      <c r="JS7"/>
      <c r="JU7"/>
      <c r="JW7"/>
      <c r="JY7"/>
      <c r="KA7"/>
      <c r="KC7"/>
      <c r="KE7"/>
      <c r="KG7"/>
      <c r="KI7"/>
      <c r="KK7"/>
      <c r="KM7"/>
      <c r="KO7"/>
      <c r="KQ7"/>
      <c r="KS7"/>
      <c r="KU7"/>
      <c r="KW7"/>
      <c r="KY7"/>
      <c r="LA7"/>
      <c r="LC7"/>
      <c r="LE7"/>
      <c r="LG7"/>
      <c r="LI7"/>
      <c r="LK7"/>
      <c r="LM7"/>
      <c r="LO7"/>
      <c r="LQ7"/>
      <c r="LS7"/>
      <c r="LU7"/>
      <c r="LW7"/>
      <c r="LY7"/>
      <c r="MA7"/>
      <c r="MC7"/>
      <c r="ME7"/>
      <c r="MG7"/>
      <c r="MI7"/>
      <c r="MK7"/>
      <c r="MM7"/>
      <c r="MO7"/>
      <c r="MQ7"/>
      <c r="MS7"/>
      <c r="MU7"/>
      <c r="MW7"/>
      <c r="MY7"/>
      <c r="NA7"/>
      <c r="NC7"/>
      <c r="NE7"/>
      <c r="NG7"/>
      <c r="NI7"/>
      <c r="NK7"/>
      <c r="NM7"/>
      <c r="NO7"/>
      <c r="NQ7"/>
      <c r="NS7"/>
      <c r="NU7"/>
      <c r="NW7"/>
      <c r="NY7"/>
      <c r="OA7"/>
      <c r="OC7"/>
      <c r="OE7"/>
      <c r="OG7"/>
      <c r="OI7"/>
      <c r="OK7"/>
      <c r="OM7"/>
      <c r="OO7"/>
      <c r="OQ7"/>
      <c r="OS7"/>
      <c r="OU7"/>
      <c r="OW7"/>
      <c r="OY7"/>
      <c r="PA7"/>
      <c r="PC7"/>
      <c r="PE7"/>
      <c r="PG7"/>
      <c r="PI7"/>
      <c r="PK7"/>
      <c r="PM7"/>
      <c r="PO7"/>
      <c r="PQ7"/>
      <c r="PS7"/>
      <c r="PU7"/>
      <c r="PW7"/>
      <c r="PY7"/>
      <c r="QA7"/>
      <c r="QC7"/>
      <c r="QE7"/>
      <c r="QG7"/>
      <c r="QI7"/>
      <c r="QK7"/>
      <c r="QM7"/>
      <c r="QO7"/>
      <c r="QQ7"/>
      <c r="QS7"/>
      <c r="QU7"/>
      <c r="QW7"/>
      <c r="QY7"/>
      <c r="RA7"/>
      <c r="RC7"/>
      <c r="RE7"/>
      <c r="RG7"/>
      <c r="RI7"/>
      <c r="RK7"/>
      <c r="RM7"/>
      <c r="RO7"/>
      <c r="RQ7"/>
      <c r="RS7"/>
      <c r="RU7"/>
      <c r="RW7"/>
      <c r="RY7"/>
      <c r="SA7"/>
      <c r="SC7"/>
      <c r="SE7"/>
      <c r="SG7"/>
      <c r="SI7"/>
      <c r="SK7"/>
      <c r="SM7"/>
      <c r="SO7"/>
      <c r="SQ7"/>
      <c r="SS7"/>
      <c r="SU7"/>
      <c r="SW7"/>
      <c r="SY7"/>
      <c r="TA7"/>
      <c r="TC7"/>
      <c r="TE7"/>
      <c r="TG7"/>
      <c r="TI7"/>
      <c r="TK7"/>
      <c r="TM7"/>
      <c r="TO7"/>
      <c r="TQ7"/>
      <c r="TS7"/>
      <c r="TU7"/>
      <c r="TW7"/>
      <c r="TY7"/>
      <c r="UA7"/>
      <c r="UC7"/>
      <c r="UE7"/>
      <c r="UG7"/>
      <c r="UI7"/>
      <c r="UK7"/>
      <c r="UM7"/>
      <c r="UO7"/>
      <c r="UQ7"/>
      <c r="US7"/>
      <c r="UU7"/>
      <c r="UW7"/>
      <c r="UY7"/>
      <c r="VA7"/>
      <c r="VC7"/>
      <c r="VE7"/>
      <c r="VG7"/>
      <c r="VI7"/>
      <c r="VK7"/>
      <c r="VM7"/>
      <c r="VO7"/>
      <c r="VQ7"/>
      <c r="VS7"/>
      <c r="VU7"/>
      <c r="VW7"/>
      <c r="VY7"/>
      <c r="WA7"/>
      <c r="WC7"/>
      <c r="WE7"/>
      <c r="WG7"/>
      <c r="WI7"/>
      <c r="WK7"/>
      <c r="WM7"/>
      <c r="WO7"/>
      <c r="WQ7"/>
      <c r="WS7"/>
      <c r="WU7"/>
      <c r="WW7"/>
      <c r="WY7"/>
      <c r="XA7"/>
      <c r="XC7"/>
      <c r="XE7"/>
      <c r="XG7"/>
      <c r="XI7"/>
      <c r="XK7"/>
      <c r="XM7"/>
      <c r="XO7"/>
      <c r="XQ7"/>
      <c r="XS7"/>
      <c r="XU7"/>
      <c r="XW7"/>
      <c r="XY7"/>
      <c r="YA7"/>
      <c r="YC7"/>
      <c r="YE7"/>
      <c r="YG7"/>
      <c r="YI7"/>
      <c r="YK7"/>
      <c r="YM7"/>
      <c r="YO7"/>
      <c r="YQ7"/>
      <c r="YS7"/>
      <c r="YU7"/>
      <c r="YW7"/>
      <c r="YY7"/>
      <c r="ZA7"/>
      <c r="ZC7"/>
      <c r="ZE7"/>
      <c r="ZG7"/>
      <c r="ZI7"/>
      <c r="ZK7"/>
      <c r="ZM7"/>
      <c r="ZO7"/>
      <c r="ZQ7"/>
      <c r="ZS7"/>
      <c r="ZU7"/>
      <c r="ZW7"/>
      <c r="ZY7"/>
      <c r="AAA7"/>
      <c r="AAC7"/>
      <c r="AAE7"/>
      <c r="AAG7"/>
      <c r="AAI7"/>
      <c r="AAK7"/>
      <c r="AAM7"/>
      <c r="AAO7"/>
      <c r="AAQ7"/>
      <c r="AAS7"/>
      <c r="AAU7"/>
      <c r="AAW7"/>
      <c r="AAY7"/>
      <c r="ABA7"/>
      <c r="ABC7"/>
      <c r="ABE7"/>
      <c r="ABG7"/>
      <c r="ABI7"/>
      <c r="ABK7"/>
      <c r="ABM7"/>
      <c r="ABO7"/>
      <c r="ABQ7"/>
      <c r="ABS7"/>
      <c r="ABU7"/>
      <c r="ABW7"/>
      <c r="ABY7"/>
      <c r="ACA7"/>
      <c r="ACC7"/>
      <c r="ACE7"/>
      <c r="ACG7"/>
      <c r="ACI7"/>
      <c r="ACK7"/>
      <c r="ACM7"/>
      <c r="ACO7"/>
      <c r="ACQ7"/>
      <c r="ACS7"/>
      <c r="ACU7"/>
      <c r="ACW7"/>
      <c r="ACY7"/>
      <c r="ADA7"/>
      <c r="ADC7"/>
      <c r="ADE7"/>
      <c r="ADG7"/>
      <c r="ADI7"/>
      <c r="ADK7"/>
      <c r="ADM7"/>
      <c r="ADO7"/>
      <c r="ADQ7"/>
      <c r="ADS7"/>
      <c r="ADU7"/>
      <c r="ADW7"/>
      <c r="ADY7"/>
      <c r="AEA7"/>
      <c r="AEC7"/>
      <c r="AEE7"/>
      <c r="AEG7"/>
      <c r="AEI7"/>
      <c r="AEK7"/>
      <c r="AEM7"/>
      <c r="AEO7"/>
      <c r="AEQ7"/>
      <c r="AES7"/>
      <c r="AEU7"/>
      <c r="AEW7"/>
      <c r="AEY7"/>
      <c r="AFA7"/>
      <c r="AFC7"/>
      <c r="AFE7"/>
      <c r="AFG7"/>
      <c r="AFI7"/>
      <c r="AFK7"/>
      <c r="AFM7"/>
      <c r="AFO7"/>
      <c r="AFQ7"/>
      <c r="AFS7"/>
      <c r="AFU7"/>
      <c r="AFW7"/>
      <c r="AFY7"/>
      <c r="AGA7"/>
      <c r="AGC7"/>
      <c r="AGE7"/>
      <c r="AGG7"/>
      <c r="AGI7"/>
      <c r="AGK7"/>
      <c r="AGM7"/>
      <c r="AGO7"/>
      <c r="AGQ7"/>
      <c r="AGS7"/>
      <c r="AGU7"/>
      <c r="AGW7"/>
      <c r="AGY7"/>
      <c r="AHA7"/>
      <c r="AHC7"/>
      <c r="AHE7"/>
      <c r="AHG7"/>
      <c r="AHI7"/>
      <c r="AHK7"/>
      <c r="AHM7"/>
      <c r="AHO7"/>
      <c r="AHQ7"/>
      <c r="AHS7"/>
      <c r="AHU7"/>
      <c r="AHW7"/>
      <c r="AHY7"/>
      <c r="AIA7"/>
      <c r="AIC7"/>
      <c r="AIE7"/>
      <c r="AIG7"/>
      <c r="AII7"/>
      <c r="AIK7"/>
      <c r="AIM7"/>
      <c r="AIO7"/>
      <c r="AIQ7"/>
      <c r="AIS7"/>
      <c r="AIU7"/>
      <c r="AIW7"/>
      <c r="AIY7"/>
      <c r="AJA7"/>
      <c r="AJC7"/>
      <c r="AJE7"/>
      <c r="AJG7"/>
      <c r="AJI7"/>
      <c r="AJK7"/>
      <c r="AJM7"/>
      <c r="AJO7"/>
      <c r="AJQ7"/>
      <c r="AJS7"/>
      <c r="AJU7"/>
      <c r="AJW7"/>
      <c r="AJY7"/>
      <c r="AKA7"/>
      <c r="AKC7"/>
      <c r="AKE7"/>
      <c r="AKG7"/>
      <c r="AKI7"/>
      <c r="AKK7"/>
      <c r="AKM7"/>
      <c r="AKO7"/>
      <c r="AKQ7"/>
      <c r="AKS7"/>
      <c r="AKU7"/>
      <c r="AKW7"/>
      <c r="AKY7"/>
      <c r="ALA7"/>
      <c r="ALC7"/>
      <c r="ALE7"/>
      <c r="ALG7"/>
      <c r="ALI7"/>
      <c r="ALK7"/>
      <c r="ALM7"/>
      <c r="ALO7"/>
      <c r="ALQ7"/>
      <c r="ALS7"/>
      <c r="ALU7"/>
      <c r="ALW7"/>
      <c r="ALY7"/>
      <c r="AMA7"/>
      <c r="AMC7"/>
      <c r="AME7"/>
      <c r="AMG7"/>
      <c r="AMI7"/>
      <c r="AMK7"/>
      <c r="AMM7"/>
      <c r="AMO7"/>
      <c r="AMQ7"/>
      <c r="AMS7"/>
      <c r="AMU7"/>
      <c r="AMW7"/>
      <c r="AMY7"/>
      <c r="ANA7"/>
      <c r="ANC7"/>
      <c r="ANE7"/>
      <c r="ANG7"/>
      <c r="ANI7"/>
      <c r="ANK7"/>
      <c r="ANM7"/>
      <c r="ANO7"/>
      <c r="ANQ7"/>
      <c r="ANS7"/>
      <c r="ANU7"/>
      <c r="ANW7"/>
      <c r="ANY7"/>
      <c r="AOA7"/>
      <c r="AOC7"/>
      <c r="AOE7"/>
      <c r="AOG7"/>
      <c r="AOI7"/>
      <c r="AOK7"/>
      <c r="AOM7"/>
      <c r="AOO7"/>
      <c r="AOQ7"/>
      <c r="AOS7"/>
      <c r="AOU7"/>
      <c r="AOW7"/>
      <c r="AOY7"/>
      <c r="APA7"/>
      <c r="APC7"/>
      <c r="APE7"/>
      <c r="APG7"/>
      <c r="API7"/>
      <c r="APK7"/>
      <c r="APM7"/>
      <c r="APO7"/>
      <c r="APQ7"/>
      <c r="APS7"/>
      <c r="APU7"/>
      <c r="APW7"/>
      <c r="APY7"/>
      <c r="AQA7"/>
      <c r="AQC7"/>
      <c r="AQE7"/>
      <c r="AQG7"/>
      <c r="AQI7"/>
      <c r="AQK7"/>
      <c r="AQM7"/>
      <c r="AQO7"/>
      <c r="AQQ7"/>
      <c r="AQS7"/>
      <c r="AQU7"/>
      <c r="AQW7"/>
      <c r="AQY7"/>
      <c r="ARA7"/>
      <c r="ARC7"/>
      <c r="ARE7"/>
      <c r="ARG7"/>
      <c r="ARI7"/>
      <c r="ARK7"/>
      <c r="ARM7"/>
      <c r="ARO7"/>
      <c r="ARQ7"/>
      <c r="ARS7"/>
      <c r="ARU7"/>
      <c r="ARW7"/>
      <c r="ARY7"/>
      <c r="ASA7"/>
      <c r="ASC7"/>
      <c r="ASE7"/>
      <c r="ASG7"/>
      <c r="ASI7"/>
      <c r="ASK7"/>
      <c r="ASM7"/>
      <c r="ASO7"/>
      <c r="ASQ7"/>
      <c r="ASS7"/>
      <c r="ASU7"/>
      <c r="ASW7"/>
      <c r="ASY7"/>
      <c r="ATA7"/>
      <c r="ATC7"/>
      <c r="ATE7"/>
      <c r="ATG7"/>
      <c r="ATI7"/>
      <c r="ATK7"/>
      <c r="ATM7"/>
      <c r="ATO7"/>
      <c r="ATQ7"/>
      <c r="ATS7"/>
      <c r="ATU7"/>
      <c r="ATW7"/>
      <c r="ATY7"/>
      <c r="AUA7"/>
      <c r="AUC7"/>
      <c r="AUE7"/>
      <c r="AUG7"/>
      <c r="AUI7"/>
      <c r="AUK7"/>
      <c r="AUM7"/>
      <c r="AUO7"/>
      <c r="AUQ7"/>
      <c r="AUS7"/>
      <c r="AUU7"/>
      <c r="AUW7"/>
      <c r="AUY7"/>
      <c r="AVA7"/>
      <c r="AVC7"/>
      <c r="AVE7"/>
      <c r="AVG7"/>
      <c r="AVI7"/>
      <c r="AVK7"/>
      <c r="AVM7"/>
      <c r="AVO7"/>
      <c r="AVQ7"/>
      <c r="AVS7"/>
      <c r="AVU7"/>
      <c r="AVW7"/>
      <c r="AVY7"/>
      <c r="AWA7"/>
      <c r="AWC7"/>
      <c r="AWE7"/>
      <c r="AWG7"/>
      <c r="AWI7"/>
      <c r="AWK7"/>
      <c r="AWM7"/>
      <c r="AWO7"/>
      <c r="AWQ7"/>
      <c r="AWS7"/>
      <c r="AWU7"/>
      <c r="AWW7"/>
      <c r="AWY7"/>
      <c r="AXA7"/>
      <c r="AXC7"/>
      <c r="AXE7"/>
      <c r="AXG7"/>
      <c r="AXI7"/>
      <c r="AXK7"/>
      <c r="AXM7"/>
      <c r="AXO7"/>
      <c r="AXQ7"/>
      <c r="AXS7"/>
      <c r="AXU7"/>
      <c r="AXW7"/>
      <c r="AXY7"/>
      <c r="AYA7"/>
      <c r="AYC7"/>
      <c r="AYE7"/>
      <c r="AYG7"/>
      <c r="AYI7"/>
      <c r="AYK7"/>
      <c r="AYM7"/>
      <c r="AYO7"/>
      <c r="AYQ7"/>
      <c r="AYS7"/>
      <c r="AYU7"/>
      <c r="AYW7"/>
      <c r="AYY7"/>
      <c r="AZA7"/>
      <c r="AZC7"/>
      <c r="AZE7"/>
      <c r="AZG7"/>
      <c r="AZI7"/>
      <c r="AZK7"/>
      <c r="AZM7"/>
      <c r="AZO7"/>
      <c r="AZQ7"/>
      <c r="AZS7"/>
      <c r="AZU7"/>
      <c r="AZW7"/>
      <c r="AZY7"/>
      <c r="BAA7"/>
      <c r="BAC7"/>
      <c r="BAE7"/>
      <c r="BAG7"/>
      <c r="BAI7"/>
      <c r="BAK7"/>
      <c r="BAM7"/>
      <c r="BAO7"/>
      <c r="BAQ7"/>
      <c r="BAS7"/>
      <c r="BAU7"/>
      <c r="BAW7"/>
      <c r="BAY7"/>
      <c r="BBA7"/>
      <c r="BBC7"/>
      <c r="BBE7"/>
      <c r="BBG7"/>
      <c r="BBI7"/>
      <c r="BBK7"/>
      <c r="BBM7"/>
      <c r="BBO7"/>
      <c r="BBQ7"/>
      <c r="BBS7"/>
      <c r="BBU7"/>
      <c r="BBW7"/>
      <c r="BBY7"/>
      <c r="BCA7"/>
      <c r="BCC7"/>
      <c r="BCE7"/>
      <c r="BCG7"/>
      <c r="BCI7"/>
      <c r="BCK7"/>
      <c r="BCM7"/>
      <c r="BCO7"/>
      <c r="BCQ7"/>
      <c r="BCS7"/>
      <c r="BCU7"/>
      <c r="BCW7"/>
      <c r="BCY7"/>
      <c r="BDA7"/>
      <c r="BDC7"/>
      <c r="BDE7"/>
      <c r="BDG7"/>
      <c r="BDI7"/>
      <c r="BDK7"/>
      <c r="BDM7"/>
      <c r="BDO7"/>
      <c r="BDQ7"/>
      <c r="BDS7"/>
      <c r="BDU7"/>
      <c r="BDW7"/>
      <c r="BDY7"/>
      <c r="BEA7"/>
      <c r="BEC7"/>
      <c r="BEE7"/>
      <c r="BEG7"/>
      <c r="BEI7"/>
      <c r="BEK7"/>
      <c r="BEM7"/>
      <c r="BEO7"/>
      <c r="BEQ7"/>
      <c r="BES7"/>
      <c r="BEU7"/>
      <c r="BEW7"/>
      <c r="BEY7"/>
      <c r="BFA7"/>
      <c r="BFC7"/>
      <c r="BFE7"/>
      <c r="BFG7"/>
      <c r="BFI7"/>
      <c r="BFK7"/>
      <c r="BFM7"/>
      <c r="BFO7"/>
      <c r="BFQ7"/>
      <c r="BFS7"/>
      <c r="BFU7"/>
      <c r="BFW7"/>
      <c r="BFY7"/>
      <c r="BGA7"/>
      <c r="BGC7"/>
      <c r="BGE7"/>
      <c r="BGG7"/>
      <c r="BGI7"/>
      <c r="BGK7"/>
      <c r="BGM7"/>
      <c r="BGO7"/>
      <c r="BGQ7"/>
      <c r="BGS7"/>
      <c r="BGU7"/>
      <c r="BGW7"/>
      <c r="BGY7"/>
      <c r="BHA7"/>
      <c r="BHC7"/>
      <c r="BHE7"/>
      <c r="BHG7"/>
      <c r="BHI7"/>
      <c r="BHK7"/>
      <c r="BHM7"/>
      <c r="BHO7"/>
      <c r="BHQ7"/>
      <c r="BHS7"/>
      <c r="BHU7"/>
      <c r="BHW7"/>
      <c r="BHY7"/>
      <c r="BIA7"/>
      <c r="BIC7"/>
      <c r="BIE7"/>
      <c r="BIG7"/>
      <c r="BII7"/>
      <c r="BIK7"/>
      <c r="BIM7"/>
      <c r="BIO7"/>
      <c r="BIQ7"/>
      <c r="BIS7"/>
      <c r="BIU7"/>
      <c r="BIW7"/>
      <c r="BIY7"/>
      <c r="BJA7"/>
      <c r="BJC7"/>
      <c r="BJE7"/>
      <c r="BJG7"/>
      <c r="BJI7"/>
      <c r="BJK7"/>
      <c r="BJM7"/>
      <c r="BJO7"/>
      <c r="BJQ7"/>
      <c r="BJS7"/>
      <c r="BJU7"/>
      <c r="BJW7"/>
      <c r="BJY7"/>
      <c r="BKA7"/>
      <c r="BKC7"/>
      <c r="BKE7"/>
      <c r="BKG7"/>
      <c r="BKI7"/>
      <c r="BKK7"/>
      <c r="BKM7"/>
      <c r="BKO7"/>
      <c r="BKQ7"/>
      <c r="BKS7"/>
      <c r="BKU7"/>
      <c r="BKW7"/>
      <c r="BKY7"/>
      <c r="BLA7"/>
      <c r="BLC7"/>
      <c r="BLE7"/>
      <c r="BLG7"/>
      <c r="BLI7"/>
      <c r="BLK7"/>
      <c r="BLM7"/>
      <c r="BLO7"/>
      <c r="BLQ7"/>
      <c r="BLS7"/>
      <c r="BLU7"/>
      <c r="BLW7"/>
      <c r="BLY7"/>
      <c r="BMA7"/>
      <c r="BMC7"/>
      <c r="BME7"/>
      <c r="BMG7"/>
      <c r="BMI7"/>
      <c r="BMK7"/>
      <c r="BMM7"/>
      <c r="BMO7"/>
      <c r="BMQ7"/>
      <c r="BMS7"/>
      <c r="BMU7"/>
      <c r="BMW7"/>
      <c r="BMY7"/>
      <c r="BNA7"/>
      <c r="BNC7"/>
      <c r="BNE7"/>
      <c r="BNG7"/>
      <c r="BNI7"/>
      <c r="BNK7"/>
      <c r="BNM7"/>
      <c r="BNO7"/>
      <c r="BNQ7"/>
      <c r="BNS7"/>
      <c r="BNU7"/>
      <c r="BNW7"/>
      <c r="BNY7"/>
      <c r="BOA7"/>
      <c r="BOC7"/>
      <c r="BOE7"/>
      <c r="BOG7"/>
      <c r="BOI7"/>
      <c r="BOK7"/>
      <c r="BOM7"/>
      <c r="BOO7"/>
      <c r="BOQ7"/>
      <c r="BOS7"/>
      <c r="BOU7"/>
      <c r="BOW7"/>
      <c r="BOY7"/>
      <c r="BPA7"/>
      <c r="BPC7"/>
      <c r="BPE7"/>
      <c r="BPG7"/>
      <c r="BPI7"/>
      <c r="BPK7"/>
      <c r="BPM7"/>
      <c r="BPO7"/>
      <c r="BPQ7"/>
      <c r="BPS7"/>
      <c r="BPU7"/>
      <c r="BPW7"/>
      <c r="BPY7"/>
      <c r="BQA7"/>
      <c r="BQC7"/>
      <c r="BQE7"/>
      <c r="BQG7"/>
      <c r="BQI7"/>
      <c r="BQK7"/>
      <c r="BQM7"/>
      <c r="BQO7"/>
      <c r="BQQ7"/>
      <c r="BQS7"/>
      <c r="BQU7"/>
      <c r="BQW7"/>
      <c r="BQY7"/>
      <c r="BRA7"/>
      <c r="BRC7"/>
      <c r="BRE7"/>
      <c r="BRG7"/>
      <c r="BRI7"/>
      <c r="BRK7"/>
      <c r="BRM7"/>
      <c r="BRO7"/>
      <c r="BRQ7"/>
      <c r="BRS7"/>
      <c r="BRU7"/>
      <c r="BRW7"/>
      <c r="BRY7"/>
      <c r="BSA7"/>
      <c r="BSC7"/>
      <c r="BSE7"/>
      <c r="BSG7"/>
      <c r="BSI7"/>
      <c r="BSK7"/>
      <c r="BSM7"/>
      <c r="BSO7"/>
      <c r="BSQ7"/>
      <c r="BSS7"/>
      <c r="BSU7"/>
      <c r="BSW7"/>
      <c r="BSY7"/>
      <c r="BTA7"/>
      <c r="BTC7"/>
      <c r="BTE7"/>
      <c r="BTG7"/>
      <c r="BTI7"/>
      <c r="BTK7"/>
      <c r="BTM7"/>
      <c r="BTO7"/>
      <c r="BTQ7"/>
      <c r="BTS7"/>
      <c r="BTU7"/>
      <c r="BTW7"/>
      <c r="BTY7"/>
      <c r="BUA7"/>
      <c r="BUC7"/>
      <c r="BUE7"/>
      <c r="BUG7"/>
      <c r="BUI7"/>
      <c r="BUK7"/>
      <c r="BUM7"/>
      <c r="BUO7"/>
      <c r="BUQ7"/>
      <c r="BUS7"/>
      <c r="BUU7"/>
      <c r="BUW7"/>
      <c r="BUY7"/>
      <c r="BVA7"/>
      <c r="BVC7"/>
      <c r="BVE7"/>
      <c r="BVG7"/>
      <c r="BVI7"/>
      <c r="BVK7"/>
      <c r="BVM7"/>
      <c r="BVO7"/>
      <c r="BVQ7"/>
      <c r="BVS7"/>
      <c r="BVU7"/>
      <c r="BVW7"/>
      <c r="BVY7"/>
      <c r="BWA7"/>
      <c r="BWC7"/>
      <c r="BWE7"/>
      <c r="BWG7"/>
      <c r="BWI7"/>
      <c r="BWK7"/>
      <c r="BWM7"/>
      <c r="BWO7"/>
      <c r="BWQ7"/>
      <c r="BWS7"/>
      <c r="BWU7"/>
      <c r="BWW7"/>
      <c r="BWY7"/>
      <c r="BXA7"/>
      <c r="BXC7"/>
      <c r="BXE7"/>
      <c r="BXG7"/>
      <c r="BXI7"/>
      <c r="BXK7"/>
      <c r="BXM7"/>
      <c r="BXO7"/>
      <c r="BXQ7"/>
      <c r="BXS7"/>
      <c r="BXU7"/>
      <c r="BXW7"/>
      <c r="BXY7"/>
      <c r="BYA7"/>
      <c r="BYC7"/>
      <c r="BYE7"/>
      <c r="BYG7"/>
      <c r="BYI7"/>
      <c r="BYK7"/>
      <c r="BYM7"/>
      <c r="BYO7"/>
      <c r="BYQ7"/>
      <c r="BYS7"/>
      <c r="BYU7"/>
      <c r="BYW7"/>
      <c r="BYY7"/>
      <c r="BZA7"/>
      <c r="BZC7"/>
      <c r="BZE7"/>
      <c r="BZG7"/>
      <c r="BZI7"/>
      <c r="BZK7"/>
      <c r="BZM7"/>
      <c r="BZO7"/>
      <c r="BZQ7"/>
      <c r="BZS7"/>
      <c r="BZU7"/>
      <c r="BZW7"/>
      <c r="BZY7"/>
      <c r="CAA7"/>
      <c r="CAC7"/>
      <c r="CAE7"/>
      <c r="CAG7"/>
      <c r="CAI7"/>
      <c r="CAK7"/>
      <c r="CAM7"/>
      <c r="CAO7"/>
      <c r="CAQ7"/>
      <c r="CAS7"/>
      <c r="CAU7"/>
      <c r="CAW7"/>
      <c r="CAY7"/>
      <c r="CBA7"/>
      <c r="CBC7"/>
      <c r="CBE7"/>
      <c r="CBG7"/>
      <c r="CBI7"/>
      <c r="CBK7"/>
      <c r="CBM7"/>
      <c r="CBO7"/>
      <c r="CBQ7"/>
      <c r="CBS7"/>
      <c r="CBU7"/>
      <c r="CBW7"/>
      <c r="CBY7"/>
      <c r="CCA7"/>
      <c r="CCC7"/>
      <c r="CCE7"/>
      <c r="CCG7"/>
      <c r="CCI7"/>
      <c r="CCK7"/>
      <c r="CCM7"/>
      <c r="CCO7"/>
      <c r="CCQ7"/>
      <c r="CCS7"/>
      <c r="CCU7"/>
      <c r="CCW7"/>
      <c r="CCY7"/>
      <c r="CDA7"/>
      <c r="CDC7"/>
      <c r="CDE7"/>
      <c r="CDG7"/>
      <c r="CDI7"/>
      <c r="CDK7"/>
      <c r="CDM7"/>
      <c r="CDO7"/>
      <c r="CDQ7"/>
      <c r="CDS7"/>
      <c r="CDU7"/>
      <c r="CDW7"/>
      <c r="CDY7"/>
      <c r="CEA7"/>
      <c r="CEC7"/>
      <c r="CEE7"/>
      <c r="CEG7"/>
      <c r="CEI7"/>
      <c r="CEK7"/>
      <c r="CEM7"/>
      <c r="CEO7"/>
      <c r="CEQ7"/>
      <c r="CES7"/>
      <c r="CEU7"/>
      <c r="CEW7"/>
      <c r="CEY7"/>
      <c r="CFA7"/>
      <c r="CFC7"/>
      <c r="CFE7"/>
      <c r="CFG7"/>
      <c r="CFI7"/>
      <c r="CFK7"/>
      <c r="CFM7"/>
      <c r="CFO7"/>
      <c r="CFQ7"/>
      <c r="CFS7"/>
      <c r="CFU7"/>
      <c r="CFW7"/>
      <c r="CFY7"/>
      <c r="CGA7"/>
      <c r="CGC7"/>
      <c r="CGE7"/>
      <c r="CGG7"/>
      <c r="CGI7"/>
      <c r="CGK7"/>
      <c r="CGM7"/>
      <c r="CGO7"/>
      <c r="CGQ7"/>
      <c r="CGS7"/>
      <c r="CGU7"/>
      <c r="CGW7"/>
      <c r="CGY7"/>
      <c r="CHA7"/>
      <c r="CHC7"/>
      <c r="CHE7"/>
      <c r="CHG7"/>
      <c r="CHI7"/>
      <c r="CHK7"/>
      <c r="CHM7"/>
      <c r="CHO7"/>
      <c r="CHQ7"/>
      <c r="CHS7"/>
      <c r="CHU7"/>
      <c r="CHW7"/>
      <c r="CHY7"/>
      <c r="CIA7"/>
      <c r="CIC7"/>
      <c r="CIE7"/>
      <c r="CIG7"/>
      <c r="CII7"/>
      <c r="CIK7"/>
      <c r="CIM7"/>
      <c r="CIO7"/>
      <c r="CIQ7"/>
      <c r="CIS7"/>
      <c r="CIU7"/>
      <c r="CIW7"/>
      <c r="CIY7"/>
      <c r="CJA7"/>
      <c r="CJC7"/>
      <c r="CJE7"/>
      <c r="CJG7"/>
      <c r="CJI7"/>
      <c r="CJK7"/>
      <c r="CJM7"/>
      <c r="CJO7"/>
      <c r="CJQ7"/>
      <c r="CJS7"/>
      <c r="CJU7"/>
      <c r="CJW7"/>
      <c r="CJY7"/>
      <c r="CKA7"/>
      <c r="CKC7"/>
      <c r="CKE7"/>
      <c r="CKG7"/>
      <c r="CKI7"/>
      <c r="CKK7"/>
      <c r="CKM7"/>
      <c r="CKO7"/>
      <c r="CKQ7"/>
      <c r="CKS7"/>
      <c r="CKU7"/>
      <c r="CKW7"/>
      <c r="CKY7"/>
      <c r="CLA7"/>
      <c r="CLC7"/>
      <c r="CLE7"/>
      <c r="CLG7"/>
      <c r="CLI7"/>
      <c r="CLK7"/>
      <c r="CLM7"/>
      <c r="CLO7"/>
      <c r="CLQ7"/>
      <c r="CLS7"/>
      <c r="CLU7"/>
      <c r="CLW7"/>
      <c r="CLY7"/>
      <c r="CMA7"/>
      <c r="CMC7"/>
      <c r="CME7"/>
      <c r="CMG7"/>
      <c r="CMI7"/>
      <c r="CMK7"/>
      <c r="CMM7"/>
      <c r="CMO7"/>
      <c r="CMQ7"/>
      <c r="CMS7"/>
      <c r="CMU7"/>
      <c r="CMW7"/>
      <c r="CMY7"/>
      <c r="CNA7"/>
      <c r="CNC7"/>
      <c r="CNE7"/>
      <c r="CNG7"/>
      <c r="CNI7"/>
      <c r="CNK7"/>
      <c r="CNM7"/>
      <c r="CNO7"/>
      <c r="CNQ7"/>
      <c r="CNS7"/>
      <c r="CNU7"/>
      <c r="CNW7"/>
      <c r="CNY7"/>
      <c r="COA7"/>
      <c r="COC7"/>
      <c r="COE7"/>
      <c r="COG7"/>
      <c r="COI7"/>
      <c r="COK7"/>
      <c r="COM7"/>
      <c r="COO7"/>
      <c r="COQ7"/>
      <c r="COS7"/>
      <c r="COU7"/>
      <c r="COW7"/>
      <c r="COY7"/>
      <c r="CPA7"/>
      <c r="CPC7"/>
      <c r="CPE7"/>
      <c r="CPG7"/>
      <c r="CPI7"/>
      <c r="CPK7"/>
      <c r="CPM7"/>
      <c r="CPO7"/>
      <c r="CPQ7"/>
      <c r="CPS7"/>
      <c r="CPU7"/>
      <c r="CPW7"/>
      <c r="CPY7"/>
      <c r="CQA7"/>
      <c r="CQC7"/>
      <c r="CQE7"/>
      <c r="CQG7"/>
      <c r="CQI7"/>
      <c r="CQK7"/>
      <c r="CQM7"/>
      <c r="CQO7"/>
      <c r="CQQ7"/>
      <c r="CQS7"/>
      <c r="CQU7"/>
      <c r="CQW7"/>
      <c r="CQY7"/>
      <c r="CRA7"/>
      <c r="CRC7"/>
      <c r="CRE7"/>
      <c r="CRG7"/>
      <c r="CRI7"/>
      <c r="CRK7"/>
      <c r="CRM7"/>
      <c r="CRO7"/>
      <c r="CRQ7"/>
      <c r="CRS7"/>
      <c r="CRU7"/>
      <c r="CRW7"/>
      <c r="CRY7"/>
      <c r="CSA7"/>
      <c r="CSC7"/>
      <c r="CSE7"/>
      <c r="CSG7"/>
      <c r="CSI7"/>
      <c r="CSK7"/>
      <c r="CSM7"/>
      <c r="CSO7"/>
      <c r="CSQ7"/>
      <c r="CSS7"/>
      <c r="CSU7"/>
      <c r="CSW7"/>
      <c r="CSY7"/>
      <c r="CTA7"/>
      <c r="CTC7"/>
      <c r="CTE7"/>
      <c r="CTG7"/>
      <c r="CTI7"/>
      <c r="CTK7"/>
      <c r="CTM7"/>
      <c r="CTO7"/>
      <c r="CTQ7"/>
      <c r="CTS7"/>
      <c r="CTU7"/>
      <c r="CTW7"/>
      <c r="CTY7"/>
      <c r="CUA7"/>
      <c r="CUC7"/>
      <c r="CUE7"/>
      <c r="CUG7"/>
      <c r="CUI7"/>
      <c r="CUK7"/>
      <c r="CUM7"/>
      <c r="CUO7"/>
      <c r="CUQ7"/>
      <c r="CUS7"/>
      <c r="CUU7"/>
      <c r="CUW7"/>
      <c r="CUY7"/>
      <c r="CVA7"/>
      <c r="CVC7"/>
      <c r="CVE7"/>
      <c r="CVG7"/>
      <c r="CVI7"/>
      <c r="CVK7"/>
      <c r="CVM7"/>
      <c r="CVO7"/>
      <c r="CVQ7"/>
      <c r="CVS7"/>
      <c r="CVU7"/>
      <c r="CVW7"/>
      <c r="CVY7"/>
      <c r="CWA7"/>
      <c r="CWC7"/>
      <c r="CWE7"/>
      <c r="CWG7"/>
      <c r="CWI7"/>
      <c r="CWK7"/>
      <c r="CWM7"/>
      <c r="CWO7"/>
      <c r="CWQ7"/>
      <c r="CWS7"/>
      <c r="CWU7"/>
      <c r="CWW7"/>
      <c r="CWY7"/>
      <c r="CXA7"/>
      <c r="CXC7"/>
      <c r="CXE7"/>
      <c r="CXG7"/>
      <c r="CXI7"/>
      <c r="CXK7"/>
      <c r="CXM7"/>
      <c r="CXO7"/>
      <c r="CXQ7"/>
      <c r="CXS7"/>
      <c r="CXU7"/>
      <c r="CXW7"/>
      <c r="CXY7"/>
      <c r="CYA7"/>
      <c r="CYC7"/>
      <c r="CYE7"/>
      <c r="CYG7"/>
      <c r="CYI7"/>
      <c r="CYK7"/>
      <c r="CYM7"/>
      <c r="CYO7"/>
      <c r="CYQ7"/>
      <c r="CYS7"/>
      <c r="CYU7"/>
      <c r="CYW7"/>
      <c r="CYY7"/>
      <c r="CZA7"/>
      <c r="CZC7"/>
      <c r="CZE7"/>
      <c r="CZG7"/>
      <c r="CZI7"/>
      <c r="CZK7"/>
      <c r="CZM7"/>
      <c r="CZO7"/>
      <c r="CZQ7"/>
      <c r="CZS7"/>
      <c r="CZU7"/>
      <c r="CZW7"/>
      <c r="CZY7"/>
      <c r="DAA7"/>
      <c r="DAC7"/>
      <c r="DAE7"/>
      <c r="DAG7"/>
      <c r="DAI7"/>
      <c r="DAK7"/>
      <c r="DAM7"/>
      <c r="DAO7"/>
      <c r="DAQ7"/>
      <c r="DAS7"/>
      <c r="DAU7"/>
      <c r="DAW7"/>
      <c r="DAY7"/>
      <c r="DBA7"/>
      <c r="DBC7"/>
      <c r="DBE7"/>
      <c r="DBG7"/>
      <c r="DBI7"/>
      <c r="DBK7"/>
      <c r="DBM7"/>
      <c r="DBO7"/>
      <c r="DBQ7"/>
      <c r="DBS7"/>
      <c r="DBU7"/>
      <c r="DBW7"/>
      <c r="DBY7"/>
      <c r="DCA7"/>
      <c r="DCC7"/>
      <c r="DCE7"/>
      <c r="DCG7"/>
      <c r="DCI7"/>
      <c r="DCK7"/>
      <c r="DCM7"/>
      <c r="DCO7"/>
      <c r="DCQ7"/>
      <c r="DCS7"/>
      <c r="DCU7"/>
      <c r="DCW7"/>
      <c r="DCY7"/>
      <c r="DDA7"/>
      <c r="DDC7"/>
      <c r="DDE7"/>
      <c r="DDG7"/>
      <c r="DDI7"/>
      <c r="DDK7"/>
      <c r="DDM7"/>
      <c r="DDO7"/>
      <c r="DDQ7"/>
      <c r="DDS7"/>
      <c r="DDU7"/>
      <c r="DDW7"/>
      <c r="DDY7"/>
      <c r="DEA7"/>
      <c r="DEC7"/>
      <c r="DEE7"/>
      <c r="DEG7"/>
      <c r="DEI7"/>
      <c r="DEK7"/>
      <c r="DEM7"/>
      <c r="DEO7"/>
      <c r="DEQ7"/>
      <c r="DES7"/>
      <c r="DEU7"/>
      <c r="DEW7"/>
      <c r="DEY7"/>
      <c r="DFA7"/>
      <c r="DFC7"/>
      <c r="DFE7"/>
      <c r="DFG7"/>
      <c r="DFI7"/>
      <c r="DFK7"/>
      <c r="DFM7"/>
      <c r="DFO7"/>
      <c r="DFQ7"/>
      <c r="DFS7"/>
      <c r="DFU7"/>
      <c r="DFW7"/>
      <c r="DFY7"/>
      <c r="DGA7"/>
      <c r="DGC7"/>
      <c r="DGE7"/>
      <c r="DGG7"/>
      <c r="DGI7"/>
      <c r="DGK7"/>
      <c r="DGM7"/>
      <c r="DGO7"/>
      <c r="DGQ7"/>
      <c r="DGS7"/>
      <c r="DGU7"/>
      <c r="DGW7"/>
      <c r="DGY7"/>
      <c r="DHA7"/>
      <c r="DHC7"/>
      <c r="DHE7"/>
      <c r="DHG7"/>
      <c r="DHI7"/>
      <c r="DHK7"/>
      <c r="DHM7"/>
      <c r="DHO7"/>
      <c r="DHQ7"/>
      <c r="DHS7"/>
      <c r="DHU7"/>
      <c r="DHW7"/>
      <c r="DHY7"/>
      <c r="DIA7"/>
      <c r="DIC7"/>
      <c r="DIE7"/>
      <c r="DIG7"/>
      <c r="DII7"/>
      <c r="DIK7"/>
      <c r="DIM7"/>
      <c r="DIO7"/>
      <c r="DIQ7"/>
      <c r="DIS7"/>
      <c r="DIU7"/>
      <c r="DIW7"/>
      <c r="DIY7"/>
      <c r="DJA7"/>
      <c r="DJC7"/>
      <c r="DJE7"/>
      <c r="DJG7"/>
      <c r="DJI7"/>
      <c r="DJK7"/>
      <c r="DJM7"/>
      <c r="DJO7"/>
      <c r="DJQ7"/>
      <c r="DJS7"/>
      <c r="DJU7"/>
      <c r="DJW7"/>
      <c r="DJY7"/>
      <c r="DKA7"/>
      <c r="DKC7"/>
      <c r="DKE7"/>
      <c r="DKG7"/>
      <c r="DKI7"/>
      <c r="DKK7"/>
      <c r="DKM7"/>
      <c r="DKO7"/>
      <c r="DKQ7"/>
      <c r="DKS7"/>
      <c r="DKU7"/>
      <c r="DKW7"/>
      <c r="DKY7"/>
      <c r="DLA7"/>
      <c r="DLC7"/>
      <c r="DLE7"/>
      <c r="DLG7"/>
      <c r="DLI7"/>
      <c r="DLK7"/>
      <c r="DLM7"/>
      <c r="DLO7"/>
      <c r="DLQ7"/>
      <c r="DLS7"/>
      <c r="DLU7"/>
      <c r="DLW7"/>
      <c r="DLY7"/>
      <c r="DMA7"/>
      <c r="DMC7"/>
      <c r="DME7"/>
      <c r="DMG7"/>
      <c r="DMI7"/>
      <c r="DMK7"/>
      <c r="DMM7"/>
      <c r="DMO7"/>
      <c r="DMQ7"/>
      <c r="DMS7"/>
      <c r="DMU7"/>
      <c r="DMW7"/>
      <c r="DMY7"/>
      <c r="DNA7"/>
      <c r="DNC7"/>
      <c r="DNE7"/>
      <c r="DNG7"/>
      <c r="DNI7"/>
      <c r="DNK7"/>
      <c r="DNM7"/>
      <c r="DNO7"/>
      <c r="DNQ7"/>
      <c r="DNS7"/>
      <c r="DNU7"/>
      <c r="DNW7"/>
      <c r="DNY7"/>
      <c r="DOA7"/>
      <c r="DOC7"/>
      <c r="DOE7"/>
      <c r="DOG7"/>
      <c r="DOI7"/>
      <c r="DOK7"/>
      <c r="DOM7"/>
      <c r="DOO7"/>
      <c r="DOQ7"/>
      <c r="DOS7"/>
      <c r="DOU7"/>
      <c r="DOW7"/>
      <c r="DOY7"/>
      <c r="DPA7"/>
      <c r="DPC7"/>
      <c r="DPE7"/>
      <c r="DPG7"/>
      <c r="DPI7"/>
      <c r="DPK7"/>
      <c r="DPM7"/>
      <c r="DPO7"/>
      <c r="DPQ7"/>
      <c r="DPS7"/>
      <c r="DPU7"/>
      <c r="DPW7"/>
      <c r="DPY7"/>
      <c r="DQA7"/>
      <c r="DQC7"/>
      <c r="DQE7"/>
      <c r="DQG7"/>
      <c r="DQI7"/>
      <c r="DQK7"/>
      <c r="DQM7"/>
      <c r="DQO7"/>
      <c r="DQQ7"/>
      <c r="DQS7"/>
      <c r="DQU7"/>
      <c r="DQW7"/>
      <c r="DQY7"/>
      <c r="DRA7"/>
      <c r="DRC7"/>
      <c r="DRE7"/>
      <c r="DRG7"/>
      <c r="DRI7"/>
      <c r="DRK7"/>
      <c r="DRM7"/>
      <c r="DRO7"/>
      <c r="DRQ7"/>
      <c r="DRS7"/>
      <c r="DRU7"/>
      <c r="DRW7"/>
      <c r="DRY7"/>
      <c r="DSA7"/>
      <c r="DSC7"/>
      <c r="DSE7"/>
      <c r="DSG7"/>
      <c r="DSI7"/>
      <c r="DSK7"/>
      <c r="DSM7"/>
      <c r="DSO7"/>
      <c r="DSQ7"/>
      <c r="DSS7"/>
      <c r="DSU7"/>
      <c r="DSW7"/>
      <c r="DSY7"/>
      <c r="DTA7"/>
      <c r="DTC7"/>
      <c r="DTE7"/>
      <c r="DTG7"/>
      <c r="DTI7"/>
      <c r="DTK7"/>
      <c r="DTM7"/>
      <c r="DTO7"/>
      <c r="DTQ7"/>
      <c r="DTS7"/>
      <c r="DTU7"/>
      <c r="DTW7"/>
      <c r="DTY7"/>
      <c r="DUA7"/>
      <c r="DUC7"/>
      <c r="DUE7"/>
      <c r="DUG7"/>
      <c r="DUI7"/>
      <c r="DUK7"/>
      <c r="DUM7"/>
      <c r="DUO7"/>
      <c r="DUQ7"/>
      <c r="DUS7"/>
      <c r="DUU7"/>
      <c r="DUW7"/>
      <c r="DUY7"/>
      <c r="DVA7"/>
      <c r="DVC7"/>
      <c r="DVE7"/>
      <c r="DVG7"/>
      <c r="DVI7"/>
      <c r="DVK7"/>
      <c r="DVM7"/>
      <c r="DVO7"/>
      <c r="DVQ7"/>
      <c r="DVS7"/>
      <c r="DVU7"/>
      <c r="DVW7"/>
      <c r="DVY7"/>
      <c r="DWA7"/>
      <c r="DWC7"/>
      <c r="DWE7"/>
      <c r="DWG7"/>
      <c r="DWI7"/>
      <c r="DWK7"/>
      <c r="DWM7"/>
      <c r="DWO7"/>
      <c r="DWQ7"/>
      <c r="DWS7"/>
      <c r="DWU7"/>
      <c r="DWW7"/>
      <c r="DWY7"/>
      <c r="DXA7"/>
      <c r="DXC7"/>
      <c r="DXE7"/>
      <c r="DXG7"/>
      <c r="DXI7"/>
      <c r="DXK7"/>
      <c r="DXM7"/>
      <c r="DXO7"/>
      <c r="DXQ7"/>
      <c r="DXS7"/>
      <c r="DXU7"/>
      <c r="DXW7"/>
      <c r="DXY7"/>
      <c r="DYA7"/>
      <c r="DYC7"/>
      <c r="DYE7"/>
      <c r="DYG7"/>
      <c r="DYI7"/>
      <c r="DYK7"/>
      <c r="DYM7"/>
      <c r="DYO7"/>
      <c r="DYQ7"/>
      <c r="DYS7"/>
      <c r="DYU7"/>
      <c r="DYW7"/>
      <c r="DYY7"/>
      <c r="DZA7"/>
      <c r="DZC7"/>
      <c r="DZE7"/>
      <c r="DZG7"/>
      <c r="DZI7"/>
      <c r="DZK7"/>
      <c r="DZM7"/>
      <c r="DZO7"/>
      <c r="DZQ7"/>
      <c r="DZS7"/>
      <c r="DZU7"/>
      <c r="DZW7"/>
      <c r="DZY7"/>
      <c r="EAA7"/>
      <c r="EAC7"/>
      <c r="EAE7"/>
      <c r="EAG7"/>
      <c r="EAI7"/>
      <c r="EAK7"/>
      <c r="EAM7"/>
      <c r="EAO7"/>
      <c r="EAQ7"/>
      <c r="EAS7"/>
      <c r="EAU7"/>
      <c r="EAW7"/>
      <c r="EAY7"/>
      <c r="EBA7"/>
      <c r="EBC7"/>
      <c r="EBE7"/>
      <c r="EBG7"/>
      <c r="EBI7"/>
      <c r="EBK7"/>
      <c r="EBM7"/>
      <c r="EBO7"/>
      <c r="EBQ7"/>
      <c r="EBS7"/>
      <c r="EBU7"/>
      <c r="EBW7"/>
      <c r="EBY7"/>
      <c r="ECA7"/>
      <c r="ECC7"/>
      <c r="ECE7"/>
      <c r="ECG7"/>
      <c r="ECI7"/>
      <c r="ECK7"/>
      <c r="ECM7"/>
      <c r="ECO7"/>
      <c r="ECQ7"/>
      <c r="ECS7"/>
      <c r="ECU7"/>
      <c r="ECW7"/>
      <c r="ECY7"/>
      <c r="EDA7"/>
      <c r="EDC7"/>
      <c r="EDE7"/>
      <c r="EDG7"/>
      <c r="EDI7"/>
      <c r="EDK7"/>
      <c r="EDM7"/>
      <c r="EDO7"/>
      <c r="EDQ7"/>
      <c r="EDS7"/>
      <c r="EDU7"/>
      <c r="EDW7"/>
      <c r="EDY7"/>
      <c r="EEA7"/>
      <c r="EEC7"/>
      <c r="EEE7"/>
      <c r="EEG7"/>
      <c r="EEI7"/>
      <c r="EEK7"/>
      <c r="EEM7"/>
      <c r="EEO7"/>
      <c r="EEQ7"/>
      <c r="EES7"/>
      <c r="EEU7"/>
      <c r="EEW7"/>
      <c r="EEY7"/>
      <c r="EFA7"/>
      <c r="EFC7"/>
      <c r="EFE7"/>
      <c r="EFG7"/>
      <c r="EFI7"/>
      <c r="EFK7"/>
      <c r="EFM7"/>
      <c r="EFO7"/>
      <c r="EFQ7"/>
      <c r="EFS7"/>
      <c r="EFU7"/>
      <c r="EFW7"/>
      <c r="EFY7"/>
      <c r="EGA7"/>
      <c r="EGC7"/>
      <c r="EGE7"/>
      <c r="EGG7"/>
      <c r="EGI7"/>
      <c r="EGK7"/>
      <c r="EGM7"/>
      <c r="EGO7"/>
      <c r="EGQ7"/>
      <c r="EGS7"/>
      <c r="EGU7"/>
      <c r="EGW7"/>
      <c r="EGY7"/>
      <c r="EHA7"/>
      <c r="EHC7"/>
      <c r="EHE7"/>
      <c r="EHG7"/>
      <c r="EHI7"/>
      <c r="EHK7"/>
      <c r="EHM7"/>
      <c r="EHO7"/>
      <c r="EHQ7"/>
      <c r="EHS7"/>
      <c r="EHU7"/>
      <c r="EHW7"/>
      <c r="EHY7"/>
      <c r="EIA7"/>
      <c r="EIC7"/>
      <c r="EIE7"/>
      <c r="EIG7"/>
      <c r="EII7"/>
      <c r="EIK7"/>
      <c r="EIM7"/>
      <c r="EIO7"/>
      <c r="EIQ7"/>
      <c r="EIS7"/>
      <c r="EIU7"/>
      <c r="EIW7"/>
      <c r="EIY7"/>
      <c r="EJA7"/>
      <c r="EJC7"/>
      <c r="EJE7"/>
      <c r="EJG7"/>
      <c r="EJI7"/>
      <c r="EJK7"/>
      <c r="EJM7"/>
      <c r="EJO7"/>
      <c r="EJQ7"/>
      <c r="EJS7"/>
      <c r="EJU7"/>
      <c r="EJW7"/>
      <c r="EJY7"/>
      <c r="EKA7"/>
      <c r="EKC7"/>
      <c r="EKE7"/>
      <c r="EKG7"/>
      <c r="EKI7"/>
      <c r="EKK7"/>
      <c r="EKM7"/>
      <c r="EKO7"/>
      <c r="EKQ7"/>
      <c r="EKS7"/>
      <c r="EKU7"/>
      <c r="EKW7"/>
      <c r="EKY7"/>
      <c r="ELA7"/>
      <c r="ELC7"/>
      <c r="ELE7"/>
      <c r="ELG7"/>
      <c r="ELI7"/>
      <c r="ELK7"/>
      <c r="ELM7"/>
      <c r="ELO7"/>
      <c r="ELQ7"/>
      <c r="ELS7"/>
      <c r="ELU7"/>
      <c r="ELW7"/>
      <c r="ELY7"/>
      <c r="EMA7"/>
      <c r="EMC7"/>
      <c r="EME7"/>
      <c r="EMG7"/>
      <c r="EMI7"/>
      <c r="EMK7"/>
      <c r="EMM7"/>
      <c r="EMO7"/>
      <c r="EMQ7"/>
      <c r="EMS7"/>
      <c r="EMU7"/>
      <c r="EMW7"/>
      <c r="EMY7"/>
      <c r="ENA7"/>
      <c r="ENC7"/>
      <c r="ENE7"/>
      <c r="ENG7"/>
      <c r="ENI7"/>
      <c r="ENK7"/>
      <c r="ENM7"/>
      <c r="ENO7"/>
      <c r="ENQ7"/>
      <c r="ENS7"/>
      <c r="ENU7"/>
      <c r="ENW7"/>
      <c r="ENY7"/>
      <c r="EOA7"/>
      <c r="EOC7"/>
      <c r="EOE7"/>
      <c r="EOG7"/>
      <c r="EOI7"/>
      <c r="EOK7"/>
      <c r="EOM7"/>
      <c r="EOO7"/>
      <c r="EOQ7"/>
      <c r="EOS7"/>
      <c r="EOU7"/>
      <c r="EOW7"/>
      <c r="EOY7"/>
      <c r="EPA7"/>
      <c r="EPC7"/>
      <c r="EPE7"/>
      <c r="EPG7"/>
      <c r="EPI7"/>
      <c r="EPK7"/>
      <c r="EPM7"/>
      <c r="EPO7"/>
      <c r="EPQ7"/>
      <c r="EPS7"/>
      <c r="EPU7"/>
      <c r="EPW7"/>
      <c r="EPY7"/>
      <c r="EQA7"/>
      <c r="EQC7"/>
      <c r="EQE7"/>
      <c r="EQG7"/>
      <c r="EQI7"/>
      <c r="EQK7"/>
      <c r="EQM7"/>
      <c r="EQO7"/>
      <c r="EQQ7"/>
      <c r="EQS7"/>
      <c r="EQU7"/>
      <c r="EQW7"/>
      <c r="EQY7"/>
      <c r="ERA7"/>
      <c r="ERC7"/>
      <c r="ERE7"/>
      <c r="ERG7"/>
      <c r="ERI7"/>
      <c r="ERK7"/>
      <c r="ERM7"/>
      <c r="ERO7"/>
      <c r="ERQ7"/>
      <c r="ERS7"/>
      <c r="ERU7"/>
      <c r="ERW7"/>
      <c r="ERY7"/>
      <c r="ESA7"/>
      <c r="ESC7"/>
      <c r="ESE7"/>
      <c r="ESG7"/>
      <c r="ESI7"/>
      <c r="ESK7"/>
      <c r="ESM7"/>
      <c r="ESO7"/>
      <c r="ESQ7"/>
      <c r="ESS7"/>
      <c r="ESU7"/>
      <c r="ESW7"/>
      <c r="ESY7"/>
      <c r="ETA7"/>
      <c r="ETC7"/>
      <c r="ETE7"/>
      <c r="ETG7"/>
      <c r="ETI7"/>
      <c r="ETK7"/>
      <c r="ETM7"/>
      <c r="ETO7"/>
      <c r="ETQ7"/>
      <c r="ETS7"/>
      <c r="ETU7"/>
      <c r="ETW7"/>
      <c r="ETY7"/>
      <c r="EUA7"/>
      <c r="EUC7"/>
      <c r="EUE7"/>
      <c r="EUG7"/>
      <c r="EUI7"/>
      <c r="EUK7"/>
      <c r="EUM7"/>
      <c r="EUO7"/>
      <c r="EUQ7"/>
      <c r="EUS7"/>
      <c r="EUU7"/>
      <c r="EUW7"/>
      <c r="EUY7"/>
      <c r="EVA7"/>
      <c r="EVC7"/>
      <c r="EVE7"/>
      <c r="EVG7"/>
      <c r="EVI7"/>
      <c r="EVK7"/>
      <c r="EVM7"/>
      <c r="EVO7"/>
      <c r="EVQ7"/>
      <c r="EVS7"/>
      <c r="EVU7"/>
      <c r="EVW7"/>
      <c r="EVY7"/>
      <c r="EWA7"/>
      <c r="EWC7"/>
      <c r="EWE7"/>
      <c r="EWG7"/>
      <c r="EWI7"/>
      <c r="EWK7"/>
      <c r="EWM7"/>
      <c r="EWO7"/>
      <c r="EWQ7"/>
      <c r="EWS7"/>
      <c r="EWU7"/>
      <c r="EWW7"/>
      <c r="EWY7"/>
      <c r="EXA7"/>
      <c r="EXC7"/>
      <c r="EXE7"/>
      <c r="EXG7"/>
      <c r="EXI7"/>
      <c r="EXK7"/>
      <c r="EXM7"/>
      <c r="EXO7"/>
      <c r="EXQ7"/>
      <c r="EXS7"/>
      <c r="EXU7"/>
      <c r="EXW7"/>
      <c r="EXY7"/>
      <c r="EYA7"/>
      <c r="EYC7"/>
      <c r="EYE7"/>
      <c r="EYG7"/>
      <c r="EYI7"/>
      <c r="EYK7"/>
      <c r="EYM7"/>
      <c r="EYO7"/>
      <c r="EYQ7"/>
      <c r="EYS7"/>
      <c r="EYU7"/>
      <c r="EYW7"/>
      <c r="EYY7"/>
      <c r="EZA7"/>
      <c r="EZC7"/>
      <c r="EZE7"/>
      <c r="EZG7"/>
      <c r="EZI7"/>
      <c r="EZK7"/>
      <c r="EZM7"/>
      <c r="EZO7"/>
      <c r="EZQ7"/>
      <c r="EZS7"/>
      <c r="EZU7"/>
      <c r="EZW7"/>
      <c r="EZY7"/>
      <c r="FAA7"/>
      <c r="FAC7"/>
      <c r="FAE7"/>
      <c r="FAG7"/>
      <c r="FAI7"/>
      <c r="FAK7"/>
      <c r="FAM7"/>
      <c r="FAO7"/>
      <c r="FAQ7"/>
      <c r="FAS7"/>
      <c r="FAU7"/>
      <c r="FAW7"/>
      <c r="FAY7"/>
      <c r="FBA7"/>
      <c r="FBC7"/>
      <c r="FBE7"/>
      <c r="FBG7"/>
      <c r="FBI7"/>
      <c r="FBK7"/>
      <c r="FBM7"/>
      <c r="FBO7"/>
      <c r="FBQ7"/>
      <c r="FBS7"/>
      <c r="FBU7"/>
      <c r="FBW7"/>
      <c r="FBY7"/>
      <c r="FCA7"/>
      <c r="FCC7"/>
      <c r="FCE7"/>
      <c r="FCG7"/>
      <c r="FCI7"/>
      <c r="FCK7"/>
      <c r="FCM7"/>
      <c r="FCO7"/>
      <c r="FCQ7"/>
      <c r="FCS7"/>
      <c r="FCU7"/>
      <c r="FCW7"/>
      <c r="FCY7"/>
      <c r="FDA7"/>
      <c r="FDC7"/>
      <c r="FDE7"/>
      <c r="FDG7"/>
      <c r="FDI7"/>
      <c r="FDK7"/>
      <c r="FDM7"/>
      <c r="FDO7"/>
      <c r="FDQ7"/>
      <c r="FDS7"/>
      <c r="FDU7"/>
      <c r="FDW7"/>
      <c r="FDY7"/>
      <c r="FEA7"/>
      <c r="FEC7"/>
      <c r="FEE7"/>
      <c r="FEG7"/>
      <c r="FEI7"/>
      <c r="FEK7"/>
      <c r="FEM7"/>
      <c r="FEO7"/>
      <c r="FEQ7"/>
      <c r="FES7"/>
      <c r="FEU7"/>
      <c r="FEW7"/>
      <c r="FEY7"/>
      <c r="FFA7"/>
      <c r="FFC7"/>
      <c r="FFE7"/>
      <c r="FFG7"/>
      <c r="FFI7"/>
      <c r="FFK7"/>
      <c r="FFM7"/>
      <c r="FFO7"/>
      <c r="FFQ7"/>
      <c r="FFS7"/>
      <c r="FFU7"/>
      <c r="FFW7"/>
      <c r="FFY7"/>
      <c r="FGA7"/>
      <c r="FGC7"/>
      <c r="FGE7"/>
      <c r="FGG7"/>
      <c r="FGI7"/>
      <c r="FGK7"/>
      <c r="FGM7"/>
      <c r="FGO7"/>
      <c r="FGQ7"/>
      <c r="FGS7"/>
      <c r="FGU7"/>
      <c r="FGW7"/>
      <c r="FGY7"/>
      <c r="FHA7"/>
      <c r="FHC7"/>
      <c r="FHE7"/>
      <c r="FHG7"/>
      <c r="FHI7"/>
      <c r="FHK7"/>
      <c r="FHM7"/>
      <c r="FHO7"/>
      <c r="FHQ7"/>
      <c r="FHS7"/>
      <c r="FHU7"/>
      <c r="FHW7"/>
      <c r="FHY7"/>
      <c r="FIA7"/>
      <c r="FIC7"/>
      <c r="FIE7"/>
      <c r="FIG7"/>
      <c r="FII7"/>
      <c r="FIK7"/>
      <c r="FIM7"/>
      <c r="FIO7"/>
      <c r="FIQ7"/>
      <c r="FIS7"/>
      <c r="FIU7"/>
      <c r="FIW7"/>
      <c r="FIY7"/>
      <c r="FJA7"/>
      <c r="FJC7"/>
      <c r="FJE7"/>
      <c r="FJG7"/>
      <c r="FJI7"/>
      <c r="FJK7"/>
      <c r="FJM7"/>
      <c r="FJO7"/>
      <c r="FJQ7"/>
      <c r="FJS7"/>
      <c r="FJU7"/>
      <c r="FJW7"/>
      <c r="FJY7"/>
      <c r="FKA7"/>
      <c r="FKC7"/>
      <c r="FKE7"/>
      <c r="FKG7"/>
      <c r="FKI7"/>
      <c r="FKK7"/>
      <c r="FKM7"/>
      <c r="FKO7"/>
      <c r="FKQ7"/>
      <c r="FKS7"/>
      <c r="FKU7"/>
      <c r="FKW7"/>
      <c r="FKY7"/>
      <c r="FLA7"/>
      <c r="FLC7"/>
      <c r="FLE7"/>
      <c r="FLG7"/>
      <c r="FLI7"/>
      <c r="FLK7"/>
      <c r="FLM7"/>
      <c r="FLO7"/>
      <c r="FLQ7"/>
      <c r="FLS7"/>
      <c r="FLU7"/>
      <c r="FLW7"/>
      <c r="FLY7"/>
      <c r="FMA7"/>
      <c r="FMC7"/>
      <c r="FME7"/>
      <c r="FMG7"/>
      <c r="FMI7"/>
      <c r="FMK7"/>
      <c r="FMM7"/>
      <c r="FMO7"/>
      <c r="FMQ7"/>
      <c r="FMS7"/>
      <c r="FMU7"/>
      <c r="FMW7"/>
      <c r="FMY7"/>
      <c r="FNA7"/>
      <c r="FNC7"/>
      <c r="FNE7"/>
      <c r="FNG7"/>
      <c r="FNI7"/>
      <c r="FNK7"/>
      <c r="FNM7"/>
      <c r="FNO7"/>
      <c r="FNQ7"/>
      <c r="FNS7"/>
      <c r="FNU7"/>
      <c r="FNW7"/>
      <c r="FNY7"/>
      <c r="FOA7"/>
      <c r="FOC7"/>
      <c r="FOE7"/>
      <c r="FOG7"/>
      <c r="FOI7"/>
      <c r="FOK7"/>
      <c r="FOM7"/>
      <c r="FOO7"/>
      <c r="FOQ7"/>
      <c r="FOS7"/>
      <c r="FOU7"/>
      <c r="FOW7"/>
      <c r="FOY7"/>
      <c r="FPA7"/>
      <c r="FPC7"/>
      <c r="FPE7"/>
      <c r="FPG7"/>
      <c r="FPI7"/>
      <c r="FPK7"/>
      <c r="FPM7"/>
      <c r="FPO7"/>
      <c r="FPQ7"/>
      <c r="FPS7"/>
      <c r="FPU7"/>
      <c r="FPW7"/>
      <c r="FPY7"/>
      <c r="FQA7"/>
      <c r="FQC7"/>
      <c r="FQE7"/>
      <c r="FQG7"/>
      <c r="FQI7"/>
      <c r="FQK7"/>
      <c r="FQM7"/>
      <c r="FQO7"/>
      <c r="FQQ7"/>
      <c r="FQS7"/>
      <c r="FQU7"/>
      <c r="FQW7"/>
      <c r="FQY7"/>
      <c r="FRA7"/>
      <c r="FRC7"/>
      <c r="FRE7"/>
      <c r="FRG7"/>
      <c r="FRI7"/>
      <c r="FRK7"/>
      <c r="FRM7"/>
      <c r="FRO7"/>
      <c r="FRQ7"/>
      <c r="FRS7"/>
      <c r="FRU7"/>
      <c r="FRW7"/>
      <c r="FRY7"/>
      <c r="FSA7"/>
      <c r="FSC7"/>
      <c r="FSE7"/>
      <c r="FSG7"/>
      <c r="FSI7"/>
      <c r="FSK7"/>
      <c r="FSM7"/>
      <c r="FSO7"/>
      <c r="FSQ7"/>
      <c r="FSS7"/>
      <c r="FSU7"/>
      <c r="FSW7"/>
      <c r="FSY7"/>
      <c r="FTA7"/>
      <c r="FTC7"/>
      <c r="FTE7"/>
      <c r="FTG7"/>
      <c r="FTI7"/>
      <c r="FTK7"/>
      <c r="FTM7"/>
      <c r="FTO7"/>
      <c r="FTQ7"/>
      <c r="FTS7"/>
      <c r="FTU7"/>
      <c r="FTW7"/>
      <c r="FTY7"/>
      <c r="FUA7"/>
      <c r="FUC7"/>
      <c r="FUE7"/>
      <c r="FUG7"/>
      <c r="FUI7"/>
      <c r="FUK7"/>
      <c r="FUM7"/>
      <c r="FUO7"/>
      <c r="FUQ7"/>
      <c r="FUS7"/>
      <c r="FUU7"/>
      <c r="FUW7"/>
      <c r="FUY7"/>
      <c r="FVA7"/>
      <c r="FVC7"/>
      <c r="FVE7"/>
      <c r="FVG7"/>
      <c r="FVI7"/>
      <c r="FVK7"/>
      <c r="FVM7"/>
      <c r="FVO7"/>
      <c r="FVQ7"/>
      <c r="FVS7"/>
      <c r="FVU7"/>
      <c r="FVW7"/>
      <c r="FVY7"/>
      <c r="FWA7"/>
      <c r="FWC7"/>
      <c r="FWE7"/>
      <c r="FWG7"/>
      <c r="FWI7"/>
      <c r="FWK7"/>
      <c r="FWM7"/>
      <c r="FWO7"/>
      <c r="FWQ7"/>
      <c r="FWS7"/>
      <c r="FWU7"/>
      <c r="FWW7"/>
      <c r="FWY7"/>
      <c r="FXA7"/>
      <c r="FXC7"/>
      <c r="FXE7"/>
      <c r="FXG7"/>
      <c r="FXI7"/>
      <c r="FXK7"/>
      <c r="FXM7"/>
      <c r="FXO7"/>
      <c r="FXQ7"/>
      <c r="FXS7"/>
      <c r="FXU7"/>
      <c r="FXW7"/>
      <c r="FXY7"/>
      <c r="FYA7"/>
      <c r="FYC7"/>
      <c r="FYE7"/>
      <c r="FYG7"/>
      <c r="FYI7"/>
      <c r="FYK7"/>
      <c r="FYM7"/>
      <c r="FYO7"/>
      <c r="FYQ7"/>
      <c r="FYS7"/>
      <c r="FYU7"/>
      <c r="FYW7"/>
      <c r="FYY7"/>
      <c r="FZA7"/>
      <c r="FZC7"/>
      <c r="FZE7"/>
      <c r="FZG7"/>
      <c r="FZI7"/>
      <c r="FZK7"/>
      <c r="FZM7"/>
      <c r="FZO7"/>
      <c r="FZQ7"/>
      <c r="FZS7"/>
      <c r="FZU7"/>
      <c r="FZW7"/>
      <c r="FZY7"/>
      <c r="GAA7"/>
      <c r="GAC7"/>
      <c r="GAE7"/>
      <c r="GAG7"/>
      <c r="GAI7"/>
      <c r="GAK7"/>
      <c r="GAM7"/>
      <c r="GAO7"/>
      <c r="GAQ7"/>
      <c r="GAS7"/>
      <c r="GAU7"/>
      <c r="GAW7"/>
      <c r="GAY7"/>
      <c r="GBA7"/>
      <c r="GBC7"/>
      <c r="GBE7"/>
      <c r="GBG7"/>
      <c r="GBI7"/>
      <c r="GBK7"/>
      <c r="GBM7"/>
      <c r="GBO7"/>
      <c r="GBQ7"/>
      <c r="GBS7"/>
      <c r="GBU7"/>
      <c r="GBW7"/>
      <c r="GBY7"/>
      <c r="GCA7"/>
      <c r="GCC7"/>
      <c r="GCE7"/>
      <c r="GCG7"/>
      <c r="GCI7"/>
      <c r="GCK7"/>
      <c r="GCM7"/>
      <c r="GCO7"/>
      <c r="GCQ7"/>
      <c r="GCS7"/>
      <c r="GCU7"/>
      <c r="GCW7"/>
      <c r="GCY7"/>
      <c r="GDA7"/>
      <c r="GDC7"/>
      <c r="GDE7"/>
      <c r="GDG7"/>
      <c r="GDI7"/>
      <c r="GDK7"/>
      <c r="GDM7"/>
      <c r="GDO7"/>
      <c r="GDQ7"/>
      <c r="GDS7"/>
      <c r="GDU7"/>
      <c r="GDW7"/>
      <c r="GDY7"/>
      <c r="GEA7"/>
      <c r="GEC7"/>
      <c r="GEE7"/>
      <c r="GEG7"/>
      <c r="GEI7"/>
      <c r="GEK7"/>
      <c r="GEM7"/>
      <c r="GEO7"/>
      <c r="GEQ7"/>
      <c r="GES7"/>
      <c r="GEU7"/>
      <c r="GEW7"/>
      <c r="GEY7"/>
      <c r="GFA7"/>
      <c r="GFC7"/>
      <c r="GFE7"/>
      <c r="GFG7"/>
      <c r="GFI7"/>
      <c r="GFK7"/>
      <c r="GFM7"/>
      <c r="GFO7"/>
      <c r="GFQ7"/>
      <c r="GFS7"/>
      <c r="GFU7"/>
      <c r="GFW7"/>
      <c r="GFY7"/>
      <c r="GGA7"/>
      <c r="GGC7"/>
      <c r="GGE7"/>
      <c r="GGG7"/>
      <c r="GGI7"/>
      <c r="GGK7"/>
      <c r="GGM7"/>
      <c r="GGO7"/>
      <c r="GGQ7"/>
      <c r="GGS7"/>
      <c r="GGU7"/>
      <c r="GGW7"/>
      <c r="GGY7"/>
      <c r="GHA7"/>
      <c r="GHC7"/>
      <c r="GHE7"/>
      <c r="GHG7"/>
      <c r="GHI7"/>
      <c r="GHK7"/>
      <c r="GHM7"/>
      <c r="GHO7"/>
      <c r="GHQ7"/>
      <c r="GHS7"/>
      <c r="GHU7"/>
      <c r="GHW7"/>
      <c r="GHY7"/>
      <c r="GIA7"/>
      <c r="GIC7"/>
      <c r="GIE7"/>
      <c r="GIG7"/>
      <c r="GII7"/>
      <c r="GIK7"/>
      <c r="GIM7"/>
      <c r="GIO7"/>
      <c r="GIQ7"/>
      <c r="GIS7"/>
      <c r="GIU7"/>
      <c r="GIW7"/>
      <c r="GIY7"/>
      <c r="GJA7"/>
      <c r="GJC7"/>
      <c r="GJE7"/>
      <c r="GJG7"/>
      <c r="GJI7"/>
      <c r="GJK7"/>
      <c r="GJM7"/>
      <c r="GJO7"/>
      <c r="GJQ7"/>
      <c r="GJS7"/>
      <c r="GJU7"/>
      <c r="GJW7"/>
      <c r="GJY7"/>
      <c r="GKA7"/>
      <c r="GKC7"/>
      <c r="GKE7"/>
      <c r="GKG7"/>
      <c r="GKI7"/>
      <c r="GKK7"/>
      <c r="GKM7"/>
      <c r="GKO7"/>
      <c r="GKQ7"/>
      <c r="GKS7"/>
      <c r="GKU7"/>
      <c r="GKW7"/>
      <c r="GKY7"/>
      <c r="GLA7"/>
      <c r="GLC7"/>
      <c r="GLE7"/>
      <c r="GLG7"/>
      <c r="GLI7"/>
      <c r="GLK7"/>
      <c r="GLM7"/>
      <c r="GLO7"/>
      <c r="GLQ7"/>
      <c r="GLS7"/>
      <c r="GLU7"/>
      <c r="GLW7"/>
      <c r="GLY7"/>
      <c r="GMA7"/>
      <c r="GMC7"/>
      <c r="GME7"/>
      <c r="GMG7"/>
      <c r="GMI7"/>
      <c r="GMK7"/>
      <c r="GMM7"/>
      <c r="GMO7"/>
      <c r="GMQ7"/>
      <c r="GMS7"/>
      <c r="GMU7"/>
      <c r="GMW7"/>
      <c r="GMY7"/>
      <c r="GNA7"/>
      <c r="GNC7"/>
      <c r="GNE7"/>
      <c r="GNG7"/>
      <c r="GNI7"/>
      <c r="GNK7"/>
      <c r="GNM7"/>
      <c r="GNO7"/>
      <c r="GNQ7"/>
      <c r="GNS7"/>
      <c r="GNU7"/>
      <c r="GNW7"/>
      <c r="GNY7"/>
      <c r="GOA7"/>
      <c r="GOC7"/>
      <c r="GOE7"/>
      <c r="GOG7"/>
      <c r="GOI7"/>
      <c r="GOK7"/>
      <c r="GOM7"/>
      <c r="GOO7"/>
      <c r="GOQ7"/>
      <c r="GOS7"/>
      <c r="GOU7"/>
      <c r="GOW7"/>
      <c r="GOY7"/>
      <c r="GPA7"/>
      <c r="GPC7"/>
      <c r="GPE7"/>
      <c r="GPG7"/>
      <c r="GPI7"/>
      <c r="GPK7"/>
      <c r="GPM7"/>
      <c r="GPO7"/>
      <c r="GPQ7"/>
      <c r="GPS7"/>
      <c r="GPU7"/>
      <c r="GPW7"/>
      <c r="GPY7"/>
      <c r="GQA7"/>
      <c r="GQC7"/>
      <c r="GQE7"/>
      <c r="GQG7"/>
      <c r="GQI7"/>
      <c r="GQK7"/>
      <c r="GQM7"/>
      <c r="GQO7"/>
      <c r="GQQ7"/>
      <c r="GQS7"/>
      <c r="GQU7"/>
      <c r="GQW7"/>
      <c r="GQY7"/>
      <c r="GRA7"/>
      <c r="GRC7"/>
      <c r="GRE7"/>
      <c r="GRG7"/>
      <c r="GRI7"/>
      <c r="GRK7"/>
      <c r="GRM7"/>
      <c r="GRO7"/>
      <c r="GRQ7"/>
      <c r="GRS7"/>
      <c r="GRU7"/>
      <c r="GRW7"/>
      <c r="GRY7"/>
      <c r="GSA7"/>
      <c r="GSC7"/>
      <c r="GSE7"/>
      <c r="GSG7"/>
      <c r="GSI7"/>
      <c r="GSK7"/>
      <c r="GSM7"/>
      <c r="GSO7"/>
      <c r="GSQ7"/>
      <c r="GSS7"/>
      <c r="GSU7"/>
      <c r="GSW7"/>
      <c r="GSY7"/>
      <c r="GTA7"/>
      <c r="GTC7"/>
      <c r="GTE7"/>
      <c r="GTG7"/>
      <c r="GTI7"/>
      <c r="GTK7"/>
      <c r="GTM7"/>
      <c r="GTO7"/>
      <c r="GTQ7"/>
      <c r="GTS7"/>
      <c r="GTU7"/>
      <c r="GTW7"/>
      <c r="GTY7"/>
      <c r="GUA7"/>
      <c r="GUC7"/>
      <c r="GUE7"/>
      <c r="GUG7"/>
      <c r="GUI7"/>
      <c r="GUK7"/>
      <c r="GUM7"/>
      <c r="GUO7"/>
      <c r="GUQ7"/>
      <c r="GUS7"/>
      <c r="GUU7"/>
      <c r="GUW7"/>
      <c r="GUY7"/>
      <c r="GVA7"/>
      <c r="GVC7"/>
      <c r="GVE7"/>
      <c r="GVG7"/>
      <c r="GVI7"/>
      <c r="GVK7"/>
      <c r="GVM7"/>
      <c r="GVO7"/>
      <c r="GVQ7"/>
      <c r="GVS7"/>
      <c r="GVU7"/>
      <c r="GVW7"/>
      <c r="GVY7"/>
      <c r="GWA7"/>
      <c r="GWC7"/>
      <c r="GWE7"/>
      <c r="GWG7"/>
      <c r="GWI7"/>
      <c r="GWK7"/>
      <c r="GWM7"/>
      <c r="GWO7"/>
      <c r="GWQ7"/>
      <c r="GWS7"/>
      <c r="GWU7"/>
      <c r="GWW7"/>
      <c r="GWY7"/>
      <c r="GXA7"/>
      <c r="GXC7"/>
      <c r="GXE7"/>
      <c r="GXG7"/>
      <c r="GXI7"/>
      <c r="GXK7"/>
      <c r="GXM7"/>
      <c r="GXO7"/>
      <c r="GXQ7"/>
      <c r="GXS7"/>
      <c r="GXU7"/>
      <c r="GXW7"/>
      <c r="GXY7"/>
      <c r="GYA7"/>
      <c r="GYC7"/>
      <c r="GYE7"/>
      <c r="GYG7"/>
      <c r="GYI7"/>
      <c r="GYK7"/>
      <c r="GYM7"/>
      <c r="GYO7"/>
      <c r="GYQ7"/>
      <c r="GYS7"/>
      <c r="GYU7"/>
      <c r="GYW7"/>
      <c r="GYY7"/>
      <c r="GZA7"/>
      <c r="GZC7"/>
      <c r="GZE7"/>
      <c r="GZG7"/>
      <c r="GZI7"/>
      <c r="GZK7"/>
      <c r="GZM7"/>
      <c r="GZO7"/>
      <c r="GZQ7"/>
      <c r="GZS7"/>
      <c r="GZU7"/>
      <c r="GZW7"/>
      <c r="GZY7"/>
      <c r="HAA7"/>
      <c r="HAC7"/>
      <c r="HAE7"/>
      <c r="HAG7"/>
      <c r="HAI7"/>
      <c r="HAK7"/>
      <c r="HAM7"/>
      <c r="HAO7"/>
      <c r="HAQ7"/>
      <c r="HAS7"/>
      <c r="HAU7"/>
      <c r="HAW7"/>
      <c r="HAY7"/>
      <c r="HBA7"/>
      <c r="HBC7"/>
      <c r="HBE7"/>
      <c r="HBG7"/>
      <c r="HBI7"/>
      <c r="HBK7"/>
      <c r="HBM7"/>
      <c r="HBO7"/>
      <c r="HBQ7"/>
      <c r="HBS7"/>
      <c r="HBU7"/>
      <c r="HBW7"/>
      <c r="HBY7"/>
      <c r="HCA7"/>
      <c r="HCC7"/>
      <c r="HCE7"/>
      <c r="HCG7"/>
      <c r="HCI7"/>
      <c r="HCK7"/>
      <c r="HCM7"/>
      <c r="HCO7"/>
      <c r="HCQ7"/>
      <c r="HCS7"/>
      <c r="HCU7"/>
      <c r="HCW7"/>
      <c r="HCY7"/>
      <c r="HDA7"/>
      <c r="HDC7"/>
      <c r="HDE7"/>
      <c r="HDG7"/>
      <c r="HDI7"/>
      <c r="HDK7"/>
      <c r="HDM7"/>
      <c r="HDO7"/>
      <c r="HDQ7"/>
      <c r="HDS7"/>
      <c r="HDU7"/>
      <c r="HDW7"/>
      <c r="HDY7"/>
      <c r="HEA7"/>
      <c r="HEC7"/>
      <c r="HEE7"/>
      <c r="HEG7"/>
      <c r="HEI7"/>
      <c r="HEK7"/>
      <c r="HEM7"/>
      <c r="HEO7"/>
      <c r="HEQ7"/>
      <c r="HES7"/>
      <c r="HEU7"/>
      <c r="HEW7"/>
      <c r="HEY7"/>
      <c r="HFA7"/>
      <c r="HFC7"/>
      <c r="HFE7"/>
      <c r="HFG7"/>
      <c r="HFI7"/>
      <c r="HFK7"/>
      <c r="HFM7"/>
      <c r="HFO7"/>
      <c r="HFQ7"/>
      <c r="HFS7"/>
      <c r="HFU7"/>
      <c r="HFW7"/>
      <c r="HFY7"/>
      <c r="HGA7"/>
      <c r="HGC7"/>
      <c r="HGE7"/>
      <c r="HGG7"/>
      <c r="HGI7"/>
      <c r="HGK7"/>
      <c r="HGM7"/>
      <c r="HGO7"/>
      <c r="HGQ7"/>
      <c r="HGS7"/>
      <c r="HGU7"/>
      <c r="HGW7"/>
      <c r="HGY7"/>
      <c r="HHA7"/>
      <c r="HHC7"/>
      <c r="HHE7"/>
      <c r="HHG7"/>
      <c r="HHI7"/>
      <c r="HHK7"/>
      <c r="HHM7"/>
      <c r="HHO7"/>
      <c r="HHQ7"/>
      <c r="HHS7"/>
      <c r="HHU7"/>
      <c r="HHW7"/>
      <c r="HHY7"/>
      <c r="HIA7"/>
      <c r="HIC7"/>
      <c r="HIE7"/>
      <c r="HIG7"/>
      <c r="HII7"/>
      <c r="HIK7"/>
      <c r="HIM7"/>
      <c r="HIO7"/>
      <c r="HIQ7"/>
      <c r="HIS7"/>
      <c r="HIU7"/>
      <c r="HIW7"/>
      <c r="HIY7"/>
      <c r="HJA7"/>
      <c r="HJC7"/>
      <c r="HJE7"/>
      <c r="HJG7"/>
      <c r="HJI7"/>
      <c r="HJK7"/>
      <c r="HJM7"/>
      <c r="HJO7"/>
      <c r="HJQ7"/>
      <c r="HJS7"/>
      <c r="HJU7"/>
      <c r="HJW7"/>
      <c r="HJY7"/>
      <c r="HKA7"/>
      <c r="HKC7"/>
      <c r="HKE7"/>
      <c r="HKG7"/>
      <c r="HKI7"/>
      <c r="HKK7"/>
      <c r="HKM7"/>
      <c r="HKO7"/>
      <c r="HKQ7"/>
      <c r="HKS7"/>
      <c r="HKU7"/>
      <c r="HKW7"/>
      <c r="HKY7"/>
      <c r="HLA7"/>
      <c r="HLC7"/>
      <c r="HLE7"/>
      <c r="HLG7"/>
      <c r="HLI7"/>
      <c r="HLK7"/>
      <c r="HLM7"/>
      <c r="HLO7"/>
      <c r="HLQ7"/>
      <c r="HLS7"/>
      <c r="HLU7"/>
      <c r="HLW7"/>
      <c r="HLY7"/>
      <c r="HMA7"/>
      <c r="HMC7"/>
      <c r="HME7"/>
      <c r="HMG7"/>
      <c r="HMI7"/>
      <c r="HMK7"/>
      <c r="HMM7"/>
      <c r="HMO7"/>
      <c r="HMQ7"/>
      <c r="HMS7"/>
      <c r="HMU7"/>
      <c r="HMW7"/>
      <c r="HMY7"/>
      <c r="HNA7"/>
      <c r="HNC7"/>
      <c r="HNE7"/>
      <c r="HNG7"/>
      <c r="HNI7"/>
      <c r="HNK7"/>
      <c r="HNM7"/>
      <c r="HNO7"/>
      <c r="HNQ7"/>
      <c r="HNS7"/>
      <c r="HNU7"/>
      <c r="HNW7"/>
      <c r="HNY7"/>
      <c r="HOA7"/>
      <c r="HOC7"/>
      <c r="HOE7"/>
      <c r="HOG7"/>
      <c r="HOI7"/>
      <c r="HOK7"/>
      <c r="HOM7"/>
      <c r="HOO7"/>
      <c r="HOQ7"/>
      <c r="HOS7"/>
      <c r="HOU7"/>
      <c r="HOW7"/>
      <c r="HOY7"/>
      <c r="HPA7"/>
      <c r="HPC7"/>
      <c r="HPE7"/>
      <c r="HPG7"/>
      <c r="HPI7"/>
      <c r="HPK7"/>
      <c r="HPM7"/>
      <c r="HPO7"/>
      <c r="HPQ7"/>
      <c r="HPS7"/>
      <c r="HPU7"/>
      <c r="HPW7"/>
      <c r="HPY7"/>
      <c r="HQA7"/>
      <c r="HQC7"/>
      <c r="HQE7"/>
      <c r="HQG7"/>
      <c r="HQI7"/>
      <c r="HQK7"/>
      <c r="HQM7"/>
      <c r="HQO7"/>
      <c r="HQQ7"/>
      <c r="HQS7"/>
      <c r="HQU7"/>
      <c r="HQW7"/>
      <c r="HQY7"/>
      <c r="HRA7"/>
      <c r="HRC7"/>
      <c r="HRE7"/>
      <c r="HRG7"/>
      <c r="HRI7"/>
      <c r="HRK7"/>
      <c r="HRM7"/>
      <c r="HRO7"/>
      <c r="HRQ7"/>
      <c r="HRS7"/>
      <c r="HRU7"/>
      <c r="HRW7"/>
      <c r="HRY7"/>
      <c r="HSA7"/>
      <c r="HSC7"/>
      <c r="HSE7"/>
      <c r="HSG7"/>
      <c r="HSI7"/>
      <c r="HSK7"/>
      <c r="HSM7"/>
      <c r="HSO7"/>
      <c r="HSQ7"/>
      <c r="HSS7"/>
      <c r="HSU7"/>
      <c r="HSW7"/>
      <c r="HSY7"/>
      <c r="HTA7"/>
      <c r="HTC7"/>
      <c r="HTE7"/>
      <c r="HTG7"/>
      <c r="HTI7"/>
      <c r="HTK7"/>
      <c r="HTM7"/>
      <c r="HTO7"/>
      <c r="HTQ7"/>
      <c r="HTS7"/>
      <c r="HTU7"/>
      <c r="HTW7"/>
      <c r="HTY7"/>
      <c r="HUA7"/>
      <c r="HUC7"/>
      <c r="HUE7"/>
      <c r="HUG7"/>
      <c r="HUI7"/>
      <c r="HUK7"/>
      <c r="HUM7"/>
      <c r="HUO7"/>
      <c r="HUQ7"/>
      <c r="HUS7"/>
      <c r="HUU7"/>
      <c r="HUW7"/>
      <c r="HUY7"/>
      <c r="HVA7"/>
      <c r="HVC7"/>
      <c r="HVE7"/>
      <c r="HVG7"/>
      <c r="HVI7"/>
      <c r="HVK7"/>
      <c r="HVM7"/>
      <c r="HVO7"/>
      <c r="HVQ7"/>
      <c r="HVS7"/>
      <c r="HVU7"/>
      <c r="HVW7"/>
      <c r="HVY7"/>
      <c r="HWA7"/>
      <c r="HWC7"/>
      <c r="HWE7"/>
      <c r="HWG7"/>
      <c r="HWI7"/>
      <c r="HWK7"/>
      <c r="HWM7"/>
      <c r="HWO7"/>
      <c r="HWQ7"/>
      <c r="HWS7"/>
      <c r="HWU7"/>
      <c r="HWW7"/>
      <c r="HWY7"/>
      <c r="HXA7"/>
      <c r="HXC7"/>
      <c r="HXE7"/>
      <c r="HXG7"/>
      <c r="HXI7"/>
      <c r="HXK7"/>
      <c r="HXM7"/>
      <c r="HXO7"/>
      <c r="HXQ7"/>
      <c r="HXS7"/>
      <c r="HXU7"/>
      <c r="HXW7"/>
      <c r="HXY7"/>
      <c r="HYA7"/>
      <c r="HYC7"/>
      <c r="HYE7"/>
      <c r="HYG7"/>
      <c r="HYI7"/>
      <c r="HYK7"/>
      <c r="HYM7"/>
      <c r="HYO7"/>
      <c r="HYQ7"/>
      <c r="HYS7"/>
      <c r="HYU7"/>
      <c r="HYW7"/>
      <c r="HYY7"/>
      <c r="HZA7"/>
      <c r="HZC7"/>
      <c r="HZE7"/>
      <c r="HZG7"/>
      <c r="HZI7"/>
      <c r="HZK7"/>
      <c r="HZM7"/>
      <c r="HZO7"/>
      <c r="HZQ7"/>
      <c r="HZS7"/>
      <c r="HZU7"/>
      <c r="HZW7"/>
      <c r="HZY7"/>
      <c r="IAA7"/>
      <c r="IAC7"/>
      <c r="IAE7"/>
      <c r="IAG7"/>
      <c r="IAI7"/>
      <c r="IAK7"/>
      <c r="IAM7"/>
      <c r="IAO7"/>
      <c r="IAQ7"/>
      <c r="IAS7"/>
      <c r="IAU7"/>
      <c r="IAW7"/>
      <c r="IAY7"/>
      <c r="IBA7"/>
      <c r="IBC7"/>
      <c r="IBE7"/>
      <c r="IBG7"/>
      <c r="IBI7"/>
      <c r="IBK7"/>
      <c r="IBM7"/>
      <c r="IBO7"/>
      <c r="IBQ7"/>
      <c r="IBS7"/>
      <c r="IBU7"/>
      <c r="IBW7"/>
      <c r="IBY7"/>
      <c r="ICA7"/>
      <c r="ICC7"/>
      <c r="ICE7"/>
      <c r="ICG7"/>
      <c r="ICI7"/>
      <c r="ICK7"/>
      <c r="ICM7"/>
      <c r="ICO7"/>
      <c r="ICQ7"/>
      <c r="ICS7"/>
      <c r="ICU7"/>
      <c r="ICW7"/>
      <c r="ICY7"/>
      <c r="IDA7"/>
      <c r="IDC7"/>
      <c r="IDE7"/>
      <c r="IDG7"/>
      <c r="IDI7"/>
      <c r="IDK7"/>
      <c r="IDM7"/>
      <c r="IDO7"/>
      <c r="IDQ7"/>
      <c r="IDS7"/>
      <c r="IDU7"/>
      <c r="IDW7"/>
      <c r="IDY7"/>
      <c r="IEA7"/>
      <c r="IEC7"/>
      <c r="IEE7"/>
      <c r="IEG7"/>
      <c r="IEI7"/>
      <c r="IEK7"/>
      <c r="IEM7"/>
      <c r="IEO7"/>
      <c r="IEQ7"/>
      <c r="IES7"/>
      <c r="IEU7"/>
      <c r="IEW7"/>
      <c r="IEY7"/>
      <c r="IFA7"/>
      <c r="IFC7"/>
      <c r="IFE7"/>
      <c r="IFG7"/>
      <c r="IFI7"/>
      <c r="IFK7"/>
      <c r="IFM7"/>
      <c r="IFO7"/>
      <c r="IFQ7"/>
      <c r="IFS7"/>
      <c r="IFU7"/>
      <c r="IFW7"/>
      <c r="IFY7"/>
      <c r="IGA7"/>
      <c r="IGC7"/>
      <c r="IGE7"/>
      <c r="IGG7"/>
      <c r="IGI7"/>
      <c r="IGK7"/>
      <c r="IGM7"/>
      <c r="IGO7"/>
      <c r="IGQ7"/>
      <c r="IGS7"/>
      <c r="IGU7"/>
      <c r="IGW7"/>
      <c r="IGY7"/>
      <c r="IHA7"/>
      <c r="IHC7"/>
      <c r="IHE7"/>
      <c r="IHG7"/>
      <c r="IHI7"/>
      <c r="IHK7"/>
      <c r="IHM7"/>
      <c r="IHO7"/>
      <c r="IHQ7"/>
      <c r="IHS7"/>
      <c r="IHU7"/>
      <c r="IHW7"/>
      <c r="IHY7"/>
      <c r="IIA7"/>
      <c r="IIC7"/>
      <c r="IIE7"/>
      <c r="IIG7"/>
      <c r="III7"/>
      <c r="IIK7"/>
      <c r="IIM7"/>
      <c r="IIO7"/>
      <c r="IIQ7"/>
      <c r="IIS7"/>
      <c r="IIU7"/>
      <c r="IIW7"/>
      <c r="IIY7"/>
      <c r="IJA7"/>
      <c r="IJC7"/>
      <c r="IJE7"/>
      <c r="IJG7"/>
      <c r="IJI7"/>
      <c r="IJK7"/>
      <c r="IJM7"/>
      <c r="IJO7"/>
      <c r="IJQ7"/>
      <c r="IJS7"/>
      <c r="IJU7"/>
      <c r="IJW7"/>
      <c r="IJY7"/>
      <c r="IKA7"/>
      <c r="IKC7"/>
      <c r="IKE7"/>
      <c r="IKG7"/>
      <c r="IKI7"/>
      <c r="IKK7"/>
      <c r="IKM7"/>
      <c r="IKO7"/>
      <c r="IKQ7"/>
      <c r="IKS7"/>
      <c r="IKU7"/>
      <c r="IKW7"/>
      <c r="IKY7"/>
      <c r="ILA7"/>
      <c r="ILC7"/>
      <c r="ILE7"/>
      <c r="ILG7"/>
      <c r="ILI7"/>
      <c r="ILK7"/>
      <c r="ILM7"/>
      <c r="ILO7"/>
      <c r="ILQ7"/>
      <c r="ILS7"/>
      <c r="ILU7"/>
      <c r="ILW7"/>
      <c r="ILY7"/>
      <c r="IMA7"/>
      <c r="IMC7"/>
      <c r="IME7"/>
      <c r="IMG7"/>
      <c r="IMI7"/>
      <c r="IMK7"/>
      <c r="IMM7"/>
      <c r="IMO7"/>
      <c r="IMQ7"/>
      <c r="IMS7"/>
      <c r="IMU7"/>
      <c r="IMW7"/>
      <c r="IMY7"/>
      <c r="INA7"/>
      <c r="INC7"/>
      <c r="INE7"/>
      <c r="ING7"/>
      <c r="INI7"/>
      <c r="INK7"/>
      <c r="INM7"/>
      <c r="INO7"/>
      <c r="INQ7"/>
      <c r="INS7"/>
      <c r="INU7"/>
      <c r="INW7"/>
      <c r="INY7"/>
      <c r="IOA7"/>
      <c r="IOC7"/>
      <c r="IOE7"/>
      <c r="IOG7"/>
      <c r="IOI7"/>
      <c r="IOK7"/>
      <c r="IOM7"/>
      <c r="IOO7"/>
      <c r="IOQ7"/>
      <c r="IOS7"/>
      <c r="IOU7"/>
      <c r="IOW7"/>
      <c r="IOY7"/>
      <c r="IPA7"/>
      <c r="IPC7"/>
      <c r="IPE7"/>
      <c r="IPG7"/>
      <c r="IPI7"/>
      <c r="IPK7"/>
      <c r="IPM7"/>
      <c r="IPO7"/>
      <c r="IPQ7"/>
      <c r="IPS7"/>
      <c r="IPU7"/>
      <c r="IPW7"/>
      <c r="IPY7"/>
      <c r="IQA7"/>
      <c r="IQC7"/>
      <c r="IQE7"/>
      <c r="IQG7"/>
      <c r="IQI7"/>
      <c r="IQK7"/>
      <c r="IQM7"/>
      <c r="IQO7"/>
      <c r="IQQ7"/>
      <c r="IQS7"/>
      <c r="IQU7"/>
      <c r="IQW7"/>
      <c r="IQY7"/>
      <c r="IRA7"/>
      <c r="IRC7"/>
      <c r="IRE7"/>
      <c r="IRG7"/>
      <c r="IRI7"/>
      <c r="IRK7"/>
      <c r="IRM7"/>
      <c r="IRO7"/>
      <c r="IRQ7"/>
      <c r="IRS7"/>
      <c r="IRU7"/>
      <c r="IRW7"/>
      <c r="IRY7"/>
      <c r="ISA7"/>
      <c r="ISC7"/>
      <c r="ISE7"/>
      <c r="ISG7"/>
      <c r="ISI7"/>
      <c r="ISK7"/>
      <c r="ISM7"/>
      <c r="ISO7"/>
      <c r="ISQ7"/>
      <c r="ISS7"/>
      <c r="ISU7"/>
      <c r="ISW7"/>
      <c r="ISY7"/>
      <c r="ITA7"/>
      <c r="ITC7"/>
      <c r="ITE7"/>
      <c r="ITG7"/>
      <c r="ITI7"/>
      <c r="ITK7"/>
      <c r="ITM7"/>
      <c r="ITO7"/>
      <c r="ITQ7"/>
      <c r="ITS7"/>
      <c r="ITU7"/>
      <c r="ITW7"/>
      <c r="ITY7"/>
      <c r="IUA7"/>
      <c r="IUC7"/>
      <c r="IUE7"/>
      <c r="IUG7"/>
      <c r="IUI7"/>
      <c r="IUK7"/>
      <c r="IUM7"/>
      <c r="IUO7"/>
      <c r="IUQ7"/>
      <c r="IUS7"/>
      <c r="IUU7"/>
      <c r="IUW7"/>
      <c r="IUY7"/>
      <c r="IVA7"/>
      <c r="IVC7"/>
      <c r="IVE7"/>
      <c r="IVG7"/>
      <c r="IVI7"/>
      <c r="IVK7"/>
      <c r="IVM7"/>
      <c r="IVO7"/>
      <c r="IVQ7"/>
      <c r="IVS7"/>
      <c r="IVU7"/>
      <c r="IVW7"/>
      <c r="IVY7"/>
      <c r="IWA7"/>
      <c r="IWC7"/>
      <c r="IWE7"/>
      <c r="IWG7"/>
      <c r="IWI7"/>
      <c r="IWK7"/>
      <c r="IWM7"/>
      <c r="IWO7"/>
      <c r="IWQ7"/>
      <c r="IWS7"/>
      <c r="IWU7"/>
      <c r="IWW7"/>
      <c r="IWY7"/>
      <c r="IXA7"/>
      <c r="IXC7"/>
      <c r="IXE7"/>
      <c r="IXG7"/>
      <c r="IXI7"/>
      <c r="IXK7"/>
      <c r="IXM7"/>
      <c r="IXO7"/>
      <c r="IXQ7"/>
      <c r="IXS7"/>
      <c r="IXU7"/>
      <c r="IXW7"/>
      <c r="IXY7"/>
      <c r="IYA7"/>
      <c r="IYC7"/>
      <c r="IYE7"/>
      <c r="IYG7"/>
      <c r="IYI7"/>
      <c r="IYK7"/>
      <c r="IYM7"/>
      <c r="IYO7"/>
      <c r="IYQ7"/>
      <c r="IYS7"/>
      <c r="IYU7"/>
      <c r="IYW7"/>
      <c r="IYY7"/>
      <c r="IZA7"/>
      <c r="IZC7"/>
      <c r="IZE7"/>
      <c r="IZG7"/>
      <c r="IZI7"/>
      <c r="IZK7"/>
      <c r="IZM7"/>
      <c r="IZO7"/>
      <c r="IZQ7"/>
      <c r="IZS7"/>
      <c r="IZU7"/>
      <c r="IZW7"/>
      <c r="IZY7"/>
      <c r="JAA7"/>
      <c r="JAC7"/>
      <c r="JAE7"/>
      <c r="JAG7"/>
      <c r="JAI7"/>
      <c r="JAK7"/>
      <c r="JAM7"/>
      <c r="JAO7"/>
      <c r="JAQ7"/>
      <c r="JAS7"/>
      <c r="JAU7"/>
      <c r="JAW7"/>
      <c r="JAY7"/>
      <c r="JBA7"/>
      <c r="JBC7"/>
      <c r="JBE7"/>
      <c r="JBG7"/>
      <c r="JBI7"/>
      <c r="JBK7"/>
      <c r="JBM7"/>
      <c r="JBO7"/>
      <c r="JBQ7"/>
      <c r="JBS7"/>
      <c r="JBU7"/>
      <c r="JBW7"/>
      <c r="JBY7"/>
      <c r="JCA7"/>
      <c r="JCC7"/>
      <c r="JCE7"/>
      <c r="JCG7"/>
      <c r="JCI7"/>
      <c r="JCK7"/>
      <c r="JCM7"/>
      <c r="JCO7"/>
      <c r="JCQ7"/>
      <c r="JCS7"/>
      <c r="JCU7"/>
      <c r="JCW7"/>
      <c r="JCY7"/>
      <c r="JDA7"/>
      <c r="JDC7"/>
      <c r="JDE7"/>
      <c r="JDG7"/>
      <c r="JDI7"/>
      <c r="JDK7"/>
      <c r="JDM7"/>
      <c r="JDO7"/>
      <c r="JDQ7"/>
      <c r="JDS7"/>
      <c r="JDU7"/>
      <c r="JDW7"/>
      <c r="JDY7"/>
      <c r="JEA7"/>
      <c r="JEC7"/>
      <c r="JEE7"/>
      <c r="JEG7"/>
      <c r="JEI7"/>
      <c r="JEK7"/>
      <c r="JEM7"/>
      <c r="JEO7"/>
      <c r="JEQ7"/>
      <c r="JES7"/>
      <c r="JEU7"/>
      <c r="JEW7"/>
      <c r="JEY7"/>
      <c r="JFA7"/>
      <c r="JFC7"/>
      <c r="JFE7"/>
      <c r="JFG7"/>
      <c r="JFI7"/>
      <c r="JFK7"/>
      <c r="JFM7"/>
      <c r="JFO7"/>
      <c r="JFQ7"/>
      <c r="JFS7"/>
      <c r="JFU7"/>
      <c r="JFW7"/>
      <c r="JFY7"/>
      <c r="JGA7"/>
      <c r="JGC7"/>
      <c r="JGE7"/>
      <c r="JGG7"/>
      <c r="JGI7"/>
      <c r="JGK7"/>
      <c r="JGM7"/>
      <c r="JGO7"/>
      <c r="JGQ7"/>
      <c r="JGS7"/>
      <c r="JGU7"/>
      <c r="JGW7"/>
      <c r="JGY7"/>
      <c r="JHA7"/>
      <c r="JHC7"/>
      <c r="JHE7"/>
      <c r="JHG7"/>
      <c r="JHI7"/>
      <c r="JHK7"/>
      <c r="JHM7"/>
      <c r="JHO7"/>
      <c r="JHQ7"/>
      <c r="JHS7"/>
      <c r="JHU7"/>
      <c r="JHW7"/>
      <c r="JHY7"/>
      <c r="JIA7"/>
      <c r="JIC7"/>
      <c r="JIE7"/>
      <c r="JIG7"/>
      <c r="JII7"/>
      <c r="JIK7"/>
      <c r="JIM7"/>
      <c r="JIO7"/>
      <c r="JIQ7"/>
      <c r="JIS7"/>
      <c r="JIU7"/>
      <c r="JIW7"/>
      <c r="JIY7"/>
      <c r="JJA7"/>
      <c r="JJC7"/>
      <c r="JJE7"/>
      <c r="JJG7"/>
      <c r="JJI7"/>
      <c r="JJK7"/>
      <c r="JJM7"/>
      <c r="JJO7"/>
      <c r="JJQ7"/>
      <c r="JJS7"/>
      <c r="JJU7"/>
      <c r="JJW7"/>
      <c r="JJY7"/>
      <c r="JKA7"/>
      <c r="JKC7"/>
      <c r="JKE7"/>
      <c r="JKG7"/>
      <c r="JKI7"/>
      <c r="JKK7"/>
      <c r="JKM7"/>
      <c r="JKO7"/>
      <c r="JKQ7"/>
      <c r="JKS7"/>
      <c r="JKU7"/>
      <c r="JKW7"/>
      <c r="JKY7"/>
      <c r="JLA7"/>
      <c r="JLC7"/>
      <c r="JLE7"/>
      <c r="JLG7"/>
      <c r="JLI7"/>
      <c r="JLK7"/>
      <c r="JLM7"/>
      <c r="JLO7"/>
      <c r="JLQ7"/>
      <c r="JLS7"/>
      <c r="JLU7"/>
      <c r="JLW7"/>
      <c r="JLY7"/>
      <c r="JMA7"/>
      <c r="JMC7"/>
      <c r="JME7"/>
      <c r="JMG7"/>
      <c r="JMI7"/>
      <c r="JMK7"/>
      <c r="JMM7"/>
      <c r="JMO7"/>
      <c r="JMQ7"/>
      <c r="JMS7"/>
      <c r="JMU7"/>
      <c r="JMW7"/>
      <c r="JMY7"/>
      <c r="JNA7"/>
      <c r="JNC7"/>
      <c r="JNE7"/>
      <c r="JNG7"/>
      <c r="JNI7"/>
      <c r="JNK7"/>
      <c r="JNM7"/>
      <c r="JNO7"/>
      <c r="JNQ7"/>
      <c r="JNS7"/>
      <c r="JNU7"/>
      <c r="JNW7"/>
      <c r="JNY7"/>
      <c r="JOA7"/>
      <c r="JOC7"/>
      <c r="JOE7"/>
      <c r="JOG7"/>
      <c r="JOI7"/>
      <c r="JOK7"/>
      <c r="JOM7"/>
      <c r="JOO7"/>
      <c r="JOQ7"/>
      <c r="JOS7"/>
      <c r="JOU7"/>
      <c r="JOW7"/>
      <c r="JOY7"/>
      <c r="JPA7"/>
      <c r="JPC7"/>
      <c r="JPE7"/>
      <c r="JPG7"/>
      <c r="JPI7"/>
      <c r="JPK7"/>
      <c r="JPM7"/>
      <c r="JPO7"/>
      <c r="JPQ7"/>
      <c r="JPS7"/>
      <c r="JPU7"/>
      <c r="JPW7"/>
      <c r="JPY7"/>
      <c r="JQA7"/>
      <c r="JQC7"/>
      <c r="JQE7"/>
      <c r="JQG7"/>
      <c r="JQI7"/>
      <c r="JQK7"/>
      <c r="JQM7"/>
      <c r="JQO7"/>
      <c r="JQQ7"/>
      <c r="JQS7"/>
      <c r="JQU7"/>
      <c r="JQW7"/>
      <c r="JQY7"/>
      <c r="JRA7"/>
      <c r="JRC7"/>
      <c r="JRE7"/>
      <c r="JRG7"/>
      <c r="JRI7"/>
      <c r="JRK7"/>
      <c r="JRM7"/>
      <c r="JRO7"/>
      <c r="JRQ7"/>
      <c r="JRS7"/>
      <c r="JRU7"/>
      <c r="JRW7"/>
      <c r="JRY7"/>
      <c r="JSA7"/>
      <c r="JSC7"/>
      <c r="JSE7"/>
      <c r="JSG7"/>
      <c r="JSI7"/>
      <c r="JSK7"/>
      <c r="JSM7"/>
      <c r="JSO7"/>
      <c r="JSQ7"/>
      <c r="JSS7"/>
      <c r="JSU7"/>
      <c r="JSW7"/>
      <c r="JSY7"/>
      <c r="JTA7"/>
      <c r="JTC7"/>
      <c r="JTE7"/>
      <c r="JTG7"/>
      <c r="JTI7"/>
      <c r="JTK7"/>
      <c r="JTM7"/>
      <c r="JTO7"/>
      <c r="JTQ7"/>
      <c r="JTS7"/>
      <c r="JTU7"/>
      <c r="JTW7"/>
      <c r="JTY7"/>
      <c r="JUA7"/>
      <c r="JUC7"/>
      <c r="JUE7"/>
      <c r="JUG7"/>
      <c r="JUI7"/>
      <c r="JUK7"/>
      <c r="JUM7"/>
      <c r="JUO7"/>
      <c r="JUQ7"/>
      <c r="JUS7"/>
      <c r="JUU7"/>
      <c r="JUW7"/>
      <c r="JUY7"/>
      <c r="JVA7"/>
      <c r="JVC7"/>
      <c r="JVE7"/>
      <c r="JVG7"/>
      <c r="JVI7"/>
      <c r="JVK7"/>
      <c r="JVM7"/>
      <c r="JVO7"/>
      <c r="JVQ7"/>
      <c r="JVS7"/>
      <c r="JVU7"/>
      <c r="JVW7"/>
      <c r="JVY7"/>
      <c r="JWA7"/>
      <c r="JWC7"/>
      <c r="JWE7"/>
      <c r="JWG7"/>
      <c r="JWI7"/>
      <c r="JWK7"/>
      <c r="JWM7"/>
      <c r="JWO7"/>
      <c r="JWQ7"/>
      <c r="JWS7"/>
      <c r="JWU7"/>
      <c r="JWW7"/>
      <c r="JWY7"/>
      <c r="JXA7"/>
      <c r="JXC7"/>
      <c r="JXE7"/>
      <c r="JXG7"/>
      <c r="JXI7"/>
      <c r="JXK7"/>
      <c r="JXM7"/>
      <c r="JXO7"/>
      <c r="JXQ7"/>
      <c r="JXS7"/>
      <c r="JXU7"/>
      <c r="JXW7"/>
      <c r="JXY7"/>
      <c r="JYA7"/>
      <c r="JYC7"/>
      <c r="JYE7"/>
      <c r="JYG7"/>
      <c r="JYI7"/>
      <c r="JYK7"/>
      <c r="JYM7"/>
      <c r="JYO7"/>
      <c r="JYQ7"/>
      <c r="JYS7"/>
      <c r="JYU7"/>
      <c r="JYW7"/>
      <c r="JYY7"/>
      <c r="JZA7"/>
      <c r="JZC7"/>
      <c r="JZE7"/>
      <c r="JZG7"/>
      <c r="JZI7"/>
      <c r="JZK7"/>
      <c r="JZM7"/>
      <c r="JZO7"/>
      <c r="JZQ7"/>
      <c r="JZS7"/>
      <c r="JZU7"/>
      <c r="JZW7"/>
      <c r="JZY7"/>
      <c r="KAA7"/>
      <c r="KAC7"/>
      <c r="KAE7"/>
      <c r="KAG7"/>
      <c r="KAI7"/>
      <c r="KAK7"/>
      <c r="KAM7"/>
      <c r="KAO7"/>
      <c r="KAQ7"/>
      <c r="KAS7"/>
      <c r="KAU7"/>
      <c r="KAW7"/>
      <c r="KAY7"/>
      <c r="KBA7"/>
      <c r="KBC7"/>
      <c r="KBE7"/>
      <c r="KBG7"/>
      <c r="KBI7"/>
      <c r="KBK7"/>
      <c r="KBM7"/>
      <c r="KBO7"/>
      <c r="KBQ7"/>
      <c r="KBS7"/>
      <c r="KBU7"/>
      <c r="KBW7"/>
      <c r="KBY7"/>
      <c r="KCA7"/>
      <c r="KCC7"/>
      <c r="KCE7"/>
      <c r="KCG7"/>
      <c r="KCI7"/>
      <c r="KCK7"/>
      <c r="KCM7"/>
      <c r="KCO7"/>
      <c r="KCQ7"/>
      <c r="KCS7"/>
      <c r="KCU7"/>
      <c r="KCW7"/>
      <c r="KCY7"/>
      <c r="KDA7"/>
      <c r="KDC7"/>
      <c r="KDE7"/>
      <c r="KDG7"/>
      <c r="KDI7"/>
      <c r="KDK7"/>
      <c r="KDM7"/>
      <c r="KDO7"/>
      <c r="KDQ7"/>
      <c r="KDS7"/>
      <c r="KDU7"/>
      <c r="KDW7"/>
      <c r="KDY7"/>
      <c r="KEA7"/>
      <c r="KEC7"/>
      <c r="KEE7"/>
      <c r="KEG7"/>
      <c r="KEI7"/>
      <c r="KEK7"/>
      <c r="KEM7"/>
      <c r="KEO7"/>
      <c r="KEQ7"/>
      <c r="KES7"/>
      <c r="KEU7"/>
      <c r="KEW7"/>
      <c r="KEY7"/>
      <c r="KFA7"/>
      <c r="KFC7"/>
      <c r="KFE7"/>
      <c r="KFG7"/>
      <c r="KFI7"/>
      <c r="KFK7"/>
      <c r="KFM7"/>
      <c r="KFO7"/>
      <c r="KFQ7"/>
      <c r="KFS7"/>
      <c r="KFU7"/>
      <c r="KFW7"/>
      <c r="KFY7"/>
      <c r="KGA7"/>
      <c r="KGC7"/>
      <c r="KGE7"/>
      <c r="KGG7"/>
      <c r="KGI7"/>
      <c r="KGK7"/>
      <c r="KGM7"/>
      <c r="KGO7"/>
      <c r="KGQ7"/>
      <c r="KGS7"/>
      <c r="KGU7"/>
      <c r="KGW7"/>
      <c r="KGY7"/>
      <c r="KHA7"/>
      <c r="KHC7"/>
      <c r="KHE7"/>
      <c r="KHG7"/>
      <c r="KHI7"/>
      <c r="KHK7"/>
      <c r="KHM7"/>
      <c r="KHO7"/>
      <c r="KHQ7"/>
      <c r="KHS7"/>
      <c r="KHU7"/>
      <c r="KHW7"/>
      <c r="KHY7"/>
      <c r="KIA7"/>
      <c r="KIC7"/>
      <c r="KIE7"/>
      <c r="KIG7"/>
      <c r="KII7"/>
      <c r="KIK7"/>
      <c r="KIM7"/>
      <c r="KIO7"/>
      <c r="KIQ7"/>
      <c r="KIS7"/>
      <c r="KIU7"/>
      <c r="KIW7"/>
      <c r="KIY7"/>
      <c r="KJA7"/>
      <c r="KJC7"/>
      <c r="KJE7"/>
      <c r="KJG7"/>
      <c r="KJI7"/>
      <c r="KJK7"/>
      <c r="KJM7"/>
      <c r="KJO7"/>
      <c r="KJQ7"/>
      <c r="KJS7"/>
      <c r="KJU7"/>
      <c r="KJW7"/>
      <c r="KJY7"/>
      <c r="KKA7"/>
      <c r="KKC7"/>
      <c r="KKE7"/>
      <c r="KKG7"/>
      <c r="KKI7"/>
      <c r="KKK7"/>
      <c r="KKM7"/>
      <c r="KKO7"/>
      <c r="KKQ7"/>
      <c r="KKS7"/>
      <c r="KKU7"/>
      <c r="KKW7"/>
      <c r="KKY7"/>
      <c r="KLA7"/>
      <c r="KLC7"/>
      <c r="KLE7"/>
      <c r="KLG7"/>
      <c r="KLI7"/>
      <c r="KLK7"/>
      <c r="KLM7"/>
      <c r="KLO7"/>
      <c r="KLQ7"/>
      <c r="KLS7"/>
      <c r="KLU7"/>
      <c r="KLW7"/>
      <c r="KLY7"/>
      <c r="KMA7"/>
      <c r="KMC7"/>
      <c r="KME7"/>
      <c r="KMG7"/>
      <c r="KMI7"/>
      <c r="KMK7"/>
      <c r="KMM7"/>
      <c r="KMO7"/>
      <c r="KMQ7"/>
      <c r="KMS7"/>
      <c r="KMU7"/>
      <c r="KMW7"/>
      <c r="KMY7"/>
      <c r="KNA7"/>
      <c r="KNC7"/>
      <c r="KNE7"/>
      <c r="KNG7"/>
      <c r="KNI7"/>
      <c r="KNK7"/>
      <c r="KNM7"/>
      <c r="KNO7"/>
      <c r="KNQ7"/>
      <c r="KNS7"/>
      <c r="KNU7"/>
      <c r="KNW7"/>
      <c r="KNY7"/>
      <c r="KOA7"/>
      <c r="KOC7"/>
      <c r="KOE7"/>
      <c r="KOG7"/>
      <c r="KOI7"/>
      <c r="KOK7"/>
      <c r="KOM7"/>
      <c r="KOO7"/>
      <c r="KOQ7"/>
      <c r="KOS7"/>
      <c r="KOU7"/>
      <c r="KOW7"/>
      <c r="KOY7"/>
      <c r="KPA7"/>
      <c r="KPC7"/>
      <c r="KPE7"/>
      <c r="KPG7"/>
      <c r="KPI7"/>
      <c r="KPK7"/>
      <c r="KPM7"/>
      <c r="KPO7"/>
      <c r="KPQ7"/>
      <c r="KPS7"/>
      <c r="KPU7"/>
      <c r="KPW7"/>
      <c r="KPY7"/>
      <c r="KQA7"/>
      <c r="KQC7"/>
      <c r="KQE7"/>
      <c r="KQG7"/>
      <c r="KQI7"/>
      <c r="KQK7"/>
      <c r="KQM7"/>
      <c r="KQO7"/>
      <c r="KQQ7"/>
      <c r="KQS7"/>
      <c r="KQU7"/>
      <c r="KQW7"/>
      <c r="KQY7"/>
      <c r="KRA7"/>
      <c r="KRC7"/>
      <c r="KRE7"/>
      <c r="KRG7"/>
      <c r="KRI7"/>
      <c r="KRK7"/>
      <c r="KRM7"/>
      <c r="KRO7"/>
      <c r="KRQ7"/>
      <c r="KRS7"/>
      <c r="KRU7"/>
      <c r="KRW7"/>
      <c r="KRY7"/>
      <c r="KSA7"/>
      <c r="KSC7"/>
      <c r="KSE7"/>
      <c r="KSG7"/>
      <c r="KSI7"/>
      <c r="KSK7"/>
      <c r="KSM7"/>
      <c r="KSO7"/>
      <c r="KSQ7"/>
      <c r="KSS7"/>
      <c r="KSU7"/>
      <c r="KSW7"/>
      <c r="KSY7"/>
      <c r="KTA7"/>
      <c r="KTC7"/>
      <c r="KTE7"/>
      <c r="KTG7"/>
      <c r="KTI7"/>
      <c r="KTK7"/>
      <c r="KTM7"/>
      <c r="KTO7"/>
      <c r="KTQ7"/>
      <c r="KTS7"/>
      <c r="KTU7"/>
      <c r="KTW7"/>
      <c r="KTY7"/>
      <c r="KUA7"/>
      <c r="KUC7"/>
      <c r="KUE7"/>
      <c r="KUG7"/>
      <c r="KUI7"/>
      <c r="KUK7"/>
      <c r="KUM7"/>
      <c r="KUO7"/>
      <c r="KUQ7"/>
      <c r="KUS7"/>
      <c r="KUU7"/>
      <c r="KUW7"/>
      <c r="KUY7"/>
      <c r="KVA7"/>
      <c r="KVC7"/>
      <c r="KVE7"/>
      <c r="KVG7"/>
      <c r="KVI7"/>
      <c r="KVK7"/>
      <c r="KVM7"/>
      <c r="KVO7"/>
      <c r="KVQ7"/>
      <c r="KVS7"/>
      <c r="KVU7"/>
      <c r="KVW7"/>
      <c r="KVY7"/>
      <c r="KWA7"/>
      <c r="KWC7"/>
      <c r="KWE7"/>
      <c r="KWG7"/>
      <c r="KWI7"/>
      <c r="KWK7"/>
      <c r="KWM7"/>
      <c r="KWO7"/>
      <c r="KWQ7"/>
      <c r="KWS7"/>
      <c r="KWU7"/>
      <c r="KWW7"/>
      <c r="KWY7"/>
      <c r="KXA7"/>
      <c r="KXC7"/>
      <c r="KXE7"/>
      <c r="KXG7"/>
      <c r="KXI7"/>
      <c r="KXK7"/>
      <c r="KXM7"/>
      <c r="KXO7"/>
      <c r="KXQ7"/>
      <c r="KXS7"/>
      <c r="KXU7"/>
      <c r="KXW7"/>
      <c r="KXY7"/>
      <c r="KYA7"/>
      <c r="KYC7"/>
      <c r="KYE7"/>
      <c r="KYG7"/>
      <c r="KYI7"/>
      <c r="KYK7"/>
      <c r="KYM7"/>
      <c r="KYO7"/>
      <c r="KYQ7"/>
      <c r="KYS7"/>
      <c r="KYU7"/>
      <c r="KYW7"/>
      <c r="KYY7"/>
      <c r="KZA7"/>
      <c r="KZC7"/>
      <c r="KZE7"/>
      <c r="KZG7"/>
      <c r="KZI7"/>
      <c r="KZK7"/>
      <c r="KZM7"/>
      <c r="KZO7"/>
      <c r="KZQ7"/>
      <c r="KZS7"/>
      <c r="KZU7"/>
      <c r="KZW7"/>
      <c r="KZY7"/>
      <c r="LAA7"/>
      <c r="LAC7"/>
      <c r="LAE7"/>
      <c r="LAG7"/>
      <c r="LAI7"/>
      <c r="LAK7"/>
      <c r="LAM7"/>
      <c r="LAO7"/>
      <c r="LAQ7"/>
      <c r="LAS7"/>
      <c r="LAU7"/>
      <c r="LAW7"/>
      <c r="LAY7"/>
      <c r="LBA7"/>
      <c r="LBC7"/>
      <c r="LBE7"/>
      <c r="LBG7"/>
      <c r="LBI7"/>
      <c r="LBK7"/>
      <c r="LBM7"/>
      <c r="LBO7"/>
      <c r="LBQ7"/>
      <c r="LBS7"/>
      <c r="LBU7"/>
      <c r="LBW7"/>
      <c r="LBY7"/>
      <c r="LCA7"/>
      <c r="LCC7"/>
      <c r="LCE7"/>
      <c r="LCG7"/>
      <c r="LCI7"/>
      <c r="LCK7"/>
      <c r="LCM7"/>
      <c r="LCO7"/>
      <c r="LCQ7"/>
      <c r="LCS7"/>
      <c r="LCU7"/>
      <c r="LCW7"/>
      <c r="LCY7"/>
      <c r="LDA7"/>
      <c r="LDC7"/>
      <c r="LDE7"/>
      <c r="LDG7"/>
      <c r="LDI7"/>
      <c r="LDK7"/>
      <c r="LDM7"/>
      <c r="LDO7"/>
      <c r="LDQ7"/>
      <c r="LDS7"/>
      <c r="LDU7"/>
      <c r="LDW7"/>
      <c r="LDY7"/>
      <c r="LEA7"/>
      <c r="LEC7"/>
      <c r="LEE7"/>
      <c r="LEG7"/>
      <c r="LEI7"/>
      <c r="LEK7"/>
      <c r="LEM7"/>
      <c r="LEO7"/>
      <c r="LEQ7"/>
      <c r="LES7"/>
      <c r="LEU7"/>
      <c r="LEW7"/>
      <c r="LEY7"/>
      <c r="LFA7"/>
      <c r="LFC7"/>
      <c r="LFE7"/>
      <c r="LFG7"/>
      <c r="LFI7"/>
      <c r="LFK7"/>
      <c r="LFM7"/>
      <c r="LFO7"/>
      <c r="LFQ7"/>
      <c r="LFS7"/>
      <c r="LFU7"/>
      <c r="LFW7"/>
      <c r="LFY7"/>
      <c r="LGA7"/>
      <c r="LGC7"/>
      <c r="LGE7"/>
      <c r="LGG7"/>
      <c r="LGI7"/>
      <c r="LGK7"/>
      <c r="LGM7"/>
      <c r="LGO7"/>
      <c r="LGQ7"/>
      <c r="LGS7"/>
      <c r="LGU7"/>
      <c r="LGW7"/>
      <c r="LGY7"/>
      <c r="LHA7"/>
      <c r="LHC7"/>
      <c r="LHE7"/>
      <c r="LHG7"/>
      <c r="LHI7"/>
      <c r="LHK7"/>
      <c r="LHM7"/>
      <c r="LHO7"/>
      <c r="LHQ7"/>
      <c r="LHS7"/>
      <c r="LHU7"/>
      <c r="LHW7"/>
      <c r="LHY7"/>
      <c r="LIA7"/>
      <c r="LIC7"/>
      <c r="LIE7"/>
      <c r="LIG7"/>
      <c r="LII7"/>
      <c r="LIK7"/>
      <c r="LIM7"/>
      <c r="LIO7"/>
      <c r="LIQ7"/>
      <c r="LIS7"/>
      <c r="LIU7"/>
      <c r="LIW7"/>
      <c r="LIY7"/>
      <c r="LJA7"/>
      <c r="LJC7"/>
      <c r="LJE7"/>
      <c r="LJG7"/>
      <c r="LJI7"/>
      <c r="LJK7"/>
      <c r="LJM7"/>
      <c r="LJO7"/>
      <c r="LJQ7"/>
      <c r="LJS7"/>
      <c r="LJU7"/>
      <c r="LJW7"/>
      <c r="LJY7"/>
      <c r="LKA7"/>
      <c r="LKC7"/>
      <c r="LKE7"/>
      <c r="LKG7"/>
      <c r="LKI7"/>
      <c r="LKK7"/>
      <c r="LKM7"/>
      <c r="LKO7"/>
      <c r="LKQ7"/>
      <c r="LKS7"/>
      <c r="LKU7"/>
      <c r="LKW7"/>
      <c r="LKY7"/>
      <c r="LLA7"/>
      <c r="LLC7"/>
      <c r="LLE7"/>
      <c r="LLG7"/>
      <c r="LLI7"/>
      <c r="LLK7"/>
      <c r="LLM7"/>
      <c r="LLO7"/>
      <c r="LLQ7"/>
      <c r="LLS7"/>
      <c r="LLU7"/>
      <c r="LLW7"/>
      <c r="LLY7"/>
      <c r="LMA7"/>
      <c r="LMC7"/>
      <c r="LME7"/>
      <c r="LMG7"/>
      <c r="LMI7"/>
      <c r="LMK7"/>
      <c r="LMM7"/>
      <c r="LMO7"/>
      <c r="LMQ7"/>
      <c r="LMS7"/>
      <c r="LMU7"/>
      <c r="LMW7"/>
      <c r="LMY7"/>
      <c r="LNA7"/>
      <c r="LNC7"/>
      <c r="LNE7"/>
      <c r="LNG7"/>
      <c r="LNI7"/>
      <c r="LNK7"/>
      <c r="LNM7"/>
      <c r="LNO7"/>
      <c r="LNQ7"/>
      <c r="LNS7"/>
      <c r="LNU7"/>
      <c r="LNW7"/>
      <c r="LNY7"/>
      <c r="LOA7"/>
      <c r="LOC7"/>
      <c r="LOE7"/>
      <c r="LOG7"/>
      <c r="LOI7"/>
      <c r="LOK7"/>
      <c r="LOM7"/>
      <c r="LOO7"/>
      <c r="LOQ7"/>
      <c r="LOS7"/>
      <c r="LOU7"/>
      <c r="LOW7"/>
      <c r="LOY7"/>
      <c r="LPA7"/>
      <c r="LPC7"/>
      <c r="LPE7"/>
      <c r="LPG7"/>
      <c r="LPI7"/>
      <c r="LPK7"/>
      <c r="LPM7"/>
      <c r="LPO7"/>
      <c r="LPQ7"/>
      <c r="LPS7"/>
      <c r="LPU7"/>
      <c r="LPW7"/>
      <c r="LPY7"/>
      <c r="LQA7"/>
      <c r="LQC7"/>
      <c r="LQE7"/>
      <c r="LQG7"/>
      <c r="LQI7"/>
      <c r="LQK7"/>
      <c r="LQM7"/>
      <c r="LQO7"/>
      <c r="LQQ7"/>
      <c r="LQS7"/>
      <c r="LQU7"/>
      <c r="LQW7"/>
      <c r="LQY7"/>
      <c r="LRA7"/>
      <c r="LRC7"/>
      <c r="LRE7"/>
      <c r="LRG7"/>
      <c r="LRI7"/>
      <c r="LRK7"/>
      <c r="LRM7"/>
      <c r="LRO7"/>
      <c r="LRQ7"/>
      <c r="LRS7"/>
      <c r="LRU7"/>
      <c r="LRW7"/>
      <c r="LRY7"/>
      <c r="LSA7"/>
      <c r="LSC7"/>
      <c r="LSE7"/>
      <c r="LSG7"/>
      <c r="LSI7"/>
      <c r="LSK7"/>
      <c r="LSM7"/>
      <c r="LSO7"/>
      <c r="LSQ7"/>
      <c r="LSS7"/>
      <c r="LSU7"/>
      <c r="LSW7"/>
      <c r="LSY7"/>
      <c r="LTA7"/>
      <c r="LTC7"/>
      <c r="LTE7"/>
      <c r="LTG7"/>
      <c r="LTI7"/>
      <c r="LTK7"/>
      <c r="LTM7"/>
      <c r="LTO7"/>
      <c r="LTQ7"/>
      <c r="LTS7"/>
      <c r="LTU7"/>
      <c r="LTW7"/>
      <c r="LTY7"/>
      <c r="LUA7"/>
      <c r="LUC7"/>
      <c r="LUE7"/>
      <c r="LUG7"/>
      <c r="LUI7"/>
      <c r="LUK7"/>
      <c r="LUM7"/>
      <c r="LUO7"/>
      <c r="LUQ7"/>
      <c r="LUS7"/>
      <c r="LUU7"/>
      <c r="LUW7"/>
      <c r="LUY7"/>
      <c r="LVA7"/>
      <c r="LVC7"/>
      <c r="LVE7"/>
      <c r="LVG7"/>
      <c r="LVI7"/>
      <c r="LVK7"/>
      <c r="LVM7"/>
      <c r="LVO7"/>
      <c r="LVQ7"/>
      <c r="LVS7"/>
      <c r="LVU7"/>
      <c r="LVW7"/>
      <c r="LVY7"/>
      <c r="LWA7"/>
      <c r="LWC7"/>
      <c r="LWE7"/>
      <c r="LWG7"/>
      <c r="LWI7"/>
      <c r="LWK7"/>
      <c r="LWM7"/>
      <c r="LWO7"/>
      <c r="LWQ7"/>
      <c r="LWS7"/>
      <c r="LWU7"/>
      <c r="LWW7"/>
      <c r="LWY7"/>
      <c r="LXA7"/>
      <c r="LXC7"/>
      <c r="LXE7"/>
      <c r="LXG7"/>
      <c r="LXI7"/>
      <c r="LXK7"/>
      <c r="LXM7"/>
      <c r="LXO7"/>
      <c r="LXQ7"/>
      <c r="LXS7"/>
      <c r="LXU7"/>
      <c r="LXW7"/>
      <c r="LXY7"/>
      <c r="LYA7"/>
      <c r="LYC7"/>
      <c r="LYE7"/>
      <c r="LYG7"/>
      <c r="LYI7"/>
      <c r="LYK7"/>
      <c r="LYM7"/>
      <c r="LYO7"/>
      <c r="LYQ7"/>
      <c r="LYS7"/>
      <c r="LYU7"/>
      <c r="LYW7"/>
      <c r="LYY7"/>
      <c r="LZA7"/>
      <c r="LZC7"/>
      <c r="LZE7"/>
      <c r="LZG7"/>
      <c r="LZI7"/>
      <c r="LZK7"/>
      <c r="LZM7"/>
      <c r="LZO7"/>
      <c r="LZQ7"/>
      <c r="LZS7"/>
      <c r="LZU7"/>
      <c r="LZW7"/>
      <c r="LZY7"/>
      <c r="MAA7"/>
      <c r="MAC7"/>
      <c r="MAE7"/>
      <c r="MAG7"/>
      <c r="MAI7"/>
      <c r="MAK7"/>
      <c r="MAM7"/>
      <c r="MAO7"/>
      <c r="MAQ7"/>
      <c r="MAS7"/>
      <c r="MAU7"/>
      <c r="MAW7"/>
      <c r="MAY7"/>
      <c r="MBA7"/>
      <c r="MBC7"/>
      <c r="MBE7"/>
      <c r="MBG7"/>
      <c r="MBI7"/>
      <c r="MBK7"/>
      <c r="MBM7"/>
      <c r="MBO7"/>
      <c r="MBQ7"/>
      <c r="MBS7"/>
      <c r="MBU7"/>
      <c r="MBW7"/>
      <c r="MBY7"/>
      <c r="MCA7"/>
      <c r="MCC7"/>
      <c r="MCE7"/>
      <c r="MCG7"/>
      <c r="MCI7"/>
      <c r="MCK7"/>
      <c r="MCM7"/>
      <c r="MCO7"/>
      <c r="MCQ7"/>
      <c r="MCS7"/>
      <c r="MCU7"/>
      <c r="MCW7"/>
      <c r="MCY7"/>
      <c r="MDA7"/>
      <c r="MDC7"/>
      <c r="MDE7"/>
      <c r="MDG7"/>
      <c r="MDI7"/>
      <c r="MDK7"/>
      <c r="MDM7"/>
      <c r="MDO7"/>
      <c r="MDQ7"/>
      <c r="MDS7"/>
      <c r="MDU7"/>
      <c r="MDW7"/>
      <c r="MDY7"/>
      <c r="MEA7"/>
      <c r="MEC7"/>
      <c r="MEE7"/>
      <c r="MEG7"/>
      <c r="MEI7"/>
      <c r="MEK7"/>
      <c r="MEM7"/>
      <c r="MEO7"/>
      <c r="MEQ7"/>
      <c r="MES7"/>
      <c r="MEU7"/>
      <c r="MEW7"/>
      <c r="MEY7"/>
      <c r="MFA7"/>
      <c r="MFC7"/>
      <c r="MFE7"/>
      <c r="MFG7"/>
      <c r="MFI7"/>
      <c r="MFK7"/>
      <c r="MFM7"/>
      <c r="MFO7"/>
      <c r="MFQ7"/>
      <c r="MFS7"/>
      <c r="MFU7"/>
      <c r="MFW7"/>
      <c r="MFY7"/>
      <c r="MGA7"/>
      <c r="MGC7"/>
      <c r="MGE7"/>
      <c r="MGG7"/>
      <c r="MGI7"/>
      <c r="MGK7"/>
      <c r="MGM7"/>
      <c r="MGO7"/>
      <c r="MGQ7"/>
      <c r="MGS7"/>
      <c r="MGU7"/>
      <c r="MGW7"/>
      <c r="MGY7"/>
      <c r="MHA7"/>
      <c r="MHC7"/>
      <c r="MHE7"/>
      <c r="MHG7"/>
      <c r="MHI7"/>
      <c r="MHK7"/>
      <c r="MHM7"/>
      <c r="MHO7"/>
      <c r="MHQ7"/>
      <c r="MHS7"/>
      <c r="MHU7"/>
      <c r="MHW7"/>
      <c r="MHY7"/>
      <c r="MIA7"/>
      <c r="MIC7"/>
      <c r="MIE7"/>
      <c r="MIG7"/>
      <c r="MII7"/>
      <c r="MIK7"/>
      <c r="MIM7"/>
      <c r="MIO7"/>
      <c r="MIQ7"/>
      <c r="MIS7"/>
      <c r="MIU7"/>
      <c r="MIW7"/>
      <c r="MIY7"/>
      <c r="MJA7"/>
      <c r="MJC7"/>
      <c r="MJE7"/>
      <c r="MJG7"/>
      <c r="MJI7"/>
      <c r="MJK7"/>
      <c r="MJM7"/>
      <c r="MJO7"/>
      <c r="MJQ7"/>
      <c r="MJS7"/>
      <c r="MJU7"/>
      <c r="MJW7"/>
      <c r="MJY7"/>
      <c r="MKA7"/>
      <c r="MKC7"/>
      <c r="MKE7"/>
      <c r="MKG7"/>
      <c r="MKI7"/>
      <c r="MKK7"/>
      <c r="MKM7"/>
      <c r="MKO7"/>
      <c r="MKQ7"/>
      <c r="MKS7"/>
      <c r="MKU7"/>
      <c r="MKW7"/>
      <c r="MKY7"/>
      <c r="MLA7"/>
      <c r="MLC7"/>
      <c r="MLE7"/>
      <c r="MLG7"/>
      <c r="MLI7"/>
      <c r="MLK7"/>
      <c r="MLM7"/>
      <c r="MLO7"/>
      <c r="MLQ7"/>
      <c r="MLS7"/>
      <c r="MLU7"/>
      <c r="MLW7"/>
      <c r="MLY7"/>
      <c r="MMA7"/>
      <c r="MMC7"/>
      <c r="MME7"/>
      <c r="MMG7"/>
      <c r="MMI7"/>
      <c r="MMK7"/>
      <c r="MMM7"/>
      <c r="MMO7"/>
      <c r="MMQ7"/>
      <c r="MMS7"/>
      <c r="MMU7"/>
      <c r="MMW7"/>
      <c r="MMY7"/>
      <c r="MNA7"/>
      <c r="MNC7"/>
      <c r="MNE7"/>
      <c r="MNG7"/>
      <c r="MNI7"/>
      <c r="MNK7"/>
      <c r="MNM7"/>
      <c r="MNO7"/>
      <c r="MNQ7"/>
      <c r="MNS7"/>
      <c r="MNU7"/>
      <c r="MNW7"/>
      <c r="MNY7"/>
      <c r="MOA7"/>
      <c r="MOC7"/>
      <c r="MOE7"/>
      <c r="MOG7"/>
      <c r="MOI7"/>
      <c r="MOK7"/>
      <c r="MOM7"/>
      <c r="MOO7"/>
      <c r="MOQ7"/>
      <c r="MOS7"/>
      <c r="MOU7"/>
      <c r="MOW7"/>
      <c r="MOY7"/>
      <c r="MPA7"/>
      <c r="MPC7"/>
      <c r="MPE7"/>
      <c r="MPG7"/>
      <c r="MPI7"/>
      <c r="MPK7"/>
      <c r="MPM7"/>
      <c r="MPO7"/>
      <c r="MPQ7"/>
      <c r="MPS7"/>
      <c r="MPU7"/>
      <c r="MPW7"/>
      <c r="MPY7"/>
      <c r="MQA7"/>
      <c r="MQC7"/>
      <c r="MQE7"/>
      <c r="MQG7"/>
      <c r="MQI7"/>
      <c r="MQK7"/>
      <c r="MQM7"/>
      <c r="MQO7"/>
      <c r="MQQ7"/>
      <c r="MQS7"/>
      <c r="MQU7"/>
      <c r="MQW7"/>
      <c r="MQY7"/>
      <c r="MRA7"/>
      <c r="MRC7"/>
      <c r="MRE7"/>
      <c r="MRG7"/>
      <c r="MRI7"/>
      <c r="MRK7"/>
      <c r="MRM7"/>
      <c r="MRO7"/>
      <c r="MRQ7"/>
      <c r="MRS7"/>
      <c r="MRU7"/>
      <c r="MRW7"/>
      <c r="MRY7"/>
      <c r="MSA7"/>
      <c r="MSC7"/>
      <c r="MSE7"/>
      <c r="MSG7"/>
      <c r="MSI7"/>
      <c r="MSK7"/>
      <c r="MSM7"/>
      <c r="MSO7"/>
      <c r="MSQ7"/>
      <c r="MSS7"/>
      <c r="MSU7"/>
      <c r="MSW7"/>
      <c r="MSY7"/>
      <c r="MTA7"/>
      <c r="MTC7"/>
      <c r="MTE7"/>
      <c r="MTG7"/>
      <c r="MTI7"/>
      <c r="MTK7"/>
      <c r="MTM7"/>
      <c r="MTO7"/>
      <c r="MTQ7"/>
      <c r="MTS7"/>
      <c r="MTU7"/>
      <c r="MTW7"/>
      <c r="MTY7"/>
      <c r="MUA7"/>
      <c r="MUC7"/>
      <c r="MUE7"/>
      <c r="MUG7"/>
      <c r="MUI7"/>
      <c r="MUK7"/>
      <c r="MUM7"/>
      <c r="MUO7"/>
      <c r="MUQ7"/>
      <c r="MUS7"/>
      <c r="MUU7"/>
      <c r="MUW7"/>
      <c r="MUY7"/>
      <c r="MVA7"/>
      <c r="MVC7"/>
      <c r="MVE7"/>
      <c r="MVG7"/>
      <c r="MVI7"/>
      <c r="MVK7"/>
      <c r="MVM7"/>
      <c r="MVO7"/>
      <c r="MVQ7"/>
      <c r="MVS7"/>
      <c r="MVU7"/>
      <c r="MVW7"/>
      <c r="MVY7"/>
      <c r="MWA7"/>
      <c r="MWC7"/>
      <c r="MWE7"/>
      <c r="MWG7"/>
      <c r="MWI7"/>
      <c r="MWK7"/>
      <c r="MWM7"/>
      <c r="MWO7"/>
      <c r="MWQ7"/>
      <c r="MWS7"/>
      <c r="MWU7"/>
      <c r="MWW7"/>
      <c r="MWY7"/>
      <c r="MXA7"/>
      <c r="MXC7"/>
      <c r="MXE7"/>
      <c r="MXG7"/>
      <c r="MXI7"/>
      <c r="MXK7"/>
      <c r="MXM7"/>
      <c r="MXO7"/>
      <c r="MXQ7"/>
      <c r="MXS7"/>
      <c r="MXU7"/>
      <c r="MXW7"/>
      <c r="MXY7"/>
      <c r="MYA7"/>
      <c r="MYC7"/>
      <c r="MYE7"/>
      <c r="MYG7"/>
      <c r="MYI7"/>
      <c r="MYK7"/>
      <c r="MYM7"/>
      <c r="MYO7"/>
      <c r="MYQ7"/>
      <c r="MYS7"/>
      <c r="MYU7"/>
      <c r="MYW7"/>
      <c r="MYY7"/>
      <c r="MZA7"/>
      <c r="MZC7"/>
      <c r="MZE7"/>
      <c r="MZG7"/>
      <c r="MZI7"/>
      <c r="MZK7"/>
      <c r="MZM7"/>
      <c r="MZO7"/>
      <c r="MZQ7"/>
      <c r="MZS7"/>
      <c r="MZU7"/>
      <c r="MZW7"/>
      <c r="MZY7"/>
      <c r="NAA7"/>
      <c r="NAC7"/>
      <c r="NAE7"/>
      <c r="NAG7"/>
      <c r="NAI7"/>
      <c r="NAK7"/>
      <c r="NAM7"/>
      <c r="NAO7"/>
      <c r="NAQ7"/>
      <c r="NAS7"/>
      <c r="NAU7"/>
      <c r="NAW7"/>
      <c r="NAY7"/>
      <c r="NBA7"/>
      <c r="NBC7"/>
      <c r="NBE7"/>
      <c r="NBG7"/>
      <c r="NBI7"/>
      <c r="NBK7"/>
      <c r="NBM7"/>
      <c r="NBO7"/>
      <c r="NBQ7"/>
      <c r="NBS7"/>
      <c r="NBU7"/>
      <c r="NBW7"/>
      <c r="NBY7"/>
      <c r="NCA7"/>
      <c r="NCC7"/>
      <c r="NCE7"/>
      <c r="NCG7"/>
      <c r="NCI7"/>
      <c r="NCK7"/>
      <c r="NCM7"/>
      <c r="NCO7"/>
      <c r="NCQ7"/>
      <c r="NCS7"/>
      <c r="NCU7"/>
      <c r="NCW7"/>
      <c r="NCY7"/>
      <c r="NDA7"/>
      <c r="NDC7"/>
      <c r="NDE7"/>
      <c r="NDG7"/>
      <c r="NDI7"/>
      <c r="NDK7"/>
      <c r="NDM7"/>
      <c r="NDO7"/>
      <c r="NDQ7"/>
      <c r="NDS7"/>
      <c r="NDU7"/>
      <c r="NDW7"/>
      <c r="NDY7"/>
      <c r="NEA7"/>
      <c r="NEC7"/>
      <c r="NEE7"/>
      <c r="NEG7"/>
      <c r="NEI7"/>
      <c r="NEK7"/>
      <c r="NEM7"/>
      <c r="NEO7"/>
      <c r="NEQ7"/>
      <c r="NES7"/>
      <c r="NEU7"/>
      <c r="NEW7"/>
      <c r="NEY7"/>
      <c r="NFA7"/>
      <c r="NFC7"/>
      <c r="NFE7"/>
      <c r="NFG7"/>
      <c r="NFI7"/>
      <c r="NFK7"/>
      <c r="NFM7"/>
      <c r="NFO7"/>
      <c r="NFQ7"/>
      <c r="NFS7"/>
      <c r="NFU7"/>
      <c r="NFW7"/>
      <c r="NFY7"/>
      <c r="NGA7"/>
      <c r="NGC7"/>
      <c r="NGE7"/>
      <c r="NGG7"/>
      <c r="NGI7"/>
      <c r="NGK7"/>
      <c r="NGM7"/>
      <c r="NGO7"/>
      <c r="NGQ7"/>
      <c r="NGS7"/>
      <c r="NGU7"/>
      <c r="NGW7"/>
      <c r="NGY7"/>
      <c r="NHA7"/>
      <c r="NHC7"/>
      <c r="NHE7"/>
      <c r="NHG7"/>
      <c r="NHI7"/>
      <c r="NHK7"/>
      <c r="NHM7"/>
      <c r="NHO7"/>
      <c r="NHQ7"/>
      <c r="NHS7"/>
      <c r="NHU7"/>
      <c r="NHW7"/>
      <c r="NHY7"/>
      <c r="NIA7"/>
      <c r="NIC7"/>
      <c r="NIE7"/>
      <c r="NIG7"/>
      <c r="NII7"/>
      <c r="NIK7"/>
      <c r="NIM7"/>
      <c r="NIO7"/>
      <c r="NIQ7"/>
      <c r="NIS7"/>
      <c r="NIU7"/>
      <c r="NIW7"/>
      <c r="NIY7"/>
      <c r="NJA7"/>
      <c r="NJC7"/>
      <c r="NJE7"/>
      <c r="NJG7"/>
      <c r="NJI7"/>
      <c r="NJK7"/>
      <c r="NJM7"/>
      <c r="NJO7"/>
      <c r="NJQ7"/>
      <c r="NJS7"/>
      <c r="NJU7"/>
      <c r="NJW7"/>
      <c r="NJY7"/>
      <c r="NKA7"/>
      <c r="NKC7"/>
      <c r="NKE7"/>
      <c r="NKG7"/>
      <c r="NKI7"/>
      <c r="NKK7"/>
      <c r="NKM7"/>
      <c r="NKO7"/>
      <c r="NKQ7"/>
      <c r="NKS7"/>
      <c r="NKU7"/>
      <c r="NKW7"/>
      <c r="NKY7"/>
      <c r="NLA7"/>
      <c r="NLC7"/>
      <c r="NLE7"/>
      <c r="NLG7"/>
      <c r="NLI7"/>
      <c r="NLK7"/>
      <c r="NLM7"/>
      <c r="NLO7"/>
      <c r="NLQ7"/>
      <c r="NLS7"/>
      <c r="NLU7"/>
      <c r="NLW7"/>
      <c r="NLY7"/>
      <c r="NMA7"/>
      <c r="NMC7"/>
      <c r="NME7"/>
      <c r="NMG7"/>
      <c r="NMI7"/>
      <c r="NMK7"/>
      <c r="NMM7"/>
      <c r="NMO7"/>
      <c r="NMQ7"/>
      <c r="NMS7"/>
      <c r="NMU7"/>
      <c r="NMW7"/>
      <c r="NMY7"/>
      <c r="NNA7"/>
      <c r="NNC7"/>
      <c r="NNE7"/>
      <c r="NNG7"/>
      <c r="NNI7"/>
      <c r="NNK7"/>
      <c r="NNM7"/>
      <c r="NNO7"/>
      <c r="NNQ7"/>
      <c r="NNS7"/>
      <c r="NNU7"/>
      <c r="NNW7"/>
      <c r="NNY7"/>
      <c r="NOA7"/>
      <c r="NOC7"/>
      <c r="NOE7"/>
      <c r="NOG7"/>
      <c r="NOI7"/>
      <c r="NOK7"/>
      <c r="NOM7"/>
      <c r="NOO7"/>
      <c r="NOQ7"/>
      <c r="NOS7"/>
      <c r="NOU7"/>
      <c r="NOW7"/>
      <c r="NOY7"/>
      <c r="NPA7"/>
      <c r="NPC7"/>
      <c r="NPE7"/>
      <c r="NPG7"/>
      <c r="NPI7"/>
      <c r="NPK7"/>
      <c r="NPM7"/>
      <c r="NPO7"/>
      <c r="NPQ7"/>
      <c r="NPS7"/>
      <c r="NPU7"/>
      <c r="NPW7"/>
      <c r="NPY7"/>
      <c r="NQA7"/>
      <c r="NQC7"/>
      <c r="NQE7"/>
      <c r="NQG7"/>
      <c r="NQI7"/>
      <c r="NQK7"/>
      <c r="NQM7"/>
      <c r="NQO7"/>
      <c r="NQQ7"/>
      <c r="NQS7"/>
      <c r="NQU7"/>
      <c r="NQW7"/>
      <c r="NQY7"/>
      <c r="NRA7"/>
      <c r="NRC7"/>
      <c r="NRE7"/>
      <c r="NRG7"/>
      <c r="NRI7"/>
      <c r="NRK7"/>
      <c r="NRM7"/>
      <c r="NRO7"/>
      <c r="NRQ7"/>
      <c r="NRS7"/>
      <c r="NRU7"/>
      <c r="NRW7"/>
      <c r="NRY7"/>
      <c r="NSA7"/>
      <c r="NSC7"/>
      <c r="NSE7"/>
      <c r="NSG7"/>
      <c r="NSI7"/>
      <c r="NSK7"/>
      <c r="NSM7"/>
      <c r="NSO7"/>
      <c r="NSQ7"/>
      <c r="NSS7"/>
      <c r="NSU7"/>
      <c r="NSW7"/>
      <c r="NSY7"/>
      <c r="NTA7"/>
      <c r="NTC7"/>
      <c r="NTE7"/>
      <c r="NTG7"/>
      <c r="NTI7"/>
      <c r="NTK7"/>
      <c r="NTM7"/>
      <c r="NTO7"/>
      <c r="NTQ7"/>
      <c r="NTS7"/>
      <c r="NTU7"/>
      <c r="NTW7"/>
      <c r="NTY7"/>
      <c r="NUA7"/>
      <c r="NUC7"/>
      <c r="NUE7"/>
      <c r="NUG7"/>
      <c r="NUI7"/>
      <c r="NUK7"/>
      <c r="NUM7"/>
      <c r="NUO7"/>
      <c r="NUQ7"/>
      <c r="NUS7"/>
      <c r="NUU7"/>
      <c r="NUW7"/>
      <c r="NUY7"/>
      <c r="NVA7"/>
      <c r="NVC7"/>
      <c r="NVE7"/>
      <c r="NVG7"/>
      <c r="NVI7"/>
      <c r="NVK7"/>
      <c r="NVM7"/>
      <c r="NVO7"/>
      <c r="NVQ7"/>
      <c r="NVS7"/>
      <c r="NVU7"/>
      <c r="NVW7"/>
      <c r="NVY7"/>
      <c r="NWA7"/>
      <c r="NWC7"/>
      <c r="NWE7"/>
      <c r="NWG7"/>
      <c r="NWI7"/>
      <c r="NWK7"/>
      <c r="NWM7"/>
      <c r="NWO7"/>
      <c r="NWQ7"/>
      <c r="NWS7"/>
      <c r="NWU7"/>
      <c r="NWW7"/>
      <c r="NWY7"/>
      <c r="NXA7"/>
      <c r="NXC7"/>
      <c r="NXE7"/>
      <c r="NXG7"/>
      <c r="NXI7"/>
      <c r="NXK7"/>
      <c r="NXM7"/>
      <c r="NXO7"/>
      <c r="NXQ7"/>
      <c r="NXS7"/>
      <c r="NXU7"/>
      <c r="NXW7"/>
      <c r="NXY7"/>
      <c r="NYA7"/>
      <c r="NYC7"/>
      <c r="NYE7"/>
      <c r="NYG7"/>
      <c r="NYI7"/>
      <c r="NYK7"/>
      <c r="NYM7"/>
      <c r="NYO7"/>
      <c r="NYQ7"/>
      <c r="NYS7"/>
      <c r="NYU7"/>
      <c r="NYW7"/>
      <c r="NYY7"/>
      <c r="NZA7"/>
      <c r="NZC7"/>
      <c r="NZE7"/>
      <c r="NZG7"/>
      <c r="NZI7"/>
      <c r="NZK7"/>
      <c r="NZM7"/>
      <c r="NZO7"/>
      <c r="NZQ7"/>
      <c r="NZS7"/>
      <c r="NZU7"/>
      <c r="NZW7"/>
      <c r="NZY7"/>
      <c r="OAA7"/>
      <c r="OAC7"/>
      <c r="OAE7"/>
      <c r="OAG7"/>
      <c r="OAI7"/>
      <c r="OAK7"/>
      <c r="OAM7"/>
      <c r="OAO7"/>
      <c r="OAQ7"/>
      <c r="OAS7"/>
      <c r="OAU7"/>
      <c r="OAW7"/>
      <c r="OAY7"/>
      <c r="OBA7"/>
      <c r="OBC7"/>
      <c r="OBE7"/>
      <c r="OBG7"/>
      <c r="OBI7"/>
      <c r="OBK7"/>
      <c r="OBM7"/>
      <c r="OBO7"/>
      <c r="OBQ7"/>
      <c r="OBS7"/>
      <c r="OBU7"/>
      <c r="OBW7"/>
      <c r="OBY7"/>
      <c r="OCA7"/>
      <c r="OCC7"/>
      <c r="OCE7"/>
      <c r="OCG7"/>
      <c r="OCI7"/>
      <c r="OCK7"/>
      <c r="OCM7"/>
      <c r="OCO7"/>
      <c r="OCQ7"/>
      <c r="OCS7"/>
      <c r="OCU7"/>
      <c r="OCW7"/>
      <c r="OCY7"/>
      <c r="ODA7"/>
      <c r="ODC7"/>
      <c r="ODE7"/>
      <c r="ODG7"/>
      <c r="ODI7"/>
      <c r="ODK7"/>
      <c r="ODM7"/>
      <c r="ODO7"/>
      <c r="ODQ7"/>
      <c r="ODS7"/>
      <c r="ODU7"/>
      <c r="ODW7"/>
      <c r="ODY7"/>
      <c r="OEA7"/>
      <c r="OEC7"/>
      <c r="OEE7"/>
      <c r="OEG7"/>
      <c r="OEI7"/>
      <c r="OEK7"/>
      <c r="OEM7"/>
      <c r="OEO7"/>
      <c r="OEQ7"/>
      <c r="OES7"/>
      <c r="OEU7"/>
      <c r="OEW7"/>
      <c r="OEY7"/>
      <c r="OFA7"/>
      <c r="OFC7"/>
      <c r="OFE7"/>
      <c r="OFG7"/>
      <c r="OFI7"/>
      <c r="OFK7"/>
      <c r="OFM7"/>
      <c r="OFO7"/>
      <c r="OFQ7"/>
      <c r="OFS7"/>
      <c r="OFU7"/>
      <c r="OFW7"/>
      <c r="OFY7"/>
      <c r="OGA7"/>
      <c r="OGC7"/>
      <c r="OGE7"/>
      <c r="OGG7"/>
      <c r="OGI7"/>
      <c r="OGK7"/>
      <c r="OGM7"/>
      <c r="OGO7"/>
      <c r="OGQ7"/>
      <c r="OGS7"/>
      <c r="OGU7"/>
      <c r="OGW7"/>
      <c r="OGY7"/>
      <c r="OHA7"/>
      <c r="OHC7"/>
      <c r="OHE7"/>
      <c r="OHG7"/>
      <c r="OHI7"/>
      <c r="OHK7"/>
      <c r="OHM7"/>
      <c r="OHO7"/>
      <c r="OHQ7"/>
      <c r="OHS7"/>
      <c r="OHU7"/>
      <c r="OHW7"/>
      <c r="OHY7"/>
      <c r="OIA7"/>
      <c r="OIC7"/>
      <c r="OIE7"/>
      <c r="OIG7"/>
      <c r="OII7"/>
      <c r="OIK7"/>
      <c r="OIM7"/>
      <c r="OIO7"/>
      <c r="OIQ7"/>
      <c r="OIS7"/>
      <c r="OIU7"/>
      <c r="OIW7"/>
      <c r="OIY7"/>
      <c r="OJA7"/>
      <c r="OJC7"/>
      <c r="OJE7"/>
      <c r="OJG7"/>
      <c r="OJI7"/>
      <c r="OJK7"/>
      <c r="OJM7"/>
      <c r="OJO7"/>
      <c r="OJQ7"/>
      <c r="OJS7"/>
      <c r="OJU7"/>
      <c r="OJW7"/>
      <c r="OJY7"/>
      <c r="OKA7"/>
      <c r="OKC7"/>
      <c r="OKE7"/>
      <c r="OKG7"/>
      <c r="OKI7"/>
      <c r="OKK7"/>
      <c r="OKM7"/>
      <c r="OKO7"/>
      <c r="OKQ7"/>
      <c r="OKS7"/>
      <c r="OKU7"/>
      <c r="OKW7"/>
      <c r="OKY7"/>
      <c r="OLA7"/>
      <c r="OLC7"/>
      <c r="OLE7"/>
      <c r="OLG7"/>
      <c r="OLI7"/>
      <c r="OLK7"/>
      <c r="OLM7"/>
      <c r="OLO7"/>
      <c r="OLQ7"/>
      <c r="OLS7"/>
      <c r="OLU7"/>
      <c r="OLW7"/>
      <c r="OLY7"/>
      <c r="OMA7"/>
      <c r="OMC7"/>
      <c r="OME7"/>
      <c r="OMG7"/>
      <c r="OMI7"/>
      <c r="OMK7"/>
      <c r="OMM7"/>
      <c r="OMO7"/>
      <c r="OMQ7"/>
      <c r="OMS7"/>
      <c r="OMU7"/>
      <c r="OMW7"/>
      <c r="OMY7"/>
      <c r="ONA7"/>
      <c r="ONC7"/>
      <c r="ONE7"/>
      <c r="ONG7"/>
      <c r="ONI7"/>
      <c r="ONK7"/>
      <c r="ONM7"/>
      <c r="ONO7"/>
      <c r="ONQ7"/>
      <c r="ONS7"/>
      <c r="ONU7"/>
      <c r="ONW7"/>
      <c r="ONY7"/>
      <c r="OOA7"/>
      <c r="OOC7"/>
      <c r="OOE7"/>
      <c r="OOG7"/>
      <c r="OOI7"/>
      <c r="OOK7"/>
      <c r="OOM7"/>
      <c r="OOO7"/>
      <c r="OOQ7"/>
      <c r="OOS7"/>
      <c r="OOU7"/>
      <c r="OOW7"/>
      <c r="OOY7"/>
      <c r="OPA7"/>
      <c r="OPC7"/>
      <c r="OPE7"/>
      <c r="OPG7"/>
      <c r="OPI7"/>
      <c r="OPK7"/>
      <c r="OPM7"/>
      <c r="OPO7"/>
      <c r="OPQ7"/>
      <c r="OPS7"/>
      <c r="OPU7"/>
      <c r="OPW7"/>
      <c r="OPY7"/>
      <c r="OQA7"/>
      <c r="OQC7"/>
      <c r="OQE7"/>
      <c r="OQG7"/>
      <c r="OQI7"/>
      <c r="OQK7"/>
      <c r="OQM7"/>
      <c r="OQO7"/>
      <c r="OQQ7"/>
      <c r="OQS7"/>
      <c r="OQU7"/>
      <c r="OQW7"/>
      <c r="OQY7"/>
      <c r="ORA7"/>
      <c r="ORC7"/>
      <c r="ORE7"/>
      <c r="ORG7"/>
      <c r="ORI7"/>
      <c r="ORK7"/>
      <c r="ORM7"/>
      <c r="ORO7"/>
      <c r="ORQ7"/>
      <c r="ORS7"/>
      <c r="ORU7"/>
      <c r="ORW7"/>
      <c r="ORY7"/>
      <c r="OSA7"/>
      <c r="OSC7"/>
      <c r="OSE7"/>
      <c r="OSG7"/>
      <c r="OSI7"/>
      <c r="OSK7"/>
      <c r="OSM7"/>
      <c r="OSO7"/>
      <c r="OSQ7"/>
      <c r="OSS7"/>
      <c r="OSU7"/>
      <c r="OSW7"/>
      <c r="OSY7"/>
      <c r="OTA7"/>
      <c r="OTC7"/>
      <c r="OTE7"/>
      <c r="OTG7"/>
      <c r="OTI7"/>
      <c r="OTK7"/>
      <c r="OTM7"/>
      <c r="OTO7"/>
      <c r="OTQ7"/>
      <c r="OTS7"/>
      <c r="OTU7"/>
      <c r="OTW7"/>
      <c r="OTY7"/>
      <c r="OUA7"/>
      <c r="OUC7"/>
      <c r="OUE7"/>
      <c r="OUG7"/>
      <c r="OUI7"/>
      <c r="OUK7"/>
      <c r="OUM7"/>
      <c r="OUO7"/>
      <c r="OUQ7"/>
      <c r="OUS7"/>
      <c r="OUU7"/>
      <c r="OUW7"/>
      <c r="OUY7"/>
      <c r="OVA7"/>
      <c r="OVC7"/>
      <c r="OVE7"/>
      <c r="OVG7"/>
      <c r="OVI7"/>
      <c r="OVK7"/>
      <c r="OVM7"/>
      <c r="OVO7"/>
      <c r="OVQ7"/>
      <c r="OVS7"/>
      <c r="OVU7"/>
      <c r="OVW7"/>
      <c r="OVY7"/>
      <c r="OWA7"/>
      <c r="OWC7"/>
      <c r="OWE7"/>
      <c r="OWG7"/>
      <c r="OWI7"/>
      <c r="OWK7"/>
      <c r="OWM7"/>
      <c r="OWO7"/>
      <c r="OWQ7"/>
      <c r="OWS7"/>
      <c r="OWU7"/>
      <c r="OWW7"/>
      <c r="OWY7"/>
      <c r="OXA7"/>
      <c r="OXC7"/>
      <c r="OXE7"/>
      <c r="OXG7"/>
      <c r="OXI7"/>
      <c r="OXK7"/>
      <c r="OXM7"/>
      <c r="OXO7"/>
      <c r="OXQ7"/>
      <c r="OXS7"/>
      <c r="OXU7"/>
      <c r="OXW7"/>
      <c r="OXY7"/>
      <c r="OYA7"/>
      <c r="OYC7"/>
      <c r="OYE7"/>
      <c r="OYG7"/>
      <c r="OYI7"/>
      <c r="OYK7"/>
      <c r="OYM7"/>
      <c r="OYO7"/>
      <c r="OYQ7"/>
      <c r="OYS7"/>
      <c r="OYU7"/>
      <c r="OYW7"/>
      <c r="OYY7"/>
      <c r="OZA7"/>
      <c r="OZC7"/>
      <c r="OZE7"/>
      <c r="OZG7"/>
      <c r="OZI7"/>
      <c r="OZK7"/>
      <c r="OZM7"/>
      <c r="OZO7"/>
      <c r="OZQ7"/>
      <c r="OZS7"/>
      <c r="OZU7"/>
      <c r="OZW7"/>
      <c r="OZY7"/>
      <c r="PAA7"/>
      <c r="PAC7"/>
      <c r="PAE7"/>
      <c r="PAG7"/>
      <c r="PAI7"/>
      <c r="PAK7"/>
      <c r="PAM7"/>
      <c r="PAO7"/>
      <c r="PAQ7"/>
      <c r="PAS7"/>
      <c r="PAU7"/>
      <c r="PAW7"/>
      <c r="PAY7"/>
      <c r="PBA7"/>
      <c r="PBC7"/>
      <c r="PBE7"/>
      <c r="PBG7"/>
      <c r="PBI7"/>
      <c r="PBK7"/>
      <c r="PBM7"/>
      <c r="PBO7"/>
      <c r="PBQ7"/>
      <c r="PBS7"/>
      <c r="PBU7"/>
      <c r="PBW7"/>
      <c r="PBY7"/>
      <c r="PCA7"/>
      <c r="PCC7"/>
      <c r="PCE7"/>
      <c r="PCG7"/>
      <c r="PCI7"/>
      <c r="PCK7"/>
      <c r="PCM7"/>
      <c r="PCO7"/>
      <c r="PCQ7"/>
      <c r="PCS7"/>
      <c r="PCU7"/>
      <c r="PCW7"/>
      <c r="PCY7"/>
      <c r="PDA7"/>
      <c r="PDC7"/>
      <c r="PDE7"/>
      <c r="PDG7"/>
      <c r="PDI7"/>
      <c r="PDK7"/>
      <c r="PDM7"/>
      <c r="PDO7"/>
      <c r="PDQ7"/>
      <c r="PDS7"/>
      <c r="PDU7"/>
      <c r="PDW7"/>
      <c r="PDY7"/>
      <c r="PEA7"/>
      <c r="PEC7"/>
      <c r="PEE7"/>
      <c r="PEG7"/>
      <c r="PEI7"/>
      <c r="PEK7"/>
      <c r="PEM7"/>
      <c r="PEO7"/>
      <c r="PEQ7"/>
      <c r="PES7"/>
      <c r="PEU7"/>
      <c r="PEW7"/>
      <c r="PEY7"/>
      <c r="PFA7"/>
      <c r="PFC7"/>
      <c r="PFE7"/>
      <c r="PFG7"/>
      <c r="PFI7"/>
      <c r="PFK7"/>
      <c r="PFM7"/>
      <c r="PFO7"/>
      <c r="PFQ7"/>
      <c r="PFS7"/>
      <c r="PFU7"/>
      <c r="PFW7"/>
      <c r="PFY7"/>
      <c r="PGA7"/>
      <c r="PGC7"/>
      <c r="PGE7"/>
      <c r="PGG7"/>
      <c r="PGI7"/>
      <c r="PGK7"/>
      <c r="PGM7"/>
      <c r="PGO7"/>
      <c r="PGQ7"/>
      <c r="PGS7"/>
      <c r="PGU7"/>
      <c r="PGW7"/>
      <c r="PGY7"/>
      <c r="PHA7"/>
      <c r="PHC7"/>
      <c r="PHE7"/>
      <c r="PHG7"/>
      <c r="PHI7"/>
      <c r="PHK7"/>
      <c r="PHM7"/>
      <c r="PHO7"/>
      <c r="PHQ7"/>
      <c r="PHS7"/>
      <c r="PHU7"/>
      <c r="PHW7"/>
      <c r="PHY7"/>
      <c r="PIA7"/>
      <c r="PIC7"/>
      <c r="PIE7"/>
      <c r="PIG7"/>
      <c r="PII7"/>
      <c r="PIK7"/>
      <c r="PIM7"/>
      <c r="PIO7"/>
      <c r="PIQ7"/>
      <c r="PIS7"/>
      <c r="PIU7"/>
      <c r="PIW7"/>
      <c r="PIY7"/>
      <c r="PJA7"/>
      <c r="PJC7"/>
      <c r="PJE7"/>
      <c r="PJG7"/>
      <c r="PJI7"/>
      <c r="PJK7"/>
      <c r="PJM7"/>
      <c r="PJO7"/>
      <c r="PJQ7"/>
      <c r="PJS7"/>
      <c r="PJU7"/>
      <c r="PJW7"/>
      <c r="PJY7"/>
      <c r="PKA7"/>
      <c r="PKC7"/>
      <c r="PKE7"/>
      <c r="PKG7"/>
      <c r="PKI7"/>
      <c r="PKK7"/>
      <c r="PKM7"/>
      <c r="PKO7"/>
      <c r="PKQ7"/>
      <c r="PKS7"/>
      <c r="PKU7"/>
      <c r="PKW7"/>
      <c r="PKY7"/>
      <c r="PLA7"/>
      <c r="PLC7"/>
      <c r="PLE7"/>
      <c r="PLG7"/>
      <c r="PLI7"/>
      <c r="PLK7"/>
      <c r="PLM7"/>
      <c r="PLO7"/>
      <c r="PLQ7"/>
      <c r="PLS7"/>
      <c r="PLU7"/>
      <c r="PLW7"/>
      <c r="PLY7"/>
      <c r="PMA7"/>
      <c r="PMC7"/>
      <c r="PME7"/>
      <c r="PMG7"/>
      <c r="PMI7"/>
      <c r="PMK7"/>
      <c r="PMM7"/>
      <c r="PMO7"/>
      <c r="PMQ7"/>
      <c r="PMS7"/>
      <c r="PMU7"/>
      <c r="PMW7"/>
      <c r="PMY7"/>
      <c r="PNA7"/>
      <c r="PNC7"/>
      <c r="PNE7"/>
      <c r="PNG7"/>
      <c r="PNI7"/>
      <c r="PNK7"/>
      <c r="PNM7"/>
      <c r="PNO7"/>
      <c r="PNQ7"/>
      <c r="PNS7"/>
      <c r="PNU7"/>
      <c r="PNW7"/>
      <c r="PNY7"/>
      <c r="POA7"/>
      <c r="POC7"/>
      <c r="POE7"/>
      <c r="POG7"/>
      <c r="POI7"/>
      <c r="POK7"/>
      <c r="POM7"/>
      <c r="POO7"/>
      <c r="POQ7"/>
      <c r="POS7"/>
      <c r="POU7"/>
      <c r="POW7"/>
      <c r="POY7"/>
      <c r="PPA7"/>
      <c r="PPC7"/>
      <c r="PPE7"/>
      <c r="PPG7"/>
      <c r="PPI7"/>
      <c r="PPK7"/>
      <c r="PPM7"/>
      <c r="PPO7"/>
      <c r="PPQ7"/>
      <c r="PPS7"/>
      <c r="PPU7"/>
      <c r="PPW7"/>
      <c r="PPY7"/>
      <c r="PQA7"/>
      <c r="PQC7"/>
      <c r="PQE7"/>
      <c r="PQG7"/>
      <c r="PQI7"/>
      <c r="PQK7"/>
      <c r="PQM7"/>
      <c r="PQO7"/>
      <c r="PQQ7"/>
      <c r="PQS7"/>
      <c r="PQU7"/>
      <c r="PQW7"/>
      <c r="PQY7"/>
      <c r="PRA7"/>
      <c r="PRC7"/>
      <c r="PRE7"/>
      <c r="PRG7"/>
      <c r="PRI7"/>
      <c r="PRK7"/>
      <c r="PRM7"/>
      <c r="PRO7"/>
      <c r="PRQ7"/>
      <c r="PRS7"/>
      <c r="PRU7"/>
      <c r="PRW7"/>
      <c r="PRY7"/>
      <c r="PSA7"/>
      <c r="PSC7"/>
      <c r="PSE7"/>
      <c r="PSG7"/>
      <c r="PSI7"/>
      <c r="PSK7"/>
      <c r="PSM7"/>
      <c r="PSO7"/>
      <c r="PSQ7"/>
      <c r="PSS7"/>
      <c r="PSU7"/>
      <c r="PSW7"/>
      <c r="PSY7"/>
      <c r="PTA7"/>
      <c r="PTC7"/>
      <c r="PTE7"/>
      <c r="PTG7"/>
      <c r="PTI7"/>
      <c r="PTK7"/>
      <c r="PTM7"/>
      <c r="PTO7"/>
      <c r="PTQ7"/>
      <c r="PTS7"/>
      <c r="PTU7"/>
      <c r="PTW7"/>
      <c r="PTY7"/>
      <c r="PUA7"/>
      <c r="PUC7"/>
      <c r="PUE7"/>
      <c r="PUG7"/>
      <c r="PUI7"/>
      <c r="PUK7"/>
      <c r="PUM7"/>
      <c r="PUO7"/>
      <c r="PUQ7"/>
      <c r="PUS7"/>
      <c r="PUU7"/>
      <c r="PUW7"/>
      <c r="PUY7"/>
      <c r="PVA7"/>
      <c r="PVC7"/>
      <c r="PVE7"/>
      <c r="PVG7"/>
      <c r="PVI7"/>
      <c r="PVK7"/>
      <c r="PVM7"/>
      <c r="PVO7"/>
      <c r="PVQ7"/>
      <c r="PVS7"/>
      <c r="PVU7"/>
      <c r="PVW7"/>
      <c r="PVY7"/>
      <c r="PWA7"/>
      <c r="PWC7"/>
      <c r="PWE7"/>
      <c r="PWG7"/>
      <c r="PWI7"/>
      <c r="PWK7"/>
      <c r="PWM7"/>
      <c r="PWO7"/>
      <c r="PWQ7"/>
      <c r="PWS7"/>
      <c r="PWU7"/>
      <c r="PWW7"/>
      <c r="PWY7"/>
      <c r="PXA7"/>
      <c r="PXC7"/>
      <c r="PXE7"/>
      <c r="PXG7"/>
      <c r="PXI7"/>
      <c r="PXK7"/>
      <c r="PXM7"/>
      <c r="PXO7"/>
      <c r="PXQ7"/>
      <c r="PXS7"/>
      <c r="PXU7"/>
      <c r="PXW7"/>
      <c r="PXY7"/>
      <c r="PYA7"/>
      <c r="PYC7"/>
      <c r="PYE7"/>
      <c r="PYG7"/>
      <c r="PYI7"/>
      <c r="PYK7"/>
      <c r="PYM7"/>
      <c r="PYO7"/>
      <c r="PYQ7"/>
      <c r="PYS7"/>
      <c r="PYU7"/>
      <c r="PYW7"/>
      <c r="PYY7"/>
      <c r="PZA7"/>
      <c r="PZC7"/>
      <c r="PZE7"/>
      <c r="PZG7"/>
      <c r="PZI7"/>
      <c r="PZK7"/>
      <c r="PZM7"/>
      <c r="PZO7"/>
      <c r="PZQ7"/>
      <c r="PZS7"/>
      <c r="PZU7"/>
      <c r="PZW7"/>
      <c r="PZY7"/>
      <c r="QAA7"/>
      <c r="QAC7"/>
      <c r="QAE7"/>
      <c r="QAG7"/>
      <c r="QAI7"/>
      <c r="QAK7"/>
      <c r="QAM7"/>
      <c r="QAO7"/>
      <c r="QAQ7"/>
      <c r="QAS7"/>
      <c r="QAU7"/>
      <c r="QAW7"/>
      <c r="QAY7"/>
      <c r="QBA7"/>
      <c r="QBC7"/>
      <c r="QBE7"/>
      <c r="QBG7"/>
      <c r="QBI7"/>
      <c r="QBK7"/>
      <c r="QBM7"/>
      <c r="QBO7"/>
      <c r="QBQ7"/>
      <c r="QBS7"/>
      <c r="QBU7"/>
      <c r="QBW7"/>
      <c r="QBY7"/>
      <c r="QCA7"/>
      <c r="QCC7"/>
      <c r="QCE7"/>
      <c r="QCG7"/>
      <c r="QCI7"/>
      <c r="QCK7"/>
      <c r="QCM7"/>
      <c r="QCO7"/>
      <c r="QCQ7"/>
      <c r="QCS7"/>
      <c r="QCU7"/>
      <c r="QCW7"/>
      <c r="QCY7"/>
      <c r="QDA7"/>
      <c r="QDC7"/>
      <c r="QDE7"/>
      <c r="QDG7"/>
      <c r="QDI7"/>
      <c r="QDK7"/>
      <c r="QDM7"/>
      <c r="QDO7"/>
      <c r="QDQ7"/>
      <c r="QDS7"/>
      <c r="QDU7"/>
      <c r="QDW7"/>
      <c r="QDY7"/>
      <c r="QEA7"/>
      <c r="QEC7"/>
      <c r="QEE7"/>
      <c r="QEG7"/>
      <c r="QEI7"/>
      <c r="QEK7"/>
      <c r="QEM7"/>
      <c r="QEO7"/>
      <c r="QEQ7"/>
      <c r="QES7"/>
      <c r="QEU7"/>
      <c r="QEW7"/>
      <c r="QEY7"/>
      <c r="QFA7"/>
      <c r="QFC7"/>
      <c r="QFE7"/>
      <c r="QFG7"/>
      <c r="QFI7"/>
      <c r="QFK7"/>
      <c r="QFM7"/>
      <c r="QFO7"/>
      <c r="QFQ7"/>
      <c r="QFS7"/>
      <c r="QFU7"/>
      <c r="QFW7"/>
      <c r="QFY7"/>
      <c r="QGA7"/>
      <c r="QGC7"/>
      <c r="QGE7"/>
      <c r="QGG7"/>
      <c r="QGI7"/>
      <c r="QGK7"/>
      <c r="QGM7"/>
      <c r="QGO7"/>
      <c r="QGQ7"/>
      <c r="QGS7"/>
      <c r="QGU7"/>
      <c r="QGW7"/>
      <c r="QGY7"/>
      <c r="QHA7"/>
      <c r="QHC7"/>
      <c r="QHE7"/>
      <c r="QHG7"/>
      <c r="QHI7"/>
      <c r="QHK7"/>
      <c r="QHM7"/>
      <c r="QHO7"/>
      <c r="QHQ7"/>
      <c r="QHS7"/>
      <c r="QHU7"/>
      <c r="QHW7"/>
      <c r="QHY7"/>
      <c r="QIA7"/>
      <c r="QIC7"/>
      <c r="QIE7"/>
      <c r="QIG7"/>
      <c r="QII7"/>
      <c r="QIK7"/>
      <c r="QIM7"/>
      <c r="QIO7"/>
      <c r="QIQ7"/>
      <c r="QIS7"/>
      <c r="QIU7"/>
      <c r="QIW7"/>
      <c r="QIY7"/>
      <c r="QJA7"/>
      <c r="QJC7"/>
      <c r="QJE7"/>
      <c r="QJG7"/>
      <c r="QJI7"/>
      <c r="QJK7"/>
      <c r="QJM7"/>
      <c r="QJO7"/>
      <c r="QJQ7"/>
      <c r="QJS7"/>
      <c r="QJU7"/>
      <c r="QJW7"/>
      <c r="QJY7"/>
      <c r="QKA7"/>
      <c r="QKC7"/>
      <c r="QKE7"/>
      <c r="QKG7"/>
      <c r="QKI7"/>
      <c r="QKK7"/>
      <c r="QKM7"/>
      <c r="QKO7"/>
      <c r="QKQ7"/>
      <c r="QKS7"/>
      <c r="QKU7"/>
      <c r="QKW7"/>
      <c r="QKY7"/>
      <c r="QLA7"/>
      <c r="QLC7"/>
      <c r="QLE7"/>
      <c r="QLG7"/>
      <c r="QLI7"/>
      <c r="QLK7"/>
      <c r="QLM7"/>
      <c r="QLO7"/>
      <c r="QLQ7"/>
      <c r="QLS7"/>
      <c r="QLU7"/>
      <c r="QLW7"/>
      <c r="QLY7"/>
      <c r="QMA7"/>
      <c r="QMC7"/>
      <c r="QME7"/>
      <c r="QMG7"/>
      <c r="QMI7"/>
      <c r="QMK7"/>
      <c r="QMM7"/>
      <c r="QMO7"/>
      <c r="QMQ7"/>
      <c r="QMS7"/>
      <c r="QMU7"/>
      <c r="QMW7"/>
      <c r="QMY7"/>
      <c r="QNA7"/>
      <c r="QNC7"/>
      <c r="QNE7"/>
      <c r="QNG7"/>
      <c r="QNI7"/>
      <c r="QNK7"/>
      <c r="QNM7"/>
      <c r="QNO7"/>
      <c r="QNQ7"/>
      <c r="QNS7"/>
      <c r="QNU7"/>
      <c r="QNW7"/>
      <c r="QNY7"/>
      <c r="QOA7"/>
      <c r="QOC7"/>
      <c r="QOE7"/>
      <c r="QOG7"/>
      <c r="QOI7"/>
      <c r="QOK7"/>
      <c r="QOM7"/>
      <c r="QOO7"/>
      <c r="QOQ7"/>
      <c r="QOS7"/>
      <c r="QOU7"/>
      <c r="QOW7"/>
      <c r="QOY7"/>
      <c r="QPA7"/>
      <c r="QPC7"/>
      <c r="QPE7"/>
      <c r="QPG7"/>
      <c r="QPI7"/>
      <c r="QPK7"/>
      <c r="QPM7"/>
      <c r="QPO7"/>
      <c r="QPQ7"/>
      <c r="QPS7"/>
      <c r="QPU7"/>
      <c r="QPW7"/>
      <c r="QPY7"/>
      <c r="QQA7"/>
      <c r="QQC7"/>
      <c r="QQE7"/>
      <c r="QQG7"/>
      <c r="QQI7"/>
      <c r="QQK7"/>
      <c r="QQM7"/>
      <c r="QQO7"/>
      <c r="QQQ7"/>
      <c r="QQS7"/>
      <c r="QQU7"/>
      <c r="QQW7"/>
      <c r="QQY7"/>
      <c r="QRA7"/>
      <c r="QRC7"/>
      <c r="QRE7"/>
      <c r="QRG7"/>
      <c r="QRI7"/>
      <c r="QRK7"/>
      <c r="QRM7"/>
      <c r="QRO7"/>
      <c r="QRQ7"/>
      <c r="QRS7"/>
      <c r="QRU7"/>
      <c r="QRW7"/>
      <c r="QRY7"/>
      <c r="QSA7"/>
      <c r="QSC7"/>
      <c r="QSE7"/>
      <c r="QSG7"/>
      <c r="QSI7"/>
      <c r="QSK7"/>
      <c r="QSM7"/>
      <c r="QSO7"/>
      <c r="QSQ7"/>
      <c r="QSS7"/>
      <c r="QSU7"/>
      <c r="QSW7"/>
      <c r="QSY7"/>
      <c r="QTA7"/>
      <c r="QTC7"/>
      <c r="QTE7"/>
      <c r="QTG7"/>
      <c r="QTI7"/>
      <c r="QTK7"/>
      <c r="QTM7"/>
      <c r="QTO7"/>
      <c r="QTQ7"/>
      <c r="QTS7"/>
      <c r="QTU7"/>
      <c r="QTW7"/>
      <c r="QTY7"/>
      <c r="QUA7"/>
      <c r="QUC7"/>
      <c r="QUE7"/>
      <c r="QUG7"/>
      <c r="QUI7"/>
      <c r="QUK7"/>
      <c r="QUM7"/>
      <c r="QUO7"/>
      <c r="QUQ7"/>
      <c r="QUS7"/>
      <c r="QUU7"/>
      <c r="QUW7"/>
      <c r="QUY7"/>
      <c r="QVA7"/>
      <c r="QVC7"/>
      <c r="QVE7"/>
      <c r="QVG7"/>
      <c r="QVI7"/>
      <c r="QVK7"/>
      <c r="QVM7"/>
      <c r="QVO7"/>
      <c r="QVQ7"/>
      <c r="QVS7"/>
      <c r="QVU7"/>
      <c r="QVW7"/>
      <c r="QVY7"/>
      <c r="QWA7"/>
      <c r="QWC7"/>
      <c r="QWE7"/>
      <c r="QWG7"/>
      <c r="QWI7"/>
      <c r="QWK7"/>
      <c r="QWM7"/>
      <c r="QWO7"/>
      <c r="QWQ7"/>
      <c r="QWS7"/>
      <c r="QWU7"/>
      <c r="QWW7"/>
      <c r="QWY7"/>
      <c r="QXA7"/>
      <c r="QXC7"/>
      <c r="QXE7"/>
      <c r="QXG7"/>
      <c r="QXI7"/>
      <c r="QXK7"/>
      <c r="QXM7"/>
      <c r="QXO7"/>
      <c r="QXQ7"/>
      <c r="QXS7"/>
      <c r="QXU7"/>
      <c r="QXW7"/>
      <c r="QXY7"/>
      <c r="QYA7"/>
      <c r="QYC7"/>
      <c r="QYE7"/>
      <c r="QYG7"/>
      <c r="QYI7"/>
      <c r="QYK7"/>
      <c r="QYM7"/>
      <c r="QYO7"/>
      <c r="QYQ7"/>
      <c r="QYS7"/>
      <c r="QYU7"/>
      <c r="QYW7"/>
      <c r="QYY7"/>
      <c r="QZA7"/>
      <c r="QZC7"/>
      <c r="QZE7"/>
      <c r="QZG7"/>
      <c r="QZI7"/>
      <c r="QZK7"/>
      <c r="QZM7"/>
      <c r="QZO7"/>
      <c r="QZQ7"/>
      <c r="QZS7"/>
      <c r="QZU7"/>
      <c r="QZW7"/>
      <c r="QZY7"/>
      <c r="RAA7"/>
      <c r="RAC7"/>
      <c r="RAE7"/>
      <c r="RAG7"/>
      <c r="RAI7"/>
      <c r="RAK7"/>
      <c r="RAM7"/>
      <c r="RAO7"/>
      <c r="RAQ7"/>
      <c r="RAS7"/>
      <c r="RAU7"/>
      <c r="RAW7"/>
      <c r="RAY7"/>
      <c r="RBA7"/>
      <c r="RBC7"/>
      <c r="RBE7"/>
      <c r="RBG7"/>
      <c r="RBI7"/>
      <c r="RBK7"/>
      <c r="RBM7"/>
      <c r="RBO7"/>
      <c r="RBQ7"/>
      <c r="RBS7"/>
      <c r="RBU7"/>
      <c r="RBW7"/>
      <c r="RBY7"/>
      <c r="RCA7"/>
      <c r="RCC7"/>
      <c r="RCE7"/>
      <c r="RCG7"/>
      <c r="RCI7"/>
      <c r="RCK7"/>
      <c r="RCM7"/>
      <c r="RCO7"/>
      <c r="RCQ7"/>
      <c r="RCS7"/>
      <c r="RCU7"/>
      <c r="RCW7"/>
      <c r="RCY7"/>
      <c r="RDA7"/>
      <c r="RDC7"/>
      <c r="RDE7"/>
      <c r="RDG7"/>
      <c r="RDI7"/>
      <c r="RDK7"/>
      <c r="RDM7"/>
      <c r="RDO7"/>
      <c r="RDQ7"/>
      <c r="RDS7"/>
      <c r="RDU7"/>
      <c r="RDW7"/>
      <c r="RDY7"/>
      <c r="REA7"/>
      <c r="REC7"/>
      <c r="REE7"/>
      <c r="REG7"/>
      <c r="REI7"/>
      <c r="REK7"/>
      <c r="REM7"/>
      <c r="REO7"/>
      <c r="REQ7"/>
      <c r="RES7"/>
      <c r="REU7"/>
      <c r="REW7"/>
      <c r="REY7"/>
      <c r="RFA7"/>
      <c r="RFC7"/>
      <c r="RFE7"/>
      <c r="RFG7"/>
      <c r="RFI7"/>
      <c r="RFK7"/>
      <c r="RFM7"/>
      <c r="RFO7"/>
      <c r="RFQ7"/>
      <c r="RFS7"/>
      <c r="RFU7"/>
      <c r="RFW7"/>
      <c r="RFY7"/>
      <c r="RGA7"/>
      <c r="RGC7"/>
      <c r="RGE7"/>
      <c r="RGG7"/>
      <c r="RGI7"/>
      <c r="RGK7"/>
      <c r="RGM7"/>
      <c r="RGO7"/>
      <c r="RGQ7"/>
      <c r="RGS7"/>
      <c r="RGU7"/>
      <c r="RGW7"/>
      <c r="RGY7"/>
      <c r="RHA7"/>
      <c r="RHC7"/>
      <c r="RHE7"/>
      <c r="RHG7"/>
      <c r="RHI7"/>
      <c r="RHK7"/>
      <c r="RHM7"/>
      <c r="RHO7"/>
      <c r="RHQ7"/>
      <c r="RHS7"/>
      <c r="RHU7"/>
      <c r="RHW7"/>
      <c r="RHY7"/>
      <c r="RIA7"/>
      <c r="RIC7"/>
      <c r="RIE7"/>
      <c r="RIG7"/>
      <c r="RII7"/>
      <c r="RIK7"/>
      <c r="RIM7"/>
      <c r="RIO7"/>
      <c r="RIQ7"/>
      <c r="RIS7"/>
      <c r="RIU7"/>
      <c r="RIW7"/>
      <c r="RIY7"/>
      <c r="RJA7"/>
      <c r="RJC7"/>
      <c r="RJE7"/>
      <c r="RJG7"/>
      <c r="RJI7"/>
      <c r="RJK7"/>
      <c r="RJM7"/>
      <c r="RJO7"/>
      <c r="RJQ7"/>
      <c r="RJS7"/>
      <c r="RJU7"/>
      <c r="RJW7"/>
      <c r="RJY7"/>
      <c r="RKA7"/>
      <c r="RKC7"/>
      <c r="RKE7"/>
      <c r="RKG7"/>
      <c r="RKI7"/>
      <c r="RKK7"/>
      <c r="RKM7"/>
      <c r="RKO7"/>
      <c r="RKQ7"/>
      <c r="RKS7"/>
      <c r="RKU7"/>
      <c r="RKW7"/>
      <c r="RKY7"/>
      <c r="RLA7"/>
      <c r="RLC7"/>
      <c r="RLE7"/>
      <c r="RLG7"/>
      <c r="RLI7"/>
      <c r="RLK7"/>
      <c r="RLM7"/>
      <c r="RLO7"/>
      <c r="RLQ7"/>
      <c r="RLS7"/>
      <c r="RLU7"/>
      <c r="RLW7"/>
      <c r="RLY7"/>
      <c r="RMA7"/>
      <c r="RMC7"/>
      <c r="RME7"/>
      <c r="RMG7"/>
      <c r="RMI7"/>
      <c r="RMK7"/>
      <c r="RMM7"/>
      <c r="RMO7"/>
      <c r="RMQ7"/>
      <c r="RMS7"/>
      <c r="RMU7"/>
      <c r="RMW7"/>
      <c r="RMY7"/>
      <c r="RNA7"/>
      <c r="RNC7"/>
      <c r="RNE7"/>
      <c r="RNG7"/>
      <c r="RNI7"/>
      <c r="RNK7"/>
      <c r="RNM7"/>
      <c r="RNO7"/>
      <c r="RNQ7"/>
      <c r="RNS7"/>
      <c r="RNU7"/>
      <c r="RNW7"/>
      <c r="RNY7"/>
      <c r="ROA7"/>
      <c r="ROC7"/>
      <c r="ROE7"/>
      <c r="ROG7"/>
      <c r="ROI7"/>
      <c r="ROK7"/>
      <c r="ROM7"/>
      <c r="ROO7"/>
      <c r="ROQ7"/>
      <c r="ROS7"/>
      <c r="ROU7"/>
      <c r="ROW7"/>
      <c r="ROY7"/>
      <c r="RPA7"/>
      <c r="RPC7"/>
      <c r="RPE7"/>
      <c r="RPG7"/>
      <c r="RPI7"/>
      <c r="RPK7"/>
      <c r="RPM7"/>
      <c r="RPO7"/>
      <c r="RPQ7"/>
      <c r="RPS7"/>
      <c r="RPU7"/>
      <c r="RPW7"/>
      <c r="RPY7"/>
      <c r="RQA7"/>
      <c r="RQC7"/>
      <c r="RQE7"/>
      <c r="RQG7"/>
      <c r="RQI7"/>
      <c r="RQK7"/>
      <c r="RQM7"/>
      <c r="RQO7"/>
      <c r="RQQ7"/>
      <c r="RQS7"/>
      <c r="RQU7"/>
      <c r="RQW7"/>
      <c r="RQY7"/>
      <c r="RRA7"/>
      <c r="RRC7"/>
      <c r="RRE7"/>
      <c r="RRG7"/>
      <c r="RRI7"/>
      <c r="RRK7"/>
      <c r="RRM7"/>
      <c r="RRO7"/>
      <c r="RRQ7"/>
      <c r="RRS7"/>
      <c r="RRU7"/>
      <c r="RRW7"/>
      <c r="RRY7"/>
      <c r="RSA7"/>
      <c r="RSC7"/>
      <c r="RSE7"/>
      <c r="RSG7"/>
      <c r="RSI7"/>
      <c r="RSK7"/>
      <c r="RSM7"/>
      <c r="RSO7"/>
      <c r="RSQ7"/>
      <c r="RSS7"/>
      <c r="RSU7"/>
      <c r="RSW7"/>
      <c r="RSY7"/>
      <c r="RTA7"/>
      <c r="RTC7"/>
      <c r="RTE7"/>
      <c r="RTG7"/>
      <c r="RTI7"/>
      <c r="RTK7"/>
      <c r="RTM7"/>
      <c r="RTO7"/>
      <c r="RTQ7"/>
      <c r="RTS7"/>
      <c r="RTU7"/>
      <c r="RTW7"/>
      <c r="RTY7"/>
      <c r="RUA7"/>
      <c r="RUC7"/>
      <c r="RUE7"/>
      <c r="RUG7"/>
      <c r="RUI7"/>
      <c r="RUK7"/>
      <c r="RUM7"/>
      <c r="RUO7"/>
      <c r="RUQ7"/>
      <c r="RUS7"/>
      <c r="RUU7"/>
      <c r="RUW7"/>
      <c r="RUY7"/>
      <c r="RVA7"/>
      <c r="RVC7"/>
      <c r="RVE7"/>
      <c r="RVG7"/>
      <c r="RVI7"/>
      <c r="RVK7"/>
      <c r="RVM7"/>
      <c r="RVO7"/>
      <c r="RVQ7"/>
      <c r="RVS7"/>
      <c r="RVU7"/>
      <c r="RVW7"/>
      <c r="RVY7"/>
      <c r="RWA7"/>
      <c r="RWC7"/>
      <c r="RWE7"/>
      <c r="RWG7"/>
      <c r="RWI7"/>
      <c r="RWK7"/>
      <c r="RWM7"/>
      <c r="RWO7"/>
      <c r="RWQ7"/>
      <c r="RWS7"/>
      <c r="RWU7"/>
      <c r="RWW7"/>
      <c r="RWY7"/>
      <c r="RXA7"/>
      <c r="RXC7"/>
      <c r="RXE7"/>
      <c r="RXG7"/>
      <c r="RXI7"/>
      <c r="RXK7"/>
      <c r="RXM7"/>
      <c r="RXO7"/>
      <c r="RXQ7"/>
      <c r="RXS7"/>
      <c r="RXU7"/>
      <c r="RXW7"/>
      <c r="RXY7"/>
      <c r="RYA7"/>
      <c r="RYC7"/>
      <c r="RYE7"/>
      <c r="RYG7"/>
      <c r="RYI7"/>
      <c r="RYK7"/>
      <c r="RYM7"/>
      <c r="RYO7"/>
      <c r="RYQ7"/>
      <c r="RYS7"/>
      <c r="RYU7"/>
      <c r="RYW7"/>
      <c r="RYY7"/>
      <c r="RZA7"/>
      <c r="RZC7"/>
      <c r="RZE7"/>
      <c r="RZG7"/>
      <c r="RZI7"/>
      <c r="RZK7"/>
      <c r="RZM7"/>
      <c r="RZO7"/>
      <c r="RZQ7"/>
      <c r="RZS7"/>
      <c r="RZU7"/>
      <c r="RZW7"/>
      <c r="RZY7"/>
      <c r="SAA7"/>
      <c r="SAC7"/>
      <c r="SAE7"/>
      <c r="SAG7"/>
      <c r="SAI7"/>
      <c r="SAK7"/>
      <c r="SAM7"/>
      <c r="SAO7"/>
      <c r="SAQ7"/>
      <c r="SAS7"/>
      <c r="SAU7"/>
      <c r="SAW7"/>
      <c r="SAY7"/>
      <c r="SBA7"/>
      <c r="SBC7"/>
      <c r="SBE7"/>
      <c r="SBG7"/>
      <c r="SBI7"/>
      <c r="SBK7"/>
      <c r="SBM7"/>
      <c r="SBO7"/>
      <c r="SBQ7"/>
      <c r="SBS7"/>
      <c r="SBU7"/>
      <c r="SBW7"/>
      <c r="SBY7"/>
      <c r="SCA7"/>
      <c r="SCC7"/>
      <c r="SCE7"/>
      <c r="SCG7"/>
      <c r="SCI7"/>
      <c r="SCK7"/>
      <c r="SCM7"/>
      <c r="SCO7"/>
      <c r="SCQ7"/>
      <c r="SCS7"/>
      <c r="SCU7"/>
      <c r="SCW7"/>
      <c r="SCY7"/>
      <c r="SDA7"/>
      <c r="SDC7"/>
      <c r="SDE7"/>
      <c r="SDG7"/>
      <c r="SDI7"/>
      <c r="SDK7"/>
      <c r="SDM7"/>
      <c r="SDO7"/>
      <c r="SDQ7"/>
      <c r="SDS7"/>
      <c r="SDU7"/>
      <c r="SDW7"/>
      <c r="SDY7"/>
      <c r="SEA7"/>
      <c r="SEC7"/>
      <c r="SEE7"/>
      <c r="SEG7"/>
      <c r="SEI7"/>
      <c r="SEK7"/>
      <c r="SEM7"/>
      <c r="SEO7"/>
      <c r="SEQ7"/>
      <c r="SES7"/>
      <c r="SEU7"/>
      <c r="SEW7"/>
      <c r="SEY7"/>
      <c r="SFA7"/>
      <c r="SFC7"/>
      <c r="SFE7"/>
      <c r="SFG7"/>
      <c r="SFI7"/>
      <c r="SFK7"/>
      <c r="SFM7"/>
      <c r="SFO7"/>
      <c r="SFQ7"/>
      <c r="SFS7"/>
      <c r="SFU7"/>
      <c r="SFW7"/>
      <c r="SFY7"/>
      <c r="SGA7"/>
      <c r="SGC7"/>
      <c r="SGE7"/>
      <c r="SGG7"/>
      <c r="SGI7"/>
      <c r="SGK7"/>
      <c r="SGM7"/>
      <c r="SGO7"/>
      <c r="SGQ7"/>
      <c r="SGS7"/>
      <c r="SGU7"/>
      <c r="SGW7"/>
      <c r="SGY7"/>
      <c r="SHA7"/>
      <c r="SHC7"/>
      <c r="SHE7"/>
      <c r="SHG7"/>
      <c r="SHI7"/>
      <c r="SHK7"/>
      <c r="SHM7"/>
      <c r="SHO7"/>
      <c r="SHQ7"/>
      <c r="SHS7"/>
      <c r="SHU7"/>
      <c r="SHW7"/>
      <c r="SHY7"/>
      <c r="SIA7"/>
      <c r="SIC7"/>
      <c r="SIE7"/>
      <c r="SIG7"/>
      <c r="SII7"/>
      <c r="SIK7"/>
      <c r="SIM7"/>
      <c r="SIO7"/>
      <c r="SIQ7"/>
      <c r="SIS7"/>
      <c r="SIU7"/>
      <c r="SIW7"/>
      <c r="SIY7"/>
      <c r="SJA7"/>
      <c r="SJC7"/>
      <c r="SJE7"/>
      <c r="SJG7"/>
      <c r="SJI7"/>
      <c r="SJK7"/>
      <c r="SJM7"/>
      <c r="SJO7"/>
      <c r="SJQ7"/>
      <c r="SJS7"/>
      <c r="SJU7"/>
      <c r="SJW7"/>
      <c r="SJY7"/>
      <c r="SKA7"/>
      <c r="SKC7"/>
      <c r="SKE7"/>
      <c r="SKG7"/>
      <c r="SKI7"/>
      <c r="SKK7"/>
      <c r="SKM7"/>
      <c r="SKO7"/>
      <c r="SKQ7"/>
      <c r="SKS7"/>
      <c r="SKU7"/>
      <c r="SKW7"/>
      <c r="SKY7"/>
      <c r="SLA7"/>
      <c r="SLC7"/>
      <c r="SLE7"/>
      <c r="SLG7"/>
      <c r="SLI7"/>
      <c r="SLK7"/>
      <c r="SLM7"/>
      <c r="SLO7"/>
      <c r="SLQ7"/>
      <c r="SLS7"/>
      <c r="SLU7"/>
      <c r="SLW7"/>
      <c r="SLY7"/>
      <c r="SMA7"/>
      <c r="SMC7"/>
      <c r="SME7"/>
      <c r="SMG7"/>
      <c r="SMI7"/>
      <c r="SMK7"/>
      <c r="SMM7"/>
      <c r="SMO7"/>
      <c r="SMQ7"/>
      <c r="SMS7"/>
      <c r="SMU7"/>
      <c r="SMW7"/>
      <c r="SMY7"/>
      <c r="SNA7"/>
      <c r="SNC7"/>
      <c r="SNE7"/>
      <c r="SNG7"/>
      <c r="SNI7"/>
      <c r="SNK7"/>
      <c r="SNM7"/>
      <c r="SNO7"/>
      <c r="SNQ7"/>
      <c r="SNS7"/>
      <c r="SNU7"/>
      <c r="SNW7"/>
      <c r="SNY7"/>
      <c r="SOA7"/>
      <c r="SOC7"/>
      <c r="SOE7"/>
      <c r="SOG7"/>
      <c r="SOI7"/>
      <c r="SOK7"/>
      <c r="SOM7"/>
      <c r="SOO7"/>
      <c r="SOQ7"/>
      <c r="SOS7"/>
      <c r="SOU7"/>
      <c r="SOW7"/>
      <c r="SOY7"/>
      <c r="SPA7"/>
      <c r="SPC7"/>
      <c r="SPE7"/>
      <c r="SPG7"/>
      <c r="SPI7"/>
      <c r="SPK7"/>
      <c r="SPM7"/>
      <c r="SPO7"/>
      <c r="SPQ7"/>
      <c r="SPS7"/>
      <c r="SPU7"/>
      <c r="SPW7"/>
      <c r="SPY7"/>
      <c r="SQA7"/>
      <c r="SQC7"/>
      <c r="SQE7"/>
      <c r="SQG7"/>
      <c r="SQI7"/>
      <c r="SQK7"/>
      <c r="SQM7"/>
      <c r="SQO7"/>
      <c r="SQQ7"/>
      <c r="SQS7"/>
      <c r="SQU7"/>
      <c r="SQW7"/>
      <c r="SQY7"/>
      <c r="SRA7"/>
      <c r="SRC7"/>
      <c r="SRE7"/>
      <c r="SRG7"/>
      <c r="SRI7"/>
      <c r="SRK7"/>
      <c r="SRM7"/>
      <c r="SRO7"/>
      <c r="SRQ7"/>
      <c r="SRS7"/>
      <c r="SRU7"/>
      <c r="SRW7"/>
      <c r="SRY7"/>
      <c r="SSA7"/>
      <c r="SSC7"/>
      <c r="SSE7"/>
      <c r="SSG7"/>
      <c r="SSI7"/>
      <c r="SSK7"/>
      <c r="SSM7"/>
      <c r="SSO7"/>
      <c r="SSQ7"/>
      <c r="SSS7"/>
      <c r="SSU7"/>
      <c r="SSW7"/>
      <c r="SSY7"/>
      <c r="STA7"/>
      <c r="STC7"/>
      <c r="STE7"/>
      <c r="STG7"/>
      <c r="STI7"/>
      <c r="STK7"/>
      <c r="STM7"/>
      <c r="STO7"/>
      <c r="STQ7"/>
      <c r="STS7"/>
      <c r="STU7"/>
      <c r="STW7"/>
      <c r="STY7"/>
      <c r="SUA7"/>
      <c r="SUC7"/>
      <c r="SUE7"/>
      <c r="SUG7"/>
      <c r="SUI7"/>
      <c r="SUK7"/>
      <c r="SUM7"/>
      <c r="SUO7"/>
      <c r="SUQ7"/>
      <c r="SUS7"/>
      <c r="SUU7"/>
      <c r="SUW7"/>
      <c r="SUY7"/>
      <c r="SVA7"/>
      <c r="SVC7"/>
      <c r="SVE7"/>
      <c r="SVG7"/>
      <c r="SVI7"/>
      <c r="SVK7"/>
      <c r="SVM7"/>
      <c r="SVO7"/>
      <c r="SVQ7"/>
      <c r="SVS7"/>
      <c r="SVU7"/>
      <c r="SVW7"/>
      <c r="SVY7"/>
      <c r="SWA7"/>
      <c r="SWC7"/>
      <c r="SWE7"/>
      <c r="SWG7"/>
      <c r="SWI7"/>
      <c r="SWK7"/>
      <c r="SWM7"/>
      <c r="SWO7"/>
      <c r="SWQ7"/>
      <c r="SWS7"/>
      <c r="SWU7"/>
      <c r="SWW7"/>
      <c r="SWY7"/>
      <c r="SXA7"/>
      <c r="SXC7"/>
      <c r="SXE7"/>
      <c r="SXG7"/>
      <c r="SXI7"/>
      <c r="SXK7"/>
      <c r="SXM7"/>
      <c r="SXO7"/>
      <c r="SXQ7"/>
      <c r="SXS7"/>
      <c r="SXU7"/>
      <c r="SXW7"/>
      <c r="SXY7"/>
      <c r="SYA7"/>
      <c r="SYC7"/>
      <c r="SYE7"/>
      <c r="SYG7"/>
      <c r="SYI7"/>
      <c r="SYK7"/>
      <c r="SYM7"/>
      <c r="SYO7"/>
      <c r="SYQ7"/>
      <c r="SYS7"/>
      <c r="SYU7"/>
      <c r="SYW7"/>
      <c r="SYY7"/>
      <c r="SZA7"/>
      <c r="SZC7"/>
      <c r="SZE7"/>
      <c r="SZG7"/>
      <c r="SZI7"/>
      <c r="SZK7"/>
      <c r="SZM7"/>
      <c r="SZO7"/>
      <c r="SZQ7"/>
      <c r="SZS7"/>
      <c r="SZU7"/>
      <c r="SZW7"/>
      <c r="SZY7"/>
      <c r="TAA7"/>
      <c r="TAC7"/>
      <c r="TAE7"/>
      <c r="TAG7"/>
      <c r="TAI7"/>
      <c r="TAK7"/>
      <c r="TAM7"/>
      <c r="TAO7"/>
      <c r="TAQ7"/>
      <c r="TAS7"/>
      <c r="TAU7"/>
      <c r="TAW7"/>
      <c r="TAY7"/>
      <c r="TBA7"/>
      <c r="TBC7"/>
      <c r="TBE7"/>
      <c r="TBG7"/>
      <c r="TBI7"/>
      <c r="TBK7"/>
      <c r="TBM7"/>
      <c r="TBO7"/>
      <c r="TBQ7"/>
      <c r="TBS7"/>
      <c r="TBU7"/>
      <c r="TBW7"/>
      <c r="TBY7"/>
      <c r="TCA7"/>
      <c r="TCC7"/>
      <c r="TCE7"/>
      <c r="TCG7"/>
      <c r="TCI7"/>
      <c r="TCK7"/>
      <c r="TCM7"/>
      <c r="TCO7"/>
      <c r="TCQ7"/>
      <c r="TCS7"/>
      <c r="TCU7"/>
      <c r="TCW7"/>
      <c r="TCY7"/>
      <c r="TDA7"/>
      <c r="TDC7"/>
      <c r="TDE7"/>
      <c r="TDG7"/>
      <c r="TDI7"/>
      <c r="TDK7"/>
      <c r="TDM7"/>
      <c r="TDO7"/>
      <c r="TDQ7"/>
      <c r="TDS7"/>
      <c r="TDU7"/>
      <c r="TDW7"/>
      <c r="TDY7"/>
      <c r="TEA7"/>
      <c r="TEC7"/>
      <c r="TEE7"/>
      <c r="TEG7"/>
      <c r="TEI7"/>
      <c r="TEK7"/>
      <c r="TEM7"/>
      <c r="TEO7"/>
      <c r="TEQ7"/>
      <c r="TES7"/>
      <c r="TEU7"/>
      <c r="TEW7"/>
      <c r="TEY7"/>
      <c r="TFA7"/>
      <c r="TFC7"/>
      <c r="TFE7"/>
      <c r="TFG7"/>
      <c r="TFI7"/>
      <c r="TFK7"/>
      <c r="TFM7"/>
      <c r="TFO7"/>
      <c r="TFQ7"/>
      <c r="TFS7"/>
      <c r="TFU7"/>
      <c r="TFW7"/>
      <c r="TFY7"/>
      <c r="TGA7"/>
      <c r="TGC7"/>
      <c r="TGE7"/>
      <c r="TGG7"/>
      <c r="TGI7"/>
      <c r="TGK7"/>
      <c r="TGM7"/>
      <c r="TGO7"/>
      <c r="TGQ7"/>
      <c r="TGS7"/>
      <c r="TGU7"/>
      <c r="TGW7"/>
      <c r="TGY7"/>
      <c r="THA7"/>
      <c r="THC7"/>
      <c r="THE7"/>
      <c r="THG7"/>
      <c r="THI7"/>
      <c r="THK7"/>
      <c r="THM7"/>
      <c r="THO7"/>
      <c r="THQ7"/>
      <c r="THS7"/>
      <c r="THU7"/>
      <c r="THW7"/>
      <c r="THY7"/>
      <c r="TIA7"/>
      <c r="TIC7"/>
      <c r="TIE7"/>
      <c r="TIG7"/>
      <c r="TII7"/>
      <c r="TIK7"/>
      <c r="TIM7"/>
      <c r="TIO7"/>
      <c r="TIQ7"/>
      <c r="TIS7"/>
      <c r="TIU7"/>
      <c r="TIW7"/>
      <c r="TIY7"/>
      <c r="TJA7"/>
      <c r="TJC7"/>
      <c r="TJE7"/>
      <c r="TJG7"/>
      <c r="TJI7"/>
      <c r="TJK7"/>
      <c r="TJM7"/>
      <c r="TJO7"/>
      <c r="TJQ7"/>
      <c r="TJS7"/>
      <c r="TJU7"/>
      <c r="TJW7"/>
      <c r="TJY7"/>
      <c r="TKA7"/>
      <c r="TKC7"/>
      <c r="TKE7"/>
      <c r="TKG7"/>
      <c r="TKI7"/>
      <c r="TKK7"/>
      <c r="TKM7"/>
      <c r="TKO7"/>
      <c r="TKQ7"/>
      <c r="TKS7"/>
      <c r="TKU7"/>
      <c r="TKW7"/>
      <c r="TKY7"/>
      <c r="TLA7"/>
      <c r="TLC7"/>
      <c r="TLE7"/>
      <c r="TLG7"/>
      <c r="TLI7"/>
      <c r="TLK7"/>
      <c r="TLM7"/>
      <c r="TLO7"/>
      <c r="TLQ7"/>
      <c r="TLS7"/>
      <c r="TLU7"/>
      <c r="TLW7"/>
      <c r="TLY7"/>
      <c r="TMA7"/>
      <c r="TMC7"/>
      <c r="TME7"/>
      <c r="TMG7"/>
      <c r="TMI7"/>
      <c r="TMK7"/>
      <c r="TMM7"/>
      <c r="TMO7"/>
      <c r="TMQ7"/>
      <c r="TMS7"/>
      <c r="TMU7"/>
      <c r="TMW7"/>
      <c r="TMY7"/>
      <c r="TNA7"/>
      <c r="TNC7"/>
      <c r="TNE7"/>
      <c r="TNG7"/>
      <c r="TNI7"/>
      <c r="TNK7"/>
      <c r="TNM7"/>
      <c r="TNO7"/>
      <c r="TNQ7"/>
      <c r="TNS7"/>
      <c r="TNU7"/>
      <c r="TNW7"/>
      <c r="TNY7"/>
      <c r="TOA7"/>
      <c r="TOC7"/>
      <c r="TOE7"/>
      <c r="TOG7"/>
      <c r="TOI7"/>
      <c r="TOK7"/>
      <c r="TOM7"/>
      <c r="TOO7"/>
      <c r="TOQ7"/>
      <c r="TOS7"/>
      <c r="TOU7"/>
      <c r="TOW7"/>
      <c r="TOY7"/>
      <c r="TPA7"/>
      <c r="TPC7"/>
      <c r="TPE7"/>
      <c r="TPG7"/>
      <c r="TPI7"/>
      <c r="TPK7"/>
      <c r="TPM7"/>
      <c r="TPO7"/>
      <c r="TPQ7"/>
      <c r="TPS7"/>
      <c r="TPU7"/>
      <c r="TPW7"/>
      <c r="TPY7"/>
      <c r="TQA7"/>
      <c r="TQC7"/>
      <c r="TQE7"/>
      <c r="TQG7"/>
      <c r="TQI7"/>
      <c r="TQK7"/>
      <c r="TQM7"/>
      <c r="TQO7"/>
      <c r="TQQ7"/>
      <c r="TQS7"/>
      <c r="TQU7"/>
      <c r="TQW7"/>
      <c r="TQY7"/>
      <c r="TRA7"/>
      <c r="TRC7"/>
      <c r="TRE7"/>
      <c r="TRG7"/>
      <c r="TRI7"/>
      <c r="TRK7"/>
      <c r="TRM7"/>
      <c r="TRO7"/>
      <c r="TRQ7"/>
      <c r="TRS7"/>
      <c r="TRU7"/>
      <c r="TRW7"/>
      <c r="TRY7"/>
      <c r="TSA7"/>
      <c r="TSC7"/>
      <c r="TSE7"/>
      <c r="TSG7"/>
      <c r="TSI7"/>
      <c r="TSK7"/>
      <c r="TSM7"/>
      <c r="TSO7"/>
      <c r="TSQ7"/>
      <c r="TSS7"/>
      <c r="TSU7"/>
      <c r="TSW7"/>
      <c r="TSY7"/>
      <c r="TTA7"/>
      <c r="TTC7"/>
      <c r="TTE7"/>
      <c r="TTG7"/>
      <c r="TTI7"/>
      <c r="TTK7"/>
      <c r="TTM7"/>
      <c r="TTO7"/>
      <c r="TTQ7"/>
      <c r="TTS7"/>
      <c r="TTU7"/>
      <c r="TTW7"/>
      <c r="TTY7"/>
      <c r="TUA7"/>
      <c r="TUC7"/>
      <c r="TUE7"/>
      <c r="TUG7"/>
      <c r="TUI7"/>
      <c r="TUK7"/>
      <c r="TUM7"/>
      <c r="TUO7"/>
      <c r="TUQ7"/>
      <c r="TUS7"/>
      <c r="TUU7"/>
      <c r="TUW7"/>
      <c r="TUY7"/>
      <c r="TVA7"/>
      <c r="TVC7"/>
      <c r="TVE7"/>
      <c r="TVG7"/>
      <c r="TVI7"/>
      <c r="TVK7"/>
      <c r="TVM7"/>
      <c r="TVO7"/>
      <c r="TVQ7"/>
      <c r="TVS7"/>
      <c r="TVU7"/>
      <c r="TVW7"/>
      <c r="TVY7"/>
      <c r="TWA7"/>
      <c r="TWC7"/>
      <c r="TWE7"/>
      <c r="TWG7"/>
      <c r="TWI7"/>
      <c r="TWK7"/>
      <c r="TWM7"/>
      <c r="TWO7"/>
      <c r="TWQ7"/>
      <c r="TWS7"/>
      <c r="TWU7"/>
      <c r="TWW7"/>
      <c r="TWY7"/>
      <c r="TXA7"/>
      <c r="TXC7"/>
      <c r="TXE7"/>
      <c r="TXG7"/>
      <c r="TXI7"/>
      <c r="TXK7"/>
      <c r="TXM7"/>
      <c r="TXO7"/>
      <c r="TXQ7"/>
      <c r="TXS7"/>
      <c r="TXU7"/>
      <c r="TXW7"/>
      <c r="TXY7"/>
      <c r="TYA7"/>
      <c r="TYC7"/>
      <c r="TYE7"/>
      <c r="TYG7"/>
      <c r="TYI7"/>
      <c r="TYK7"/>
      <c r="TYM7"/>
      <c r="TYO7"/>
      <c r="TYQ7"/>
      <c r="TYS7"/>
      <c r="TYU7"/>
      <c r="TYW7"/>
      <c r="TYY7"/>
      <c r="TZA7"/>
      <c r="TZC7"/>
      <c r="TZE7"/>
      <c r="TZG7"/>
      <c r="TZI7"/>
      <c r="TZK7"/>
      <c r="TZM7"/>
      <c r="TZO7"/>
      <c r="TZQ7"/>
      <c r="TZS7"/>
      <c r="TZU7"/>
      <c r="TZW7"/>
      <c r="TZY7"/>
      <c r="UAA7"/>
      <c r="UAC7"/>
      <c r="UAE7"/>
      <c r="UAG7"/>
      <c r="UAI7"/>
      <c r="UAK7"/>
      <c r="UAM7"/>
      <c r="UAO7"/>
      <c r="UAQ7"/>
      <c r="UAS7"/>
      <c r="UAU7"/>
      <c r="UAW7"/>
      <c r="UAY7"/>
      <c r="UBA7"/>
      <c r="UBC7"/>
      <c r="UBE7"/>
      <c r="UBG7"/>
      <c r="UBI7"/>
      <c r="UBK7"/>
      <c r="UBM7"/>
      <c r="UBO7"/>
      <c r="UBQ7"/>
      <c r="UBS7"/>
      <c r="UBU7"/>
      <c r="UBW7"/>
      <c r="UBY7"/>
      <c r="UCA7"/>
      <c r="UCC7"/>
      <c r="UCE7"/>
      <c r="UCG7"/>
      <c r="UCI7"/>
      <c r="UCK7"/>
      <c r="UCM7"/>
      <c r="UCO7"/>
      <c r="UCQ7"/>
      <c r="UCS7"/>
      <c r="UCU7"/>
      <c r="UCW7"/>
      <c r="UCY7"/>
      <c r="UDA7"/>
      <c r="UDC7"/>
      <c r="UDE7"/>
      <c r="UDG7"/>
      <c r="UDI7"/>
      <c r="UDK7"/>
      <c r="UDM7"/>
      <c r="UDO7"/>
      <c r="UDQ7"/>
      <c r="UDS7"/>
      <c r="UDU7"/>
      <c r="UDW7"/>
      <c r="UDY7"/>
      <c r="UEA7"/>
      <c r="UEC7"/>
      <c r="UEE7"/>
      <c r="UEG7"/>
      <c r="UEI7"/>
      <c r="UEK7"/>
      <c r="UEM7"/>
      <c r="UEO7"/>
      <c r="UEQ7"/>
      <c r="UES7"/>
      <c r="UEU7"/>
      <c r="UEW7"/>
      <c r="UEY7"/>
      <c r="UFA7"/>
      <c r="UFC7"/>
      <c r="UFE7"/>
      <c r="UFG7"/>
      <c r="UFI7"/>
      <c r="UFK7"/>
      <c r="UFM7"/>
      <c r="UFO7"/>
      <c r="UFQ7"/>
      <c r="UFS7"/>
      <c r="UFU7"/>
      <c r="UFW7"/>
      <c r="UFY7"/>
      <c r="UGA7"/>
      <c r="UGC7"/>
      <c r="UGE7"/>
      <c r="UGG7"/>
      <c r="UGI7"/>
      <c r="UGK7"/>
      <c r="UGM7"/>
      <c r="UGO7"/>
      <c r="UGQ7"/>
      <c r="UGS7"/>
      <c r="UGU7"/>
      <c r="UGW7"/>
      <c r="UGY7"/>
      <c r="UHA7"/>
      <c r="UHC7"/>
      <c r="UHE7"/>
      <c r="UHG7"/>
      <c r="UHI7"/>
      <c r="UHK7"/>
      <c r="UHM7"/>
      <c r="UHO7"/>
      <c r="UHQ7"/>
      <c r="UHS7"/>
      <c r="UHU7"/>
      <c r="UHW7"/>
      <c r="UHY7"/>
      <c r="UIA7"/>
      <c r="UIC7"/>
      <c r="UIE7"/>
      <c r="UIG7"/>
      <c r="UII7"/>
      <c r="UIK7"/>
      <c r="UIM7"/>
      <c r="UIO7"/>
      <c r="UIQ7"/>
      <c r="UIS7"/>
      <c r="UIU7"/>
      <c r="UIW7"/>
      <c r="UIY7"/>
      <c r="UJA7"/>
      <c r="UJC7"/>
      <c r="UJE7"/>
      <c r="UJG7"/>
      <c r="UJI7"/>
      <c r="UJK7"/>
      <c r="UJM7"/>
      <c r="UJO7"/>
      <c r="UJQ7"/>
      <c r="UJS7"/>
      <c r="UJU7"/>
      <c r="UJW7"/>
      <c r="UJY7"/>
      <c r="UKA7"/>
      <c r="UKC7"/>
      <c r="UKE7"/>
      <c r="UKG7"/>
      <c r="UKI7"/>
      <c r="UKK7"/>
      <c r="UKM7"/>
      <c r="UKO7"/>
      <c r="UKQ7"/>
      <c r="UKS7"/>
      <c r="UKU7"/>
      <c r="UKW7"/>
      <c r="UKY7"/>
      <c r="ULA7"/>
      <c r="ULC7"/>
      <c r="ULE7"/>
      <c r="ULG7"/>
      <c r="ULI7"/>
      <c r="ULK7"/>
      <c r="ULM7"/>
      <c r="ULO7"/>
      <c r="ULQ7"/>
      <c r="ULS7"/>
      <c r="ULU7"/>
      <c r="ULW7"/>
      <c r="ULY7"/>
      <c r="UMA7"/>
      <c r="UMC7"/>
      <c r="UME7"/>
      <c r="UMG7"/>
      <c r="UMI7"/>
      <c r="UMK7"/>
      <c r="UMM7"/>
      <c r="UMO7"/>
      <c r="UMQ7"/>
      <c r="UMS7"/>
      <c r="UMU7"/>
      <c r="UMW7"/>
      <c r="UMY7"/>
      <c r="UNA7"/>
      <c r="UNC7"/>
      <c r="UNE7"/>
      <c r="UNG7"/>
      <c r="UNI7"/>
      <c r="UNK7"/>
      <c r="UNM7"/>
      <c r="UNO7"/>
      <c r="UNQ7"/>
      <c r="UNS7"/>
      <c r="UNU7"/>
      <c r="UNW7"/>
      <c r="UNY7"/>
      <c r="UOA7"/>
      <c r="UOC7"/>
      <c r="UOE7"/>
      <c r="UOG7"/>
      <c r="UOI7"/>
      <c r="UOK7"/>
      <c r="UOM7"/>
      <c r="UOO7"/>
      <c r="UOQ7"/>
      <c r="UOS7"/>
      <c r="UOU7"/>
      <c r="UOW7"/>
      <c r="UOY7"/>
      <c r="UPA7"/>
      <c r="UPC7"/>
      <c r="UPE7"/>
      <c r="UPG7"/>
      <c r="UPI7"/>
      <c r="UPK7"/>
      <c r="UPM7"/>
      <c r="UPO7"/>
      <c r="UPQ7"/>
      <c r="UPS7"/>
      <c r="UPU7"/>
      <c r="UPW7"/>
      <c r="UPY7"/>
      <c r="UQA7"/>
      <c r="UQC7"/>
      <c r="UQE7"/>
      <c r="UQG7"/>
      <c r="UQI7"/>
      <c r="UQK7"/>
      <c r="UQM7"/>
      <c r="UQO7"/>
      <c r="UQQ7"/>
      <c r="UQS7"/>
      <c r="UQU7"/>
      <c r="UQW7"/>
      <c r="UQY7"/>
      <c r="URA7"/>
      <c r="URC7"/>
      <c r="URE7"/>
      <c r="URG7"/>
      <c r="URI7"/>
      <c r="URK7"/>
      <c r="URM7"/>
      <c r="URO7"/>
      <c r="URQ7"/>
      <c r="URS7"/>
      <c r="URU7"/>
      <c r="URW7"/>
      <c r="URY7"/>
      <c r="USA7"/>
      <c r="USC7"/>
      <c r="USE7"/>
      <c r="USG7"/>
      <c r="USI7"/>
      <c r="USK7"/>
      <c r="USM7"/>
      <c r="USO7"/>
      <c r="USQ7"/>
      <c r="USS7"/>
      <c r="USU7"/>
      <c r="USW7"/>
      <c r="USY7"/>
      <c r="UTA7"/>
      <c r="UTC7"/>
      <c r="UTE7"/>
      <c r="UTG7"/>
      <c r="UTI7"/>
      <c r="UTK7"/>
      <c r="UTM7"/>
      <c r="UTO7"/>
      <c r="UTQ7"/>
      <c r="UTS7"/>
      <c r="UTU7"/>
      <c r="UTW7"/>
      <c r="UTY7"/>
      <c r="UUA7"/>
      <c r="UUC7"/>
      <c r="UUE7"/>
      <c r="UUG7"/>
      <c r="UUI7"/>
      <c r="UUK7"/>
      <c r="UUM7"/>
      <c r="UUO7"/>
      <c r="UUQ7"/>
      <c r="UUS7"/>
      <c r="UUU7"/>
      <c r="UUW7"/>
      <c r="UUY7"/>
      <c r="UVA7"/>
      <c r="UVC7"/>
      <c r="UVE7"/>
      <c r="UVG7"/>
      <c r="UVI7"/>
      <c r="UVK7"/>
      <c r="UVM7"/>
      <c r="UVO7"/>
      <c r="UVQ7"/>
      <c r="UVS7"/>
      <c r="UVU7"/>
      <c r="UVW7"/>
      <c r="UVY7"/>
      <c r="UWA7"/>
      <c r="UWC7"/>
      <c r="UWE7"/>
      <c r="UWG7"/>
      <c r="UWI7"/>
      <c r="UWK7"/>
      <c r="UWM7"/>
      <c r="UWO7"/>
      <c r="UWQ7"/>
      <c r="UWS7"/>
      <c r="UWU7"/>
      <c r="UWW7"/>
      <c r="UWY7"/>
      <c r="UXA7"/>
      <c r="UXC7"/>
      <c r="UXE7"/>
      <c r="UXG7"/>
      <c r="UXI7"/>
      <c r="UXK7"/>
      <c r="UXM7"/>
      <c r="UXO7"/>
      <c r="UXQ7"/>
      <c r="UXS7"/>
      <c r="UXU7"/>
      <c r="UXW7"/>
      <c r="UXY7"/>
      <c r="UYA7"/>
      <c r="UYC7"/>
      <c r="UYE7"/>
      <c r="UYG7"/>
      <c r="UYI7"/>
      <c r="UYK7"/>
      <c r="UYM7"/>
      <c r="UYO7"/>
      <c r="UYQ7"/>
      <c r="UYS7"/>
      <c r="UYU7"/>
      <c r="UYW7"/>
      <c r="UYY7"/>
      <c r="UZA7"/>
      <c r="UZC7"/>
      <c r="UZE7"/>
      <c r="UZG7"/>
      <c r="UZI7"/>
      <c r="UZK7"/>
      <c r="UZM7"/>
      <c r="UZO7"/>
      <c r="UZQ7"/>
      <c r="UZS7"/>
      <c r="UZU7"/>
      <c r="UZW7"/>
      <c r="UZY7"/>
      <c r="VAA7"/>
      <c r="VAC7"/>
      <c r="VAE7"/>
      <c r="VAG7"/>
      <c r="VAI7"/>
      <c r="VAK7"/>
      <c r="VAM7"/>
      <c r="VAO7"/>
      <c r="VAQ7"/>
      <c r="VAS7"/>
      <c r="VAU7"/>
      <c r="VAW7"/>
      <c r="VAY7"/>
      <c r="VBA7"/>
      <c r="VBC7"/>
      <c r="VBE7"/>
      <c r="VBG7"/>
      <c r="VBI7"/>
      <c r="VBK7"/>
      <c r="VBM7"/>
      <c r="VBO7"/>
      <c r="VBQ7"/>
      <c r="VBS7"/>
      <c r="VBU7"/>
      <c r="VBW7"/>
      <c r="VBY7"/>
      <c r="VCA7"/>
      <c r="VCC7"/>
      <c r="VCE7"/>
      <c r="VCG7"/>
      <c r="VCI7"/>
      <c r="VCK7"/>
      <c r="VCM7"/>
      <c r="VCO7"/>
      <c r="VCQ7"/>
      <c r="VCS7"/>
      <c r="VCU7"/>
      <c r="VCW7"/>
      <c r="VCY7"/>
      <c r="VDA7"/>
      <c r="VDC7"/>
      <c r="VDE7"/>
      <c r="VDG7"/>
      <c r="VDI7"/>
      <c r="VDK7"/>
      <c r="VDM7"/>
      <c r="VDO7"/>
      <c r="VDQ7"/>
      <c r="VDS7"/>
      <c r="VDU7"/>
      <c r="VDW7"/>
      <c r="VDY7"/>
      <c r="VEA7"/>
      <c r="VEC7"/>
      <c r="VEE7"/>
      <c r="VEG7"/>
      <c r="VEI7"/>
      <c r="VEK7"/>
      <c r="VEM7"/>
      <c r="VEO7"/>
      <c r="VEQ7"/>
      <c r="VES7"/>
      <c r="VEU7"/>
      <c r="VEW7"/>
      <c r="VEY7"/>
      <c r="VFA7"/>
      <c r="VFC7"/>
      <c r="VFE7"/>
      <c r="VFG7"/>
      <c r="VFI7"/>
      <c r="VFK7"/>
      <c r="VFM7"/>
      <c r="VFO7"/>
      <c r="VFQ7"/>
      <c r="VFS7"/>
      <c r="VFU7"/>
      <c r="VFW7"/>
      <c r="VFY7"/>
      <c r="VGA7"/>
      <c r="VGC7"/>
      <c r="VGE7"/>
      <c r="VGG7"/>
      <c r="VGI7"/>
      <c r="VGK7"/>
      <c r="VGM7"/>
      <c r="VGO7"/>
      <c r="VGQ7"/>
      <c r="VGS7"/>
      <c r="VGU7"/>
      <c r="VGW7"/>
      <c r="VGY7"/>
      <c r="VHA7"/>
      <c r="VHC7"/>
      <c r="VHE7"/>
      <c r="VHG7"/>
      <c r="VHI7"/>
      <c r="VHK7"/>
      <c r="VHM7"/>
      <c r="VHO7"/>
      <c r="VHQ7"/>
      <c r="VHS7"/>
      <c r="VHU7"/>
      <c r="VHW7"/>
      <c r="VHY7"/>
      <c r="VIA7"/>
      <c r="VIC7"/>
      <c r="VIE7"/>
      <c r="VIG7"/>
      <c r="VII7"/>
      <c r="VIK7"/>
      <c r="VIM7"/>
      <c r="VIO7"/>
      <c r="VIQ7"/>
      <c r="VIS7"/>
      <c r="VIU7"/>
      <c r="VIW7"/>
      <c r="VIY7"/>
      <c r="VJA7"/>
      <c r="VJC7"/>
      <c r="VJE7"/>
      <c r="VJG7"/>
      <c r="VJI7"/>
      <c r="VJK7"/>
      <c r="VJM7"/>
      <c r="VJO7"/>
      <c r="VJQ7"/>
      <c r="VJS7"/>
      <c r="VJU7"/>
      <c r="VJW7"/>
      <c r="VJY7"/>
      <c r="VKA7"/>
      <c r="VKC7"/>
      <c r="VKE7"/>
      <c r="VKG7"/>
      <c r="VKI7"/>
      <c r="VKK7"/>
      <c r="VKM7"/>
      <c r="VKO7"/>
      <c r="VKQ7"/>
      <c r="VKS7"/>
      <c r="VKU7"/>
      <c r="VKW7"/>
      <c r="VKY7"/>
      <c r="VLA7"/>
      <c r="VLC7"/>
      <c r="VLE7"/>
      <c r="VLG7"/>
      <c r="VLI7"/>
      <c r="VLK7"/>
      <c r="VLM7"/>
      <c r="VLO7"/>
      <c r="VLQ7"/>
      <c r="VLS7"/>
      <c r="VLU7"/>
      <c r="VLW7"/>
      <c r="VLY7"/>
      <c r="VMA7"/>
      <c r="VMC7"/>
      <c r="VME7"/>
      <c r="VMG7"/>
      <c r="VMI7"/>
      <c r="VMK7"/>
      <c r="VMM7"/>
      <c r="VMO7"/>
      <c r="VMQ7"/>
      <c r="VMS7"/>
      <c r="VMU7"/>
      <c r="VMW7"/>
      <c r="VMY7"/>
      <c r="VNA7"/>
      <c r="VNC7"/>
      <c r="VNE7"/>
      <c r="VNG7"/>
      <c r="VNI7"/>
      <c r="VNK7"/>
      <c r="VNM7"/>
      <c r="VNO7"/>
      <c r="VNQ7"/>
      <c r="VNS7"/>
      <c r="VNU7"/>
      <c r="VNW7"/>
      <c r="VNY7"/>
      <c r="VOA7"/>
      <c r="VOC7"/>
      <c r="VOE7"/>
      <c r="VOG7"/>
      <c r="VOI7"/>
      <c r="VOK7"/>
      <c r="VOM7"/>
      <c r="VOO7"/>
      <c r="VOQ7"/>
      <c r="VOS7"/>
      <c r="VOU7"/>
      <c r="VOW7"/>
      <c r="VOY7"/>
      <c r="VPA7"/>
      <c r="VPC7"/>
      <c r="VPE7"/>
      <c r="VPG7"/>
      <c r="VPI7"/>
      <c r="VPK7"/>
      <c r="VPM7"/>
      <c r="VPO7"/>
      <c r="VPQ7"/>
      <c r="VPS7"/>
      <c r="VPU7"/>
      <c r="VPW7"/>
      <c r="VPY7"/>
      <c r="VQA7"/>
      <c r="VQC7"/>
      <c r="VQE7"/>
      <c r="VQG7"/>
      <c r="VQI7"/>
      <c r="VQK7"/>
      <c r="VQM7"/>
      <c r="VQO7"/>
      <c r="VQQ7"/>
      <c r="VQS7"/>
      <c r="VQU7"/>
      <c r="VQW7"/>
      <c r="VQY7"/>
      <c r="VRA7"/>
      <c r="VRC7"/>
      <c r="VRE7"/>
      <c r="VRG7"/>
      <c r="VRI7"/>
      <c r="VRK7"/>
      <c r="VRM7"/>
      <c r="VRO7"/>
      <c r="VRQ7"/>
      <c r="VRS7"/>
      <c r="VRU7"/>
      <c r="VRW7"/>
      <c r="VRY7"/>
      <c r="VSA7"/>
      <c r="VSC7"/>
      <c r="VSE7"/>
      <c r="VSG7"/>
      <c r="VSI7"/>
      <c r="VSK7"/>
      <c r="VSM7"/>
      <c r="VSO7"/>
      <c r="VSQ7"/>
      <c r="VSS7"/>
      <c r="VSU7"/>
      <c r="VSW7"/>
      <c r="VSY7"/>
      <c r="VTA7"/>
      <c r="VTC7"/>
      <c r="VTE7"/>
      <c r="VTG7"/>
      <c r="VTI7"/>
      <c r="VTK7"/>
      <c r="VTM7"/>
      <c r="VTO7"/>
      <c r="VTQ7"/>
      <c r="VTS7"/>
      <c r="VTU7"/>
      <c r="VTW7"/>
      <c r="VTY7"/>
      <c r="VUA7"/>
      <c r="VUC7"/>
      <c r="VUE7"/>
      <c r="VUG7"/>
      <c r="VUI7"/>
      <c r="VUK7"/>
      <c r="VUM7"/>
      <c r="VUO7"/>
      <c r="VUQ7"/>
      <c r="VUS7"/>
      <c r="VUU7"/>
      <c r="VUW7"/>
      <c r="VUY7"/>
      <c r="VVA7"/>
      <c r="VVC7"/>
      <c r="VVE7"/>
      <c r="VVG7"/>
      <c r="VVI7"/>
      <c r="VVK7"/>
      <c r="VVM7"/>
      <c r="VVO7"/>
      <c r="VVQ7"/>
      <c r="VVS7"/>
      <c r="VVU7"/>
      <c r="VVW7"/>
      <c r="VVY7"/>
      <c r="VWA7"/>
      <c r="VWC7"/>
      <c r="VWE7"/>
      <c r="VWG7"/>
      <c r="VWI7"/>
      <c r="VWK7"/>
      <c r="VWM7"/>
      <c r="VWO7"/>
      <c r="VWQ7"/>
      <c r="VWS7"/>
      <c r="VWU7"/>
      <c r="VWW7"/>
      <c r="VWY7"/>
      <c r="VXA7"/>
      <c r="VXC7"/>
      <c r="VXE7"/>
      <c r="VXG7"/>
      <c r="VXI7"/>
      <c r="VXK7"/>
      <c r="VXM7"/>
      <c r="VXO7"/>
      <c r="VXQ7"/>
      <c r="VXS7"/>
      <c r="VXU7"/>
      <c r="VXW7"/>
      <c r="VXY7"/>
      <c r="VYA7"/>
      <c r="VYC7"/>
      <c r="VYE7"/>
      <c r="VYG7"/>
      <c r="VYI7"/>
      <c r="VYK7"/>
      <c r="VYM7"/>
      <c r="VYO7"/>
      <c r="VYQ7"/>
      <c r="VYS7"/>
      <c r="VYU7"/>
      <c r="VYW7"/>
      <c r="VYY7"/>
      <c r="VZA7"/>
      <c r="VZC7"/>
      <c r="VZE7"/>
      <c r="VZG7"/>
      <c r="VZI7"/>
      <c r="VZK7"/>
      <c r="VZM7"/>
      <c r="VZO7"/>
      <c r="VZQ7"/>
      <c r="VZS7"/>
      <c r="VZU7"/>
      <c r="VZW7"/>
      <c r="VZY7"/>
      <c r="WAA7"/>
      <c r="WAC7"/>
      <c r="WAE7"/>
      <c r="WAG7"/>
      <c r="WAI7"/>
      <c r="WAK7"/>
      <c r="WAM7"/>
      <c r="WAO7"/>
      <c r="WAQ7"/>
      <c r="WAS7"/>
      <c r="WAU7"/>
      <c r="WAW7"/>
      <c r="WAY7"/>
      <c r="WBA7"/>
      <c r="WBC7"/>
      <c r="WBE7"/>
      <c r="WBG7"/>
      <c r="WBI7"/>
      <c r="WBK7"/>
      <c r="WBM7"/>
      <c r="WBO7"/>
      <c r="WBQ7"/>
      <c r="WBS7"/>
      <c r="WBU7"/>
      <c r="WBW7"/>
      <c r="WBY7"/>
      <c r="WCA7"/>
      <c r="WCC7"/>
      <c r="WCE7"/>
      <c r="WCG7"/>
      <c r="WCI7"/>
      <c r="WCK7"/>
      <c r="WCM7"/>
      <c r="WCO7"/>
      <c r="WCQ7"/>
      <c r="WCS7"/>
      <c r="WCU7"/>
      <c r="WCW7"/>
      <c r="WCY7"/>
      <c r="WDA7"/>
      <c r="WDC7"/>
      <c r="WDE7"/>
      <c r="WDG7"/>
      <c r="WDI7"/>
      <c r="WDK7"/>
      <c r="WDM7"/>
      <c r="WDO7"/>
      <c r="WDQ7"/>
      <c r="WDS7"/>
      <c r="WDU7"/>
      <c r="WDW7"/>
      <c r="WDY7"/>
      <c r="WEA7"/>
      <c r="WEC7"/>
      <c r="WEE7"/>
      <c r="WEG7"/>
      <c r="WEI7"/>
      <c r="WEK7"/>
      <c r="WEM7"/>
      <c r="WEO7"/>
      <c r="WEQ7"/>
      <c r="WES7"/>
      <c r="WEU7"/>
      <c r="WEW7"/>
      <c r="WEY7"/>
      <c r="WFA7"/>
      <c r="WFC7"/>
      <c r="WFE7"/>
      <c r="WFG7"/>
      <c r="WFI7"/>
      <c r="WFK7"/>
      <c r="WFM7"/>
      <c r="WFO7"/>
      <c r="WFQ7"/>
      <c r="WFS7"/>
      <c r="WFU7"/>
      <c r="WFW7"/>
      <c r="WFY7"/>
      <c r="WGA7"/>
      <c r="WGC7"/>
      <c r="WGE7"/>
      <c r="WGG7"/>
      <c r="WGI7"/>
      <c r="WGK7"/>
      <c r="WGM7"/>
      <c r="WGO7"/>
      <c r="WGQ7"/>
      <c r="WGS7"/>
      <c r="WGU7"/>
      <c r="WGW7"/>
      <c r="WGY7"/>
      <c r="WHA7"/>
      <c r="WHC7"/>
      <c r="WHE7"/>
      <c r="WHG7"/>
      <c r="WHI7"/>
      <c r="WHK7"/>
      <c r="WHM7"/>
      <c r="WHO7"/>
      <c r="WHQ7"/>
      <c r="WHS7"/>
      <c r="WHU7"/>
      <c r="WHW7"/>
      <c r="WHY7"/>
      <c r="WIA7"/>
      <c r="WIC7"/>
      <c r="WIE7"/>
      <c r="WIG7"/>
      <c r="WII7"/>
      <c r="WIK7"/>
      <c r="WIM7"/>
      <c r="WIO7"/>
      <c r="WIQ7"/>
      <c r="WIS7"/>
      <c r="WIU7"/>
      <c r="WIW7"/>
      <c r="WIY7"/>
      <c r="WJA7"/>
      <c r="WJC7"/>
      <c r="WJE7"/>
      <c r="WJG7"/>
      <c r="WJI7"/>
      <c r="WJK7"/>
      <c r="WJM7"/>
      <c r="WJO7"/>
      <c r="WJQ7"/>
      <c r="WJS7"/>
      <c r="WJU7"/>
      <c r="WJW7"/>
      <c r="WJY7"/>
      <c r="WKA7"/>
      <c r="WKC7"/>
      <c r="WKE7"/>
      <c r="WKG7"/>
      <c r="WKI7"/>
      <c r="WKK7"/>
      <c r="WKM7"/>
      <c r="WKO7"/>
      <c r="WKQ7"/>
      <c r="WKS7"/>
      <c r="WKU7"/>
      <c r="WKW7"/>
      <c r="WKY7"/>
      <c r="WLA7"/>
      <c r="WLC7"/>
      <c r="WLE7"/>
      <c r="WLG7"/>
      <c r="WLI7"/>
      <c r="WLK7"/>
      <c r="WLM7"/>
      <c r="WLO7"/>
      <c r="WLQ7"/>
      <c r="WLS7"/>
      <c r="WLU7"/>
      <c r="WLW7"/>
      <c r="WLY7"/>
      <c r="WMA7"/>
      <c r="WMC7"/>
      <c r="WME7"/>
      <c r="WMG7"/>
      <c r="WMI7"/>
      <c r="WMK7"/>
      <c r="WMM7"/>
      <c r="WMO7"/>
      <c r="WMQ7"/>
      <c r="WMS7"/>
      <c r="WMU7"/>
      <c r="WMW7"/>
      <c r="WMY7"/>
      <c r="WNA7"/>
      <c r="WNC7"/>
      <c r="WNE7"/>
      <c r="WNG7"/>
      <c r="WNI7"/>
      <c r="WNK7"/>
      <c r="WNM7"/>
      <c r="WNO7"/>
      <c r="WNQ7"/>
      <c r="WNS7"/>
      <c r="WNU7"/>
      <c r="WNW7"/>
      <c r="WNY7"/>
      <c r="WOA7"/>
      <c r="WOC7"/>
      <c r="WOE7"/>
      <c r="WOG7"/>
      <c r="WOI7"/>
      <c r="WOK7"/>
      <c r="WOM7"/>
      <c r="WOO7"/>
      <c r="WOQ7"/>
      <c r="WOS7"/>
      <c r="WOU7"/>
      <c r="WOW7"/>
      <c r="WOY7"/>
      <c r="WPA7"/>
      <c r="WPC7"/>
      <c r="WPE7"/>
      <c r="WPG7"/>
      <c r="WPI7"/>
      <c r="WPK7"/>
      <c r="WPM7"/>
      <c r="WPO7"/>
      <c r="WPQ7"/>
      <c r="WPS7"/>
      <c r="WPU7"/>
      <c r="WPW7"/>
      <c r="WPY7"/>
      <c r="WQA7"/>
      <c r="WQC7"/>
      <c r="WQE7"/>
      <c r="WQG7"/>
      <c r="WQI7"/>
      <c r="WQK7"/>
      <c r="WQM7"/>
      <c r="WQO7"/>
      <c r="WQQ7"/>
      <c r="WQS7"/>
      <c r="WQU7"/>
      <c r="WQW7"/>
      <c r="WQY7"/>
      <c r="WRA7"/>
      <c r="WRC7"/>
      <c r="WRE7"/>
      <c r="WRG7"/>
      <c r="WRI7"/>
      <c r="WRK7"/>
      <c r="WRM7"/>
      <c r="WRO7"/>
      <c r="WRQ7"/>
      <c r="WRS7"/>
      <c r="WRU7"/>
      <c r="WRW7"/>
      <c r="WRY7"/>
      <c r="WSA7"/>
      <c r="WSC7"/>
      <c r="WSE7"/>
      <c r="WSG7"/>
      <c r="WSI7"/>
      <c r="WSK7"/>
      <c r="WSM7"/>
      <c r="WSO7"/>
      <c r="WSQ7"/>
      <c r="WSS7"/>
      <c r="WSU7"/>
      <c r="WSW7"/>
      <c r="WSY7"/>
      <c r="WTA7"/>
      <c r="WTC7"/>
      <c r="WTE7"/>
      <c r="WTG7"/>
      <c r="WTI7"/>
      <c r="WTK7"/>
      <c r="WTM7"/>
      <c r="WTO7"/>
      <c r="WTQ7"/>
      <c r="WTS7"/>
      <c r="WTU7"/>
      <c r="WTW7"/>
      <c r="WTY7"/>
      <c r="WUA7"/>
      <c r="WUC7"/>
      <c r="WUE7"/>
      <c r="WUG7"/>
      <c r="WUI7"/>
      <c r="WUK7"/>
      <c r="WUM7"/>
      <c r="WUO7"/>
      <c r="WUQ7"/>
      <c r="WUS7"/>
      <c r="WUU7"/>
      <c r="WUW7"/>
      <c r="WUY7"/>
      <c r="WVA7"/>
      <c r="WVC7"/>
      <c r="WVE7"/>
      <c r="WVG7"/>
      <c r="WVI7"/>
      <c r="WVK7"/>
      <c r="WVM7"/>
      <c r="WVO7"/>
      <c r="WVQ7"/>
      <c r="WVS7"/>
      <c r="WVU7"/>
      <c r="WVW7"/>
      <c r="WVY7"/>
      <c r="WWA7"/>
      <c r="WWC7"/>
      <c r="WWE7"/>
      <c r="WWG7"/>
      <c r="WWI7"/>
      <c r="WWK7"/>
      <c r="WWM7"/>
      <c r="WWO7"/>
      <c r="WWQ7"/>
      <c r="WWS7"/>
      <c r="WWU7"/>
      <c r="WWW7"/>
      <c r="WWY7"/>
      <c r="WXA7"/>
      <c r="WXC7"/>
      <c r="WXE7"/>
      <c r="WXG7"/>
      <c r="WXI7"/>
      <c r="WXK7"/>
      <c r="WXM7"/>
      <c r="WXO7"/>
      <c r="WXQ7"/>
      <c r="WXS7"/>
      <c r="WXU7"/>
      <c r="WXW7"/>
      <c r="WXY7"/>
      <c r="WYA7"/>
      <c r="WYC7"/>
      <c r="WYE7"/>
      <c r="WYG7"/>
      <c r="WYI7"/>
      <c r="WYK7"/>
      <c r="WYM7"/>
      <c r="WYO7"/>
      <c r="WYQ7"/>
      <c r="WYS7"/>
      <c r="WYU7"/>
      <c r="WYW7"/>
      <c r="WYY7"/>
      <c r="WZA7"/>
      <c r="WZC7"/>
      <c r="WZE7"/>
      <c r="WZG7"/>
      <c r="WZI7"/>
      <c r="WZK7"/>
      <c r="WZM7"/>
      <c r="WZO7"/>
      <c r="WZQ7"/>
      <c r="WZS7"/>
      <c r="WZU7"/>
      <c r="WZW7"/>
      <c r="WZY7"/>
      <c r="XAA7"/>
      <c r="XAC7"/>
      <c r="XAE7"/>
      <c r="XAG7"/>
      <c r="XAI7"/>
      <c r="XAK7"/>
      <c r="XAM7"/>
      <c r="XAO7"/>
      <c r="XAQ7"/>
      <c r="XAS7"/>
      <c r="XAU7"/>
      <c r="XAW7"/>
      <c r="XAY7"/>
      <c r="XBA7"/>
      <c r="XBC7"/>
      <c r="XBE7"/>
      <c r="XBG7"/>
      <c r="XBI7"/>
      <c r="XBK7"/>
      <c r="XBM7"/>
      <c r="XBO7"/>
      <c r="XBQ7"/>
      <c r="XBS7"/>
      <c r="XBU7"/>
      <c r="XBW7"/>
      <c r="XBY7"/>
      <c r="XCA7"/>
      <c r="XCC7"/>
      <c r="XCE7"/>
      <c r="XCG7"/>
      <c r="XCI7"/>
      <c r="XCK7"/>
      <c r="XCM7"/>
      <c r="XCO7"/>
      <c r="XCQ7"/>
      <c r="XCS7"/>
      <c r="XCU7"/>
      <c r="XCW7"/>
      <c r="XCY7"/>
      <c r="XDA7"/>
      <c r="XDC7"/>
      <c r="XDE7"/>
      <c r="XDG7"/>
      <c r="XDI7"/>
      <c r="XDK7"/>
      <c r="XDM7"/>
      <c r="XDO7"/>
      <c r="XDQ7"/>
      <c r="XDS7"/>
      <c r="XDU7"/>
      <c r="XDW7"/>
      <c r="XDY7"/>
      <c r="XEA7"/>
      <c r="XEC7"/>
      <c r="XEE7"/>
      <c r="XEG7"/>
      <c r="XEI7"/>
      <c r="XEK7"/>
      <c r="XEM7"/>
      <c r="XEO7"/>
      <c r="XEQ7"/>
      <c r="XES7"/>
      <c r="XEU7"/>
      <c r="XEW7"/>
      <c r="XEY7"/>
      <c r="XFA7"/>
      <c r="XFC7"/>
    </row>
    <row r="8" spans="1:16384" s="474" customFormat="1" ht="16" thickBot="1" x14ac:dyDescent="0.25">
      <c r="A8" s="7"/>
      <c r="B8" s="538" t="s">
        <v>446</v>
      </c>
      <c r="C8" s="534" t="s">
        <v>445</v>
      </c>
      <c r="D8" s="535">
        <v>1.34</v>
      </c>
      <c r="E8" s="548">
        <v>0</v>
      </c>
      <c r="F8" s="548">
        <v>38233</v>
      </c>
      <c r="G8" s="536">
        <v>0.20499999999999999</v>
      </c>
      <c r="H8" s="537">
        <f t="shared" si="0"/>
        <v>1.34</v>
      </c>
      <c r="I8" s="641"/>
      <c r="J8" s="438" t="s">
        <v>429</v>
      </c>
      <c r="K8" s="443">
        <f>(1-K7)*K6</f>
        <v>3.5085866666666667E-2</v>
      </c>
      <c r="L8" s="642"/>
      <c r="M8" s="438" t="s">
        <v>243</v>
      </c>
      <c r="N8" s="443">
        <f>K3+N5*N6</f>
        <v>0.10285514362252694</v>
      </c>
      <c r="O8"/>
      <c r="Q8"/>
      <c r="S8"/>
      <c r="U8"/>
      <c r="W8"/>
      <c r="Y8"/>
      <c r="AA8"/>
      <c r="AC8"/>
      <c r="AE8"/>
      <c r="AG8"/>
      <c r="AI8"/>
      <c r="AK8"/>
      <c r="AM8"/>
      <c r="AO8"/>
      <c r="AQ8"/>
      <c r="AS8"/>
      <c r="AU8"/>
      <c r="AW8"/>
      <c r="AY8"/>
      <c r="BA8"/>
      <c r="BC8"/>
      <c r="BE8"/>
      <c r="BG8"/>
      <c r="BI8"/>
      <c r="BK8"/>
      <c r="BM8"/>
      <c r="BO8"/>
      <c r="BQ8"/>
      <c r="BS8"/>
      <c r="BU8"/>
      <c r="BW8"/>
      <c r="BY8"/>
      <c r="CA8"/>
      <c r="CC8"/>
      <c r="CE8"/>
      <c r="CG8"/>
      <c r="CI8"/>
      <c r="CK8"/>
      <c r="CM8"/>
      <c r="CO8"/>
      <c r="CQ8"/>
      <c r="CS8"/>
      <c r="CU8"/>
      <c r="CW8"/>
      <c r="CY8"/>
      <c r="DA8"/>
      <c r="DC8"/>
      <c r="DE8"/>
      <c r="DG8"/>
      <c r="DI8"/>
      <c r="DK8"/>
      <c r="DM8"/>
      <c r="DO8"/>
      <c r="DQ8"/>
      <c r="DS8"/>
      <c r="DU8"/>
      <c r="DW8"/>
      <c r="DY8"/>
      <c r="EA8"/>
      <c r="EC8"/>
      <c r="EE8"/>
      <c r="EG8"/>
      <c r="EI8"/>
      <c r="EK8"/>
      <c r="EM8"/>
      <c r="EO8"/>
      <c r="EQ8"/>
      <c r="ES8"/>
      <c r="EU8"/>
      <c r="EW8"/>
      <c r="EY8"/>
      <c r="FA8"/>
      <c r="FC8"/>
      <c r="FE8"/>
      <c r="FG8"/>
      <c r="FI8"/>
      <c r="FK8"/>
      <c r="FM8"/>
      <c r="FO8"/>
      <c r="FQ8"/>
      <c r="FS8"/>
      <c r="FU8"/>
      <c r="FW8"/>
      <c r="FY8"/>
      <c r="GA8"/>
      <c r="GC8"/>
      <c r="GE8"/>
      <c r="GG8"/>
      <c r="GI8"/>
      <c r="GK8"/>
      <c r="GM8"/>
      <c r="GO8"/>
      <c r="GQ8"/>
      <c r="GS8"/>
      <c r="GU8"/>
      <c r="GW8"/>
      <c r="GY8"/>
      <c r="HA8"/>
      <c r="HC8"/>
      <c r="HE8"/>
      <c r="HG8"/>
      <c r="HI8"/>
      <c r="HK8"/>
      <c r="HM8"/>
      <c r="HO8"/>
      <c r="HQ8"/>
      <c r="HS8"/>
      <c r="HU8"/>
      <c r="HW8"/>
      <c r="HY8"/>
      <c r="IA8"/>
      <c r="IC8"/>
      <c r="IE8"/>
      <c r="IG8"/>
      <c r="II8"/>
      <c r="IK8"/>
      <c r="IM8"/>
      <c r="IO8"/>
      <c r="IQ8"/>
      <c r="IS8"/>
      <c r="IU8"/>
      <c r="IW8"/>
      <c r="IY8"/>
      <c r="JA8"/>
      <c r="JC8"/>
      <c r="JE8"/>
      <c r="JG8"/>
      <c r="JI8"/>
      <c r="JK8"/>
      <c r="JM8"/>
      <c r="JO8"/>
      <c r="JQ8"/>
      <c r="JS8"/>
      <c r="JU8"/>
      <c r="JW8"/>
      <c r="JY8"/>
      <c r="KA8"/>
      <c r="KC8"/>
      <c r="KE8"/>
      <c r="KG8"/>
      <c r="KI8"/>
      <c r="KK8"/>
      <c r="KM8"/>
      <c r="KO8"/>
      <c r="KQ8"/>
      <c r="KS8"/>
      <c r="KU8"/>
      <c r="KW8"/>
      <c r="KY8"/>
      <c r="LA8"/>
      <c r="LC8"/>
      <c r="LE8"/>
      <c r="LG8"/>
      <c r="LI8"/>
      <c r="LK8"/>
      <c r="LM8"/>
      <c r="LO8"/>
      <c r="LQ8"/>
      <c r="LS8"/>
      <c r="LU8"/>
      <c r="LW8"/>
      <c r="LY8"/>
      <c r="MA8"/>
      <c r="MC8"/>
      <c r="ME8"/>
      <c r="MG8"/>
      <c r="MI8"/>
      <c r="MK8"/>
      <c r="MM8"/>
      <c r="MO8"/>
      <c r="MQ8"/>
      <c r="MS8"/>
      <c r="MU8"/>
      <c r="MW8"/>
      <c r="MY8"/>
      <c r="NA8"/>
      <c r="NC8"/>
      <c r="NE8"/>
      <c r="NG8"/>
      <c r="NI8"/>
      <c r="NK8"/>
      <c r="NM8"/>
      <c r="NO8"/>
      <c r="NQ8"/>
      <c r="NS8"/>
      <c r="NU8"/>
      <c r="NW8"/>
      <c r="NY8"/>
      <c r="OA8"/>
      <c r="OC8"/>
      <c r="OE8"/>
      <c r="OG8"/>
      <c r="OI8"/>
      <c r="OK8"/>
      <c r="OM8"/>
      <c r="OO8"/>
      <c r="OQ8"/>
      <c r="OS8"/>
      <c r="OU8"/>
      <c r="OW8"/>
      <c r="OY8"/>
      <c r="PA8"/>
      <c r="PC8"/>
      <c r="PE8"/>
      <c r="PG8"/>
      <c r="PI8"/>
      <c r="PK8"/>
      <c r="PM8"/>
      <c r="PO8"/>
      <c r="PQ8"/>
      <c r="PS8"/>
      <c r="PU8"/>
      <c r="PW8"/>
      <c r="PY8"/>
      <c r="QA8"/>
      <c r="QC8"/>
      <c r="QE8"/>
      <c r="QG8"/>
      <c r="QI8"/>
      <c r="QK8"/>
      <c r="QM8"/>
      <c r="QO8"/>
      <c r="QQ8"/>
      <c r="QS8"/>
      <c r="QU8"/>
      <c r="QW8"/>
      <c r="QY8"/>
      <c r="RA8"/>
      <c r="RC8"/>
      <c r="RE8"/>
      <c r="RG8"/>
      <c r="RI8"/>
      <c r="RK8"/>
      <c r="RM8"/>
      <c r="RO8"/>
      <c r="RQ8"/>
      <c r="RS8"/>
      <c r="RU8"/>
      <c r="RW8"/>
      <c r="RY8"/>
      <c r="SA8"/>
      <c r="SC8"/>
      <c r="SE8"/>
      <c r="SG8"/>
      <c r="SI8"/>
      <c r="SK8"/>
      <c r="SM8"/>
      <c r="SO8"/>
      <c r="SQ8"/>
      <c r="SS8"/>
      <c r="SU8"/>
      <c r="SW8"/>
      <c r="SY8"/>
      <c r="TA8"/>
      <c r="TC8"/>
      <c r="TE8"/>
      <c r="TG8"/>
      <c r="TI8"/>
      <c r="TK8"/>
      <c r="TM8"/>
      <c r="TO8"/>
      <c r="TQ8"/>
      <c r="TS8"/>
      <c r="TU8"/>
      <c r="TW8"/>
      <c r="TY8"/>
      <c r="UA8"/>
      <c r="UC8"/>
      <c r="UE8"/>
      <c r="UG8"/>
      <c r="UI8"/>
      <c r="UK8"/>
      <c r="UM8"/>
      <c r="UO8"/>
      <c r="UQ8"/>
      <c r="US8"/>
      <c r="UU8"/>
      <c r="UW8"/>
      <c r="UY8"/>
      <c r="VA8"/>
      <c r="VC8"/>
      <c r="VE8"/>
      <c r="VG8"/>
      <c r="VI8"/>
      <c r="VK8"/>
      <c r="VM8"/>
      <c r="VO8"/>
      <c r="VQ8"/>
      <c r="VS8"/>
      <c r="VU8"/>
      <c r="VW8"/>
      <c r="VY8"/>
      <c r="WA8"/>
      <c r="WC8"/>
      <c r="WE8"/>
      <c r="WG8"/>
      <c r="WI8"/>
      <c r="WK8"/>
      <c r="WM8"/>
      <c r="WO8"/>
      <c r="WQ8"/>
      <c r="WS8"/>
      <c r="WU8"/>
      <c r="WW8"/>
      <c r="WY8"/>
      <c r="XA8"/>
      <c r="XC8"/>
      <c r="XE8"/>
      <c r="XG8"/>
      <c r="XI8"/>
      <c r="XK8"/>
      <c r="XM8"/>
      <c r="XO8"/>
      <c r="XQ8"/>
      <c r="XS8"/>
      <c r="XU8"/>
      <c r="XW8"/>
      <c r="XY8"/>
      <c r="YA8"/>
      <c r="YC8"/>
      <c r="YE8"/>
      <c r="YG8"/>
      <c r="YI8"/>
      <c r="YK8"/>
      <c r="YM8"/>
      <c r="YO8"/>
      <c r="YQ8"/>
      <c r="YS8"/>
      <c r="YU8"/>
      <c r="YW8"/>
      <c r="YY8"/>
      <c r="ZA8"/>
      <c r="ZC8"/>
      <c r="ZE8"/>
      <c r="ZG8"/>
      <c r="ZI8"/>
      <c r="ZK8"/>
      <c r="ZM8"/>
      <c r="ZO8"/>
      <c r="ZQ8"/>
      <c r="ZS8"/>
      <c r="ZU8"/>
      <c r="ZW8"/>
      <c r="ZY8"/>
      <c r="AAA8"/>
      <c r="AAC8"/>
      <c r="AAE8"/>
      <c r="AAG8"/>
      <c r="AAI8"/>
      <c r="AAK8"/>
      <c r="AAM8"/>
      <c r="AAO8"/>
      <c r="AAQ8"/>
      <c r="AAS8"/>
      <c r="AAU8"/>
      <c r="AAW8"/>
      <c r="AAY8"/>
      <c r="ABA8"/>
      <c r="ABC8"/>
      <c r="ABE8"/>
      <c r="ABG8"/>
      <c r="ABI8"/>
      <c r="ABK8"/>
      <c r="ABM8"/>
      <c r="ABO8"/>
      <c r="ABQ8"/>
      <c r="ABS8"/>
      <c r="ABU8"/>
      <c r="ABW8"/>
      <c r="ABY8"/>
      <c r="ACA8"/>
      <c r="ACC8"/>
      <c r="ACE8"/>
      <c r="ACG8"/>
      <c r="ACI8"/>
      <c r="ACK8"/>
      <c r="ACM8"/>
      <c r="ACO8"/>
      <c r="ACQ8"/>
      <c r="ACS8"/>
      <c r="ACU8"/>
      <c r="ACW8"/>
      <c r="ACY8"/>
      <c r="ADA8"/>
      <c r="ADC8"/>
      <c r="ADE8"/>
      <c r="ADG8"/>
      <c r="ADI8"/>
      <c r="ADK8"/>
      <c r="ADM8"/>
      <c r="ADO8"/>
      <c r="ADQ8"/>
      <c r="ADS8"/>
      <c r="ADU8"/>
      <c r="ADW8"/>
      <c r="ADY8"/>
      <c r="AEA8"/>
      <c r="AEC8"/>
      <c r="AEE8"/>
      <c r="AEG8"/>
      <c r="AEI8"/>
      <c r="AEK8"/>
      <c r="AEM8"/>
      <c r="AEO8"/>
      <c r="AEQ8"/>
      <c r="AES8"/>
      <c r="AEU8"/>
      <c r="AEW8"/>
      <c r="AEY8"/>
      <c r="AFA8"/>
      <c r="AFC8"/>
      <c r="AFE8"/>
      <c r="AFG8"/>
      <c r="AFI8"/>
      <c r="AFK8"/>
      <c r="AFM8"/>
      <c r="AFO8"/>
      <c r="AFQ8"/>
      <c r="AFS8"/>
      <c r="AFU8"/>
      <c r="AFW8"/>
      <c r="AFY8"/>
      <c r="AGA8"/>
      <c r="AGC8"/>
      <c r="AGE8"/>
      <c r="AGG8"/>
      <c r="AGI8"/>
      <c r="AGK8"/>
      <c r="AGM8"/>
      <c r="AGO8"/>
      <c r="AGQ8"/>
      <c r="AGS8"/>
      <c r="AGU8"/>
      <c r="AGW8"/>
      <c r="AGY8"/>
      <c r="AHA8"/>
      <c r="AHC8"/>
      <c r="AHE8"/>
      <c r="AHG8"/>
      <c r="AHI8"/>
      <c r="AHK8"/>
      <c r="AHM8"/>
      <c r="AHO8"/>
      <c r="AHQ8"/>
      <c r="AHS8"/>
      <c r="AHU8"/>
      <c r="AHW8"/>
      <c r="AHY8"/>
      <c r="AIA8"/>
      <c r="AIC8"/>
      <c r="AIE8"/>
      <c r="AIG8"/>
      <c r="AII8"/>
      <c r="AIK8"/>
      <c r="AIM8"/>
      <c r="AIO8"/>
      <c r="AIQ8"/>
      <c r="AIS8"/>
      <c r="AIU8"/>
      <c r="AIW8"/>
      <c r="AIY8"/>
      <c r="AJA8"/>
      <c r="AJC8"/>
      <c r="AJE8"/>
      <c r="AJG8"/>
      <c r="AJI8"/>
      <c r="AJK8"/>
      <c r="AJM8"/>
      <c r="AJO8"/>
      <c r="AJQ8"/>
      <c r="AJS8"/>
      <c r="AJU8"/>
      <c r="AJW8"/>
      <c r="AJY8"/>
      <c r="AKA8"/>
      <c r="AKC8"/>
      <c r="AKE8"/>
      <c r="AKG8"/>
      <c r="AKI8"/>
      <c r="AKK8"/>
      <c r="AKM8"/>
      <c r="AKO8"/>
      <c r="AKQ8"/>
      <c r="AKS8"/>
      <c r="AKU8"/>
      <c r="AKW8"/>
      <c r="AKY8"/>
      <c r="ALA8"/>
      <c r="ALC8"/>
      <c r="ALE8"/>
      <c r="ALG8"/>
      <c r="ALI8"/>
      <c r="ALK8"/>
      <c r="ALM8"/>
      <c r="ALO8"/>
      <c r="ALQ8"/>
      <c r="ALS8"/>
      <c r="ALU8"/>
      <c r="ALW8"/>
      <c r="ALY8"/>
      <c r="AMA8"/>
      <c r="AMC8"/>
      <c r="AME8"/>
      <c r="AMG8"/>
      <c r="AMI8"/>
      <c r="AMK8"/>
      <c r="AMM8"/>
      <c r="AMO8"/>
      <c r="AMQ8"/>
      <c r="AMS8"/>
      <c r="AMU8"/>
      <c r="AMW8"/>
      <c r="AMY8"/>
      <c r="ANA8"/>
      <c r="ANC8"/>
      <c r="ANE8"/>
      <c r="ANG8"/>
      <c r="ANI8"/>
      <c r="ANK8"/>
      <c r="ANM8"/>
      <c r="ANO8"/>
      <c r="ANQ8"/>
      <c r="ANS8"/>
      <c r="ANU8"/>
      <c r="ANW8"/>
      <c r="ANY8"/>
      <c r="AOA8"/>
      <c r="AOC8"/>
      <c r="AOE8"/>
      <c r="AOG8"/>
      <c r="AOI8"/>
      <c r="AOK8"/>
      <c r="AOM8"/>
      <c r="AOO8"/>
      <c r="AOQ8"/>
      <c r="AOS8"/>
      <c r="AOU8"/>
      <c r="AOW8"/>
      <c r="AOY8"/>
      <c r="APA8"/>
      <c r="APC8"/>
      <c r="APE8"/>
      <c r="APG8"/>
      <c r="API8"/>
      <c r="APK8"/>
      <c r="APM8"/>
      <c r="APO8"/>
      <c r="APQ8"/>
      <c r="APS8"/>
      <c r="APU8"/>
      <c r="APW8"/>
      <c r="APY8"/>
      <c r="AQA8"/>
      <c r="AQC8"/>
      <c r="AQE8"/>
      <c r="AQG8"/>
      <c r="AQI8"/>
      <c r="AQK8"/>
      <c r="AQM8"/>
      <c r="AQO8"/>
      <c r="AQQ8"/>
      <c r="AQS8"/>
      <c r="AQU8"/>
      <c r="AQW8"/>
      <c r="AQY8"/>
      <c r="ARA8"/>
      <c r="ARC8"/>
      <c r="ARE8"/>
      <c r="ARG8"/>
      <c r="ARI8"/>
      <c r="ARK8"/>
      <c r="ARM8"/>
      <c r="ARO8"/>
      <c r="ARQ8"/>
      <c r="ARS8"/>
      <c r="ARU8"/>
      <c r="ARW8"/>
      <c r="ARY8"/>
      <c r="ASA8"/>
      <c r="ASC8"/>
      <c r="ASE8"/>
      <c r="ASG8"/>
      <c r="ASI8"/>
      <c r="ASK8"/>
      <c r="ASM8"/>
      <c r="ASO8"/>
      <c r="ASQ8"/>
      <c r="ASS8"/>
      <c r="ASU8"/>
      <c r="ASW8"/>
      <c r="ASY8"/>
      <c r="ATA8"/>
      <c r="ATC8"/>
      <c r="ATE8"/>
      <c r="ATG8"/>
      <c r="ATI8"/>
      <c r="ATK8"/>
      <c r="ATM8"/>
      <c r="ATO8"/>
      <c r="ATQ8"/>
      <c r="ATS8"/>
      <c r="ATU8"/>
      <c r="ATW8"/>
      <c r="ATY8"/>
      <c r="AUA8"/>
      <c r="AUC8"/>
      <c r="AUE8"/>
      <c r="AUG8"/>
      <c r="AUI8"/>
      <c r="AUK8"/>
      <c r="AUM8"/>
      <c r="AUO8"/>
      <c r="AUQ8"/>
      <c r="AUS8"/>
      <c r="AUU8"/>
      <c r="AUW8"/>
      <c r="AUY8"/>
      <c r="AVA8"/>
      <c r="AVC8"/>
      <c r="AVE8"/>
      <c r="AVG8"/>
      <c r="AVI8"/>
      <c r="AVK8"/>
      <c r="AVM8"/>
      <c r="AVO8"/>
      <c r="AVQ8"/>
      <c r="AVS8"/>
      <c r="AVU8"/>
      <c r="AVW8"/>
      <c r="AVY8"/>
      <c r="AWA8"/>
      <c r="AWC8"/>
      <c r="AWE8"/>
      <c r="AWG8"/>
      <c r="AWI8"/>
      <c r="AWK8"/>
      <c r="AWM8"/>
      <c r="AWO8"/>
      <c r="AWQ8"/>
      <c r="AWS8"/>
      <c r="AWU8"/>
      <c r="AWW8"/>
      <c r="AWY8"/>
      <c r="AXA8"/>
      <c r="AXC8"/>
      <c r="AXE8"/>
      <c r="AXG8"/>
      <c r="AXI8"/>
      <c r="AXK8"/>
      <c r="AXM8"/>
      <c r="AXO8"/>
      <c r="AXQ8"/>
      <c r="AXS8"/>
      <c r="AXU8"/>
      <c r="AXW8"/>
      <c r="AXY8"/>
      <c r="AYA8"/>
      <c r="AYC8"/>
      <c r="AYE8"/>
      <c r="AYG8"/>
      <c r="AYI8"/>
      <c r="AYK8"/>
      <c r="AYM8"/>
      <c r="AYO8"/>
      <c r="AYQ8"/>
      <c r="AYS8"/>
      <c r="AYU8"/>
      <c r="AYW8"/>
      <c r="AYY8"/>
      <c r="AZA8"/>
      <c r="AZC8"/>
      <c r="AZE8"/>
      <c r="AZG8"/>
      <c r="AZI8"/>
      <c r="AZK8"/>
      <c r="AZM8"/>
      <c r="AZO8"/>
      <c r="AZQ8"/>
      <c r="AZS8"/>
      <c r="AZU8"/>
      <c r="AZW8"/>
      <c r="AZY8"/>
      <c r="BAA8"/>
      <c r="BAC8"/>
      <c r="BAE8"/>
      <c r="BAG8"/>
      <c r="BAI8"/>
      <c r="BAK8"/>
      <c r="BAM8"/>
      <c r="BAO8"/>
      <c r="BAQ8"/>
      <c r="BAS8"/>
      <c r="BAU8"/>
      <c r="BAW8"/>
      <c r="BAY8"/>
      <c r="BBA8"/>
      <c r="BBC8"/>
      <c r="BBE8"/>
      <c r="BBG8"/>
      <c r="BBI8"/>
      <c r="BBK8"/>
      <c r="BBM8"/>
      <c r="BBO8"/>
      <c r="BBQ8"/>
      <c r="BBS8"/>
      <c r="BBU8"/>
      <c r="BBW8"/>
      <c r="BBY8"/>
      <c r="BCA8"/>
      <c r="BCC8"/>
      <c r="BCE8"/>
      <c r="BCG8"/>
      <c r="BCI8"/>
      <c r="BCK8"/>
      <c r="BCM8"/>
      <c r="BCO8"/>
      <c r="BCQ8"/>
      <c r="BCS8"/>
      <c r="BCU8"/>
      <c r="BCW8"/>
      <c r="BCY8"/>
      <c r="BDA8"/>
      <c r="BDC8"/>
      <c r="BDE8"/>
      <c r="BDG8"/>
      <c r="BDI8"/>
      <c r="BDK8"/>
      <c r="BDM8"/>
      <c r="BDO8"/>
      <c r="BDQ8"/>
      <c r="BDS8"/>
      <c r="BDU8"/>
      <c r="BDW8"/>
      <c r="BDY8"/>
      <c r="BEA8"/>
      <c r="BEC8"/>
      <c r="BEE8"/>
      <c r="BEG8"/>
      <c r="BEI8"/>
      <c r="BEK8"/>
      <c r="BEM8"/>
      <c r="BEO8"/>
      <c r="BEQ8"/>
      <c r="BES8"/>
      <c r="BEU8"/>
      <c r="BEW8"/>
      <c r="BEY8"/>
      <c r="BFA8"/>
      <c r="BFC8"/>
      <c r="BFE8"/>
      <c r="BFG8"/>
      <c r="BFI8"/>
      <c r="BFK8"/>
      <c r="BFM8"/>
      <c r="BFO8"/>
      <c r="BFQ8"/>
      <c r="BFS8"/>
      <c r="BFU8"/>
      <c r="BFW8"/>
      <c r="BFY8"/>
      <c r="BGA8"/>
      <c r="BGC8"/>
      <c r="BGE8"/>
      <c r="BGG8"/>
      <c r="BGI8"/>
      <c r="BGK8"/>
      <c r="BGM8"/>
      <c r="BGO8"/>
      <c r="BGQ8"/>
      <c r="BGS8"/>
      <c r="BGU8"/>
      <c r="BGW8"/>
      <c r="BGY8"/>
      <c r="BHA8"/>
      <c r="BHC8"/>
      <c r="BHE8"/>
      <c r="BHG8"/>
      <c r="BHI8"/>
      <c r="BHK8"/>
      <c r="BHM8"/>
      <c r="BHO8"/>
      <c r="BHQ8"/>
      <c r="BHS8"/>
      <c r="BHU8"/>
      <c r="BHW8"/>
      <c r="BHY8"/>
      <c r="BIA8"/>
      <c r="BIC8"/>
      <c r="BIE8"/>
      <c r="BIG8"/>
      <c r="BII8"/>
      <c r="BIK8"/>
      <c r="BIM8"/>
      <c r="BIO8"/>
      <c r="BIQ8"/>
      <c r="BIS8"/>
      <c r="BIU8"/>
      <c r="BIW8"/>
      <c r="BIY8"/>
      <c r="BJA8"/>
      <c r="BJC8"/>
      <c r="BJE8"/>
      <c r="BJG8"/>
      <c r="BJI8"/>
      <c r="BJK8"/>
      <c r="BJM8"/>
      <c r="BJO8"/>
      <c r="BJQ8"/>
      <c r="BJS8"/>
      <c r="BJU8"/>
      <c r="BJW8"/>
      <c r="BJY8"/>
      <c r="BKA8"/>
      <c r="BKC8"/>
      <c r="BKE8"/>
      <c r="BKG8"/>
      <c r="BKI8"/>
      <c r="BKK8"/>
      <c r="BKM8"/>
      <c r="BKO8"/>
      <c r="BKQ8"/>
      <c r="BKS8"/>
      <c r="BKU8"/>
      <c r="BKW8"/>
      <c r="BKY8"/>
      <c r="BLA8"/>
      <c r="BLC8"/>
      <c r="BLE8"/>
      <c r="BLG8"/>
      <c r="BLI8"/>
      <c r="BLK8"/>
      <c r="BLM8"/>
      <c r="BLO8"/>
      <c r="BLQ8"/>
      <c r="BLS8"/>
      <c r="BLU8"/>
      <c r="BLW8"/>
      <c r="BLY8"/>
      <c r="BMA8"/>
      <c r="BMC8"/>
      <c r="BME8"/>
      <c r="BMG8"/>
      <c r="BMI8"/>
      <c r="BMK8"/>
      <c r="BMM8"/>
      <c r="BMO8"/>
      <c r="BMQ8"/>
      <c r="BMS8"/>
      <c r="BMU8"/>
      <c r="BMW8"/>
      <c r="BMY8"/>
      <c r="BNA8"/>
      <c r="BNC8"/>
      <c r="BNE8"/>
      <c r="BNG8"/>
      <c r="BNI8"/>
      <c r="BNK8"/>
      <c r="BNM8"/>
      <c r="BNO8"/>
      <c r="BNQ8"/>
      <c r="BNS8"/>
      <c r="BNU8"/>
      <c r="BNW8"/>
      <c r="BNY8"/>
      <c r="BOA8"/>
      <c r="BOC8"/>
      <c r="BOE8"/>
      <c r="BOG8"/>
      <c r="BOI8"/>
      <c r="BOK8"/>
      <c r="BOM8"/>
      <c r="BOO8"/>
      <c r="BOQ8"/>
      <c r="BOS8"/>
      <c r="BOU8"/>
      <c r="BOW8"/>
      <c r="BOY8"/>
      <c r="BPA8"/>
      <c r="BPC8"/>
      <c r="BPE8"/>
      <c r="BPG8"/>
      <c r="BPI8"/>
      <c r="BPK8"/>
      <c r="BPM8"/>
      <c r="BPO8"/>
      <c r="BPQ8"/>
      <c r="BPS8"/>
      <c r="BPU8"/>
      <c r="BPW8"/>
      <c r="BPY8"/>
      <c r="BQA8"/>
      <c r="BQC8"/>
      <c r="BQE8"/>
      <c r="BQG8"/>
      <c r="BQI8"/>
      <c r="BQK8"/>
      <c r="BQM8"/>
      <c r="BQO8"/>
      <c r="BQQ8"/>
      <c r="BQS8"/>
      <c r="BQU8"/>
      <c r="BQW8"/>
      <c r="BQY8"/>
      <c r="BRA8"/>
      <c r="BRC8"/>
      <c r="BRE8"/>
      <c r="BRG8"/>
      <c r="BRI8"/>
      <c r="BRK8"/>
      <c r="BRM8"/>
      <c r="BRO8"/>
      <c r="BRQ8"/>
      <c r="BRS8"/>
      <c r="BRU8"/>
      <c r="BRW8"/>
      <c r="BRY8"/>
      <c r="BSA8"/>
      <c r="BSC8"/>
      <c r="BSE8"/>
      <c r="BSG8"/>
      <c r="BSI8"/>
      <c r="BSK8"/>
      <c r="BSM8"/>
      <c r="BSO8"/>
      <c r="BSQ8"/>
      <c r="BSS8"/>
      <c r="BSU8"/>
      <c r="BSW8"/>
      <c r="BSY8"/>
      <c r="BTA8"/>
      <c r="BTC8"/>
      <c r="BTE8"/>
      <c r="BTG8"/>
      <c r="BTI8"/>
      <c r="BTK8"/>
      <c r="BTM8"/>
      <c r="BTO8"/>
      <c r="BTQ8"/>
      <c r="BTS8"/>
      <c r="BTU8"/>
      <c r="BTW8"/>
      <c r="BTY8"/>
      <c r="BUA8"/>
      <c r="BUC8"/>
      <c r="BUE8"/>
      <c r="BUG8"/>
      <c r="BUI8"/>
      <c r="BUK8"/>
      <c r="BUM8"/>
      <c r="BUO8"/>
      <c r="BUQ8"/>
      <c r="BUS8"/>
      <c r="BUU8"/>
      <c r="BUW8"/>
      <c r="BUY8"/>
      <c r="BVA8"/>
      <c r="BVC8"/>
      <c r="BVE8"/>
      <c r="BVG8"/>
      <c r="BVI8"/>
      <c r="BVK8"/>
      <c r="BVM8"/>
      <c r="BVO8"/>
      <c r="BVQ8"/>
      <c r="BVS8"/>
      <c r="BVU8"/>
      <c r="BVW8"/>
      <c r="BVY8"/>
      <c r="BWA8"/>
      <c r="BWC8"/>
      <c r="BWE8"/>
      <c r="BWG8"/>
      <c r="BWI8"/>
      <c r="BWK8"/>
      <c r="BWM8"/>
      <c r="BWO8"/>
      <c r="BWQ8"/>
      <c r="BWS8"/>
      <c r="BWU8"/>
      <c r="BWW8"/>
      <c r="BWY8"/>
      <c r="BXA8"/>
      <c r="BXC8"/>
      <c r="BXE8"/>
      <c r="BXG8"/>
      <c r="BXI8"/>
      <c r="BXK8"/>
      <c r="BXM8"/>
      <c r="BXO8"/>
      <c r="BXQ8"/>
      <c r="BXS8"/>
      <c r="BXU8"/>
      <c r="BXW8"/>
      <c r="BXY8"/>
      <c r="BYA8"/>
      <c r="BYC8"/>
      <c r="BYE8"/>
      <c r="BYG8"/>
      <c r="BYI8"/>
      <c r="BYK8"/>
      <c r="BYM8"/>
      <c r="BYO8"/>
      <c r="BYQ8"/>
      <c r="BYS8"/>
      <c r="BYU8"/>
      <c r="BYW8"/>
      <c r="BYY8"/>
      <c r="BZA8"/>
      <c r="BZC8"/>
      <c r="BZE8"/>
      <c r="BZG8"/>
      <c r="BZI8"/>
      <c r="BZK8"/>
      <c r="BZM8"/>
      <c r="BZO8"/>
      <c r="BZQ8"/>
      <c r="BZS8"/>
      <c r="BZU8"/>
      <c r="BZW8"/>
      <c r="BZY8"/>
      <c r="CAA8"/>
      <c r="CAC8"/>
      <c r="CAE8"/>
      <c r="CAG8"/>
      <c r="CAI8"/>
      <c r="CAK8"/>
      <c r="CAM8"/>
      <c r="CAO8"/>
      <c r="CAQ8"/>
      <c r="CAS8"/>
      <c r="CAU8"/>
      <c r="CAW8"/>
      <c r="CAY8"/>
      <c r="CBA8"/>
      <c r="CBC8"/>
      <c r="CBE8"/>
      <c r="CBG8"/>
      <c r="CBI8"/>
      <c r="CBK8"/>
      <c r="CBM8"/>
      <c r="CBO8"/>
      <c r="CBQ8"/>
      <c r="CBS8"/>
      <c r="CBU8"/>
      <c r="CBW8"/>
      <c r="CBY8"/>
      <c r="CCA8"/>
      <c r="CCC8"/>
      <c r="CCE8"/>
      <c r="CCG8"/>
      <c r="CCI8"/>
      <c r="CCK8"/>
      <c r="CCM8"/>
      <c r="CCO8"/>
      <c r="CCQ8"/>
      <c r="CCS8"/>
      <c r="CCU8"/>
      <c r="CCW8"/>
      <c r="CCY8"/>
      <c r="CDA8"/>
      <c r="CDC8"/>
      <c r="CDE8"/>
      <c r="CDG8"/>
      <c r="CDI8"/>
      <c r="CDK8"/>
      <c r="CDM8"/>
      <c r="CDO8"/>
      <c r="CDQ8"/>
      <c r="CDS8"/>
      <c r="CDU8"/>
      <c r="CDW8"/>
      <c r="CDY8"/>
      <c r="CEA8"/>
      <c r="CEC8"/>
      <c r="CEE8"/>
      <c r="CEG8"/>
      <c r="CEI8"/>
      <c r="CEK8"/>
      <c r="CEM8"/>
      <c r="CEO8"/>
      <c r="CEQ8"/>
      <c r="CES8"/>
      <c r="CEU8"/>
      <c r="CEW8"/>
      <c r="CEY8"/>
      <c r="CFA8"/>
      <c r="CFC8"/>
      <c r="CFE8"/>
      <c r="CFG8"/>
      <c r="CFI8"/>
      <c r="CFK8"/>
      <c r="CFM8"/>
      <c r="CFO8"/>
      <c r="CFQ8"/>
      <c r="CFS8"/>
      <c r="CFU8"/>
      <c r="CFW8"/>
      <c r="CFY8"/>
      <c r="CGA8"/>
      <c r="CGC8"/>
      <c r="CGE8"/>
      <c r="CGG8"/>
      <c r="CGI8"/>
      <c r="CGK8"/>
      <c r="CGM8"/>
      <c r="CGO8"/>
      <c r="CGQ8"/>
      <c r="CGS8"/>
      <c r="CGU8"/>
      <c r="CGW8"/>
      <c r="CGY8"/>
      <c r="CHA8"/>
      <c r="CHC8"/>
      <c r="CHE8"/>
      <c r="CHG8"/>
      <c r="CHI8"/>
      <c r="CHK8"/>
      <c r="CHM8"/>
      <c r="CHO8"/>
      <c r="CHQ8"/>
      <c r="CHS8"/>
      <c r="CHU8"/>
      <c r="CHW8"/>
      <c r="CHY8"/>
      <c r="CIA8"/>
      <c r="CIC8"/>
      <c r="CIE8"/>
      <c r="CIG8"/>
      <c r="CII8"/>
      <c r="CIK8"/>
      <c r="CIM8"/>
      <c r="CIO8"/>
      <c r="CIQ8"/>
      <c r="CIS8"/>
      <c r="CIU8"/>
      <c r="CIW8"/>
      <c r="CIY8"/>
      <c r="CJA8"/>
      <c r="CJC8"/>
      <c r="CJE8"/>
      <c r="CJG8"/>
      <c r="CJI8"/>
      <c r="CJK8"/>
      <c r="CJM8"/>
      <c r="CJO8"/>
      <c r="CJQ8"/>
      <c r="CJS8"/>
      <c r="CJU8"/>
      <c r="CJW8"/>
      <c r="CJY8"/>
      <c r="CKA8"/>
      <c r="CKC8"/>
      <c r="CKE8"/>
      <c r="CKG8"/>
      <c r="CKI8"/>
      <c r="CKK8"/>
      <c r="CKM8"/>
      <c r="CKO8"/>
      <c r="CKQ8"/>
      <c r="CKS8"/>
      <c r="CKU8"/>
      <c r="CKW8"/>
      <c r="CKY8"/>
      <c r="CLA8"/>
      <c r="CLC8"/>
      <c r="CLE8"/>
      <c r="CLG8"/>
      <c r="CLI8"/>
      <c r="CLK8"/>
      <c r="CLM8"/>
      <c r="CLO8"/>
      <c r="CLQ8"/>
      <c r="CLS8"/>
      <c r="CLU8"/>
      <c r="CLW8"/>
      <c r="CLY8"/>
      <c r="CMA8"/>
      <c r="CMC8"/>
      <c r="CME8"/>
      <c r="CMG8"/>
      <c r="CMI8"/>
      <c r="CMK8"/>
      <c r="CMM8"/>
      <c r="CMO8"/>
      <c r="CMQ8"/>
      <c r="CMS8"/>
      <c r="CMU8"/>
      <c r="CMW8"/>
      <c r="CMY8"/>
      <c r="CNA8"/>
      <c r="CNC8"/>
      <c r="CNE8"/>
      <c r="CNG8"/>
      <c r="CNI8"/>
      <c r="CNK8"/>
      <c r="CNM8"/>
      <c r="CNO8"/>
      <c r="CNQ8"/>
      <c r="CNS8"/>
      <c r="CNU8"/>
      <c r="CNW8"/>
      <c r="CNY8"/>
      <c r="COA8"/>
      <c r="COC8"/>
      <c r="COE8"/>
      <c r="COG8"/>
      <c r="COI8"/>
      <c r="COK8"/>
      <c r="COM8"/>
      <c r="COO8"/>
      <c r="COQ8"/>
      <c r="COS8"/>
      <c r="COU8"/>
      <c r="COW8"/>
      <c r="COY8"/>
      <c r="CPA8"/>
      <c r="CPC8"/>
      <c r="CPE8"/>
      <c r="CPG8"/>
      <c r="CPI8"/>
      <c r="CPK8"/>
      <c r="CPM8"/>
      <c r="CPO8"/>
      <c r="CPQ8"/>
      <c r="CPS8"/>
      <c r="CPU8"/>
      <c r="CPW8"/>
      <c r="CPY8"/>
      <c r="CQA8"/>
      <c r="CQC8"/>
      <c r="CQE8"/>
      <c r="CQG8"/>
      <c r="CQI8"/>
      <c r="CQK8"/>
      <c r="CQM8"/>
      <c r="CQO8"/>
      <c r="CQQ8"/>
      <c r="CQS8"/>
      <c r="CQU8"/>
      <c r="CQW8"/>
      <c r="CQY8"/>
      <c r="CRA8"/>
      <c r="CRC8"/>
      <c r="CRE8"/>
      <c r="CRG8"/>
      <c r="CRI8"/>
      <c r="CRK8"/>
      <c r="CRM8"/>
      <c r="CRO8"/>
      <c r="CRQ8"/>
      <c r="CRS8"/>
      <c r="CRU8"/>
      <c r="CRW8"/>
      <c r="CRY8"/>
      <c r="CSA8"/>
      <c r="CSC8"/>
      <c r="CSE8"/>
      <c r="CSG8"/>
      <c r="CSI8"/>
      <c r="CSK8"/>
      <c r="CSM8"/>
      <c r="CSO8"/>
      <c r="CSQ8"/>
      <c r="CSS8"/>
      <c r="CSU8"/>
      <c r="CSW8"/>
      <c r="CSY8"/>
      <c r="CTA8"/>
      <c r="CTC8"/>
      <c r="CTE8"/>
      <c r="CTG8"/>
      <c r="CTI8"/>
      <c r="CTK8"/>
      <c r="CTM8"/>
      <c r="CTO8"/>
      <c r="CTQ8"/>
      <c r="CTS8"/>
      <c r="CTU8"/>
      <c r="CTW8"/>
      <c r="CTY8"/>
      <c r="CUA8"/>
      <c r="CUC8"/>
      <c r="CUE8"/>
      <c r="CUG8"/>
      <c r="CUI8"/>
      <c r="CUK8"/>
      <c r="CUM8"/>
      <c r="CUO8"/>
      <c r="CUQ8"/>
      <c r="CUS8"/>
      <c r="CUU8"/>
      <c r="CUW8"/>
      <c r="CUY8"/>
      <c r="CVA8"/>
      <c r="CVC8"/>
      <c r="CVE8"/>
      <c r="CVG8"/>
      <c r="CVI8"/>
      <c r="CVK8"/>
      <c r="CVM8"/>
      <c r="CVO8"/>
      <c r="CVQ8"/>
      <c r="CVS8"/>
      <c r="CVU8"/>
      <c r="CVW8"/>
      <c r="CVY8"/>
      <c r="CWA8"/>
      <c r="CWC8"/>
      <c r="CWE8"/>
      <c r="CWG8"/>
      <c r="CWI8"/>
      <c r="CWK8"/>
      <c r="CWM8"/>
      <c r="CWO8"/>
      <c r="CWQ8"/>
      <c r="CWS8"/>
      <c r="CWU8"/>
      <c r="CWW8"/>
      <c r="CWY8"/>
      <c r="CXA8"/>
      <c r="CXC8"/>
      <c r="CXE8"/>
      <c r="CXG8"/>
      <c r="CXI8"/>
      <c r="CXK8"/>
      <c r="CXM8"/>
      <c r="CXO8"/>
      <c r="CXQ8"/>
      <c r="CXS8"/>
      <c r="CXU8"/>
      <c r="CXW8"/>
      <c r="CXY8"/>
      <c r="CYA8"/>
      <c r="CYC8"/>
      <c r="CYE8"/>
      <c r="CYG8"/>
      <c r="CYI8"/>
      <c r="CYK8"/>
      <c r="CYM8"/>
      <c r="CYO8"/>
      <c r="CYQ8"/>
      <c r="CYS8"/>
      <c r="CYU8"/>
      <c r="CYW8"/>
      <c r="CYY8"/>
      <c r="CZA8"/>
      <c r="CZC8"/>
      <c r="CZE8"/>
      <c r="CZG8"/>
      <c r="CZI8"/>
      <c r="CZK8"/>
      <c r="CZM8"/>
      <c r="CZO8"/>
      <c r="CZQ8"/>
      <c r="CZS8"/>
      <c r="CZU8"/>
      <c r="CZW8"/>
      <c r="CZY8"/>
      <c r="DAA8"/>
      <c r="DAC8"/>
      <c r="DAE8"/>
      <c r="DAG8"/>
      <c r="DAI8"/>
      <c r="DAK8"/>
      <c r="DAM8"/>
      <c r="DAO8"/>
      <c r="DAQ8"/>
      <c r="DAS8"/>
      <c r="DAU8"/>
      <c r="DAW8"/>
      <c r="DAY8"/>
      <c r="DBA8"/>
      <c r="DBC8"/>
      <c r="DBE8"/>
      <c r="DBG8"/>
      <c r="DBI8"/>
      <c r="DBK8"/>
      <c r="DBM8"/>
      <c r="DBO8"/>
      <c r="DBQ8"/>
      <c r="DBS8"/>
      <c r="DBU8"/>
      <c r="DBW8"/>
      <c r="DBY8"/>
      <c r="DCA8"/>
      <c r="DCC8"/>
      <c r="DCE8"/>
      <c r="DCG8"/>
      <c r="DCI8"/>
      <c r="DCK8"/>
      <c r="DCM8"/>
      <c r="DCO8"/>
      <c r="DCQ8"/>
      <c r="DCS8"/>
      <c r="DCU8"/>
      <c r="DCW8"/>
      <c r="DCY8"/>
      <c r="DDA8"/>
      <c r="DDC8"/>
      <c r="DDE8"/>
      <c r="DDG8"/>
      <c r="DDI8"/>
      <c r="DDK8"/>
      <c r="DDM8"/>
      <c r="DDO8"/>
      <c r="DDQ8"/>
      <c r="DDS8"/>
      <c r="DDU8"/>
      <c r="DDW8"/>
      <c r="DDY8"/>
      <c r="DEA8"/>
      <c r="DEC8"/>
      <c r="DEE8"/>
      <c r="DEG8"/>
      <c r="DEI8"/>
      <c r="DEK8"/>
      <c r="DEM8"/>
      <c r="DEO8"/>
      <c r="DEQ8"/>
      <c r="DES8"/>
      <c r="DEU8"/>
      <c r="DEW8"/>
      <c r="DEY8"/>
      <c r="DFA8"/>
      <c r="DFC8"/>
      <c r="DFE8"/>
      <c r="DFG8"/>
      <c r="DFI8"/>
      <c r="DFK8"/>
      <c r="DFM8"/>
      <c r="DFO8"/>
      <c r="DFQ8"/>
      <c r="DFS8"/>
      <c r="DFU8"/>
      <c r="DFW8"/>
      <c r="DFY8"/>
      <c r="DGA8"/>
      <c r="DGC8"/>
      <c r="DGE8"/>
      <c r="DGG8"/>
      <c r="DGI8"/>
      <c r="DGK8"/>
      <c r="DGM8"/>
      <c r="DGO8"/>
      <c r="DGQ8"/>
      <c r="DGS8"/>
      <c r="DGU8"/>
      <c r="DGW8"/>
      <c r="DGY8"/>
      <c r="DHA8"/>
      <c r="DHC8"/>
      <c r="DHE8"/>
      <c r="DHG8"/>
      <c r="DHI8"/>
      <c r="DHK8"/>
      <c r="DHM8"/>
      <c r="DHO8"/>
      <c r="DHQ8"/>
      <c r="DHS8"/>
      <c r="DHU8"/>
      <c r="DHW8"/>
      <c r="DHY8"/>
      <c r="DIA8"/>
      <c r="DIC8"/>
      <c r="DIE8"/>
      <c r="DIG8"/>
      <c r="DII8"/>
      <c r="DIK8"/>
      <c r="DIM8"/>
      <c r="DIO8"/>
      <c r="DIQ8"/>
      <c r="DIS8"/>
      <c r="DIU8"/>
      <c r="DIW8"/>
      <c r="DIY8"/>
      <c r="DJA8"/>
      <c r="DJC8"/>
      <c r="DJE8"/>
      <c r="DJG8"/>
      <c r="DJI8"/>
      <c r="DJK8"/>
      <c r="DJM8"/>
      <c r="DJO8"/>
      <c r="DJQ8"/>
      <c r="DJS8"/>
      <c r="DJU8"/>
      <c r="DJW8"/>
      <c r="DJY8"/>
      <c r="DKA8"/>
      <c r="DKC8"/>
      <c r="DKE8"/>
      <c r="DKG8"/>
      <c r="DKI8"/>
      <c r="DKK8"/>
      <c r="DKM8"/>
      <c r="DKO8"/>
      <c r="DKQ8"/>
      <c r="DKS8"/>
      <c r="DKU8"/>
      <c r="DKW8"/>
      <c r="DKY8"/>
      <c r="DLA8"/>
      <c r="DLC8"/>
      <c r="DLE8"/>
      <c r="DLG8"/>
      <c r="DLI8"/>
      <c r="DLK8"/>
      <c r="DLM8"/>
      <c r="DLO8"/>
      <c r="DLQ8"/>
      <c r="DLS8"/>
      <c r="DLU8"/>
      <c r="DLW8"/>
      <c r="DLY8"/>
      <c r="DMA8"/>
      <c r="DMC8"/>
      <c r="DME8"/>
      <c r="DMG8"/>
      <c r="DMI8"/>
      <c r="DMK8"/>
      <c r="DMM8"/>
      <c r="DMO8"/>
      <c r="DMQ8"/>
      <c r="DMS8"/>
      <c r="DMU8"/>
      <c r="DMW8"/>
      <c r="DMY8"/>
      <c r="DNA8"/>
      <c r="DNC8"/>
      <c r="DNE8"/>
      <c r="DNG8"/>
      <c r="DNI8"/>
      <c r="DNK8"/>
      <c r="DNM8"/>
      <c r="DNO8"/>
      <c r="DNQ8"/>
      <c r="DNS8"/>
      <c r="DNU8"/>
      <c r="DNW8"/>
      <c r="DNY8"/>
      <c r="DOA8"/>
      <c r="DOC8"/>
      <c r="DOE8"/>
      <c r="DOG8"/>
      <c r="DOI8"/>
      <c r="DOK8"/>
      <c r="DOM8"/>
      <c r="DOO8"/>
      <c r="DOQ8"/>
      <c r="DOS8"/>
      <c r="DOU8"/>
      <c r="DOW8"/>
      <c r="DOY8"/>
      <c r="DPA8"/>
      <c r="DPC8"/>
      <c r="DPE8"/>
      <c r="DPG8"/>
      <c r="DPI8"/>
      <c r="DPK8"/>
      <c r="DPM8"/>
      <c r="DPO8"/>
      <c r="DPQ8"/>
      <c r="DPS8"/>
      <c r="DPU8"/>
      <c r="DPW8"/>
      <c r="DPY8"/>
      <c r="DQA8"/>
      <c r="DQC8"/>
      <c r="DQE8"/>
      <c r="DQG8"/>
      <c r="DQI8"/>
      <c r="DQK8"/>
      <c r="DQM8"/>
      <c r="DQO8"/>
      <c r="DQQ8"/>
      <c r="DQS8"/>
      <c r="DQU8"/>
      <c r="DQW8"/>
      <c r="DQY8"/>
      <c r="DRA8"/>
      <c r="DRC8"/>
      <c r="DRE8"/>
      <c r="DRG8"/>
      <c r="DRI8"/>
      <c r="DRK8"/>
      <c r="DRM8"/>
      <c r="DRO8"/>
      <c r="DRQ8"/>
      <c r="DRS8"/>
      <c r="DRU8"/>
      <c r="DRW8"/>
      <c r="DRY8"/>
      <c r="DSA8"/>
      <c r="DSC8"/>
      <c r="DSE8"/>
      <c r="DSG8"/>
      <c r="DSI8"/>
      <c r="DSK8"/>
      <c r="DSM8"/>
      <c r="DSO8"/>
      <c r="DSQ8"/>
      <c r="DSS8"/>
      <c r="DSU8"/>
      <c r="DSW8"/>
      <c r="DSY8"/>
      <c r="DTA8"/>
      <c r="DTC8"/>
      <c r="DTE8"/>
      <c r="DTG8"/>
      <c r="DTI8"/>
      <c r="DTK8"/>
      <c r="DTM8"/>
      <c r="DTO8"/>
      <c r="DTQ8"/>
      <c r="DTS8"/>
      <c r="DTU8"/>
      <c r="DTW8"/>
      <c r="DTY8"/>
      <c r="DUA8"/>
      <c r="DUC8"/>
      <c r="DUE8"/>
      <c r="DUG8"/>
      <c r="DUI8"/>
      <c r="DUK8"/>
      <c r="DUM8"/>
      <c r="DUO8"/>
      <c r="DUQ8"/>
      <c r="DUS8"/>
      <c r="DUU8"/>
      <c r="DUW8"/>
      <c r="DUY8"/>
      <c r="DVA8"/>
      <c r="DVC8"/>
      <c r="DVE8"/>
      <c r="DVG8"/>
      <c r="DVI8"/>
      <c r="DVK8"/>
      <c r="DVM8"/>
      <c r="DVO8"/>
      <c r="DVQ8"/>
      <c r="DVS8"/>
      <c r="DVU8"/>
      <c r="DVW8"/>
      <c r="DVY8"/>
      <c r="DWA8"/>
      <c r="DWC8"/>
      <c r="DWE8"/>
      <c r="DWG8"/>
      <c r="DWI8"/>
      <c r="DWK8"/>
      <c r="DWM8"/>
      <c r="DWO8"/>
      <c r="DWQ8"/>
      <c r="DWS8"/>
      <c r="DWU8"/>
      <c r="DWW8"/>
      <c r="DWY8"/>
      <c r="DXA8"/>
      <c r="DXC8"/>
      <c r="DXE8"/>
      <c r="DXG8"/>
      <c r="DXI8"/>
      <c r="DXK8"/>
      <c r="DXM8"/>
      <c r="DXO8"/>
      <c r="DXQ8"/>
      <c r="DXS8"/>
      <c r="DXU8"/>
      <c r="DXW8"/>
      <c r="DXY8"/>
      <c r="DYA8"/>
      <c r="DYC8"/>
      <c r="DYE8"/>
      <c r="DYG8"/>
      <c r="DYI8"/>
      <c r="DYK8"/>
      <c r="DYM8"/>
      <c r="DYO8"/>
      <c r="DYQ8"/>
      <c r="DYS8"/>
      <c r="DYU8"/>
      <c r="DYW8"/>
      <c r="DYY8"/>
      <c r="DZA8"/>
      <c r="DZC8"/>
      <c r="DZE8"/>
      <c r="DZG8"/>
      <c r="DZI8"/>
      <c r="DZK8"/>
      <c r="DZM8"/>
      <c r="DZO8"/>
      <c r="DZQ8"/>
      <c r="DZS8"/>
      <c r="DZU8"/>
      <c r="DZW8"/>
      <c r="DZY8"/>
      <c r="EAA8"/>
      <c r="EAC8"/>
      <c r="EAE8"/>
      <c r="EAG8"/>
      <c r="EAI8"/>
      <c r="EAK8"/>
      <c r="EAM8"/>
      <c r="EAO8"/>
      <c r="EAQ8"/>
      <c r="EAS8"/>
      <c r="EAU8"/>
      <c r="EAW8"/>
      <c r="EAY8"/>
      <c r="EBA8"/>
      <c r="EBC8"/>
      <c r="EBE8"/>
      <c r="EBG8"/>
      <c r="EBI8"/>
      <c r="EBK8"/>
      <c r="EBM8"/>
      <c r="EBO8"/>
      <c r="EBQ8"/>
      <c r="EBS8"/>
      <c r="EBU8"/>
      <c r="EBW8"/>
      <c r="EBY8"/>
      <c r="ECA8"/>
      <c r="ECC8"/>
      <c r="ECE8"/>
      <c r="ECG8"/>
      <c r="ECI8"/>
      <c r="ECK8"/>
      <c r="ECM8"/>
      <c r="ECO8"/>
      <c r="ECQ8"/>
      <c r="ECS8"/>
      <c r="ECU8"/>
      <c r="ECW8"/>
      <c r="ECY8"/>
      <c r="EDA8"/>
      <c r="EDC8"/>
      <c r="EDE8"/>
      <c r="EDG8"/>
      <c r="EDI8"/>
      <c r="EDK8"/>
      <c r="EDM8"/>
      <c r="EDO8"/>
      <c r="EDQ8"/>
      <c r="EDS8"/>
      <c r="EDU8"/>
      <c r="EDW8"/>
      <c r="EDY8"/>
      <c r="EEA8"/>
      <c r="EEC8"/>
      <c r="EEE8"/>
      <c r="EEG8"/>
      <c r="EEI8"/>
      <c r="EEK8"/>
      <c r="EEM8"/>
      <c r="EEO8"/>
      <c r="EEQ8"/>
      <c r="EES8"/>
      <c r="EEU8"/>
      <c r="EEW8"/>
      <c r="EEY8"/>
      <c r="EFA8"/>
      <c r="EFC8"/>
      <c r="EFE8"/>
      <c r="EFG8"/>
      <c r="EFI8"/>
      <c r="EFK8"/>
      <c r="EFM8"/>
      <c r="EFO8"/>
      <c r="EFQ8"/>
      <c r="EFS8"/>
      <c r="EFU8"/>
      <c r="EFW8"/>
      <c r="EFY8"/>
      <c r="EGA8"/>
      <c r="EGC8"/>
      <c r="EGE8"/>
      <c r="EGG8"/>
      <c r="EGI8"/>
      <c r="EGK8"/>
      <c r="EGM8"/>
      <c r="EGO8"/>
      <c r="EGQ8"/>
      <c r="EGS8"/>
      <c r="EGU8"/>
      <c r="EGW8"/>
      <c r="EGY8"/>
      <c r="EHA8"/>
      <c r="EHC8"/>
      <c r="EHE8"/>
      <c r="EHG8"/>
      <c r="EHI8"/>
      <c r="EHK8"/>
      <c r="EHM8"/>
      <c r="EHO8"/>
      <c r="EHQ8"/>
      <c r="EHS8"/>
      <c r="EHU8"/>
      <c r="EHW8"/>
      <c r="EHY8"/>
      <c r="EIA8"/>
      <c r="EIC8"/>
      <c r="EIE8"/>
      <c r="EIG8"/>
      <c r="EII8"/>
      <c r="EIK8"/>
      <c r="EIM8"/>
      <c r="EIO8"/>
      <c r="EIQ8"/>
      <c r="EIS8"/>
      <c r="EIU8"/>
      <c r="EIW8"/>
      <c r="EIY8"/>
      <c r="EJA8"/>
      <c r="EJC8"/>
      <c r="EJE8"/>
      <c r="EJG8"/>
      <c r="EJI8"/>
      <c r="EJK8"/>
      <c r="EJM8"/>
      <c r="EJO8"/>
      <c r="EJQ8"/>
      <c r="EJS8"/>
      <c r="EJU8"/>
      <c r="EJW8"/>
      <c r="EJY8"/>
      <c r="EKA8"/>
      <c r="EKC8"/>
      <c r="EKE8"/>
      <c r="EKG8"/>
      <c r="EKI8"/>
      <c r="EKK8"/>
      <c r="EKM8"/>
      <c r="EKO8"/>
      <c r="EKQ8"/>
      <c r="EKS8"/>
      <c r="EKU8"/>
      <c r="EKW8"/>
      <c r="EKY8"/>
      <c r="ELA8"/>
      <c r="ELC8"/>
      <c r="ELE8"/>
      <c r="ELG8"/>
      <c r="ELI8"/>
      <c r="ELK8"/>
      <c r="ELM8"/>
      <c r="ELO8"/>
      <c r="ELQ8"/>
      <c r="ELS8"/>
      <c r="ELU8"/>
      <c r="ELW8"/>
      <c r="ELY8"/>
      <c r="EMA8"/>
      <c r="EMC8"/>
      <c r="EME8"/>
      <c r="EMG8"/>
      <c r="EMI8"/>
      <c r="EMK8"/>
      <c r="EMM8"/>
      <c r="EMO8"/>
      <c r="EMQ8"/>
      <c r="EMS8"/>
      <c r="EMU8"/>
      <c r="EMW8"/>
      <c r="EMY8"/>
      <c r="ENA8"/>
      <c r="ENC8"/>
      <c r="ENE8"/>
      <c r="ENG8"/>
      <c r="ENI8"/>
      <c r="ENK8"/>
      <c r="ENM8"/>
      <c r="ENO8"/>
      <c r="ENQ8"/>
      <c r="ENS8"/>
      <c r="ENU8"/>
      <c r="ENW8"/>
      <c r="ENY8"/>
      <c r="EOA8"/>
      <c r="EOC8"/>
      <c r="EOE8"/>
      <c r="EOG8"/>
      <c r="EOI8"/>
      <c r="EOK8"/>
      <c r="EOM8"/>
      <c r="EOO8"/>
      <c r="EOQ8"/>
      <c r="EOS8"/>
      <c r="EOU8"/>
      <c r="EOW8"/>
      <c r="EOY8"/>
      <c r="EPA8"/>
      <c r="EPC8"/>
      <c r="EPE8"/>
      <c r="EPG8"/>
      <c r="EPI8"/>
      <c r="EPK8"/>
      <c r="EPM8"/>
      <c r="EPO8"/>
      <c r="EPQ8"/>
      <c r="EPS8"/>
      <c r="EPU8"/>
      <c r="EPW8"/>
      <c r="EPY8"/>
      <c r="EQA8"/>
      <c r="EQC8"/>
      <c r="EQE8"/>
      <c r="EQG8"/>
      <c r="EQI8"/>
      <c r="EQK8"/>
      <c r="EQM8"/>
      <c r="EQO8"/>
      <c r="EQQ8"/>
      <c r="EQS8"/>
      <c r="EQU8"/>
      <c r="EQW8"/>
      <c r="EQY8"/>
      <c r="ERA8"/>
      <c r="ERC8"/>
      <c r="ERE8"/>
      <c r="ERG8"/>
      <c r="ERI8"/>
      <c r="ERK8"/>
      <c r="ERM8"/>
      <c r="ERO8"/>
      <c r="ERQ8"/>
      <c r="ERS8"/>
      <c r="ERU8"/>
      <c r="ERW8"/>
      <c r="ERY8"/>
      <c r="ESA8"/>
      <c r="ESC8"/>
      <c r="ESE8"/>
      <c r="ESG8"/>
      <c r="ESI8"/>
      <c r="ESK8"/>
      <c r="ESM8"/>
      <c r="ESO8"/>
      <c r="ESQ8"/>
      <c r="ESS8"/>
      <c r="ESU8"/>
      <c r="ESW8"/>
      <c r="ESY8"/>
      <c r="ETA8"/>
      <c r="ETC8"/>
      <c r="ETE8"/>
      <c r="ETG8"/>
      <c r="ETI8"/>
      <c r="ETK8"/>
      <c r="ETM8"/>
      <c r="ETO8"/>
      <c r="ETQ8"/>
      <c r="ETS8"/>
      <c r="ETU8"/>
      <c r="ETW8"/>
      <c r="ETY8"/>
      <c r="EUA8"/>
      <c r="EUC8"/>
      <c r="EUE8"/>
      <c r="EUG8"/>
      <c r="EUI8"/>
      <c r="EUK8"/>
      <c r="EUM8"/>
      <c r="EUO8"/>
      <c r="EUQ8"/>
      <c r="EUS8"/>
      <c r="EUU8"/>
      <c r="EUW8"/>
      <c r="EUY8"/>
      <c r="EVA8"/>
      <c r="EVC8"/>
      <c r="EVE8"/>
      <c r="EVG8"/>
      <c r="EVI8"/>
      <c r="EVK8"/>
      <c r="EVM8"/>
      <c r="EVO8"/>
      <c r="EVQ8"/>
      <c r="EVS8"/>
      <c r="EVU8"/>
      <c r="EVW8"/>
      <c r="EVY8"/>
      <c r="EWA8"/>
      <c r="EWC8"/>
      <c r="EWE8"/>
      <c r="EWG8"/>
      <c r="EWI8"/>
      <c r="EWK8"/>
      <c r="EWM8"/>
      <c r="EWO8"/>
      <c r="EWQ8"/>
      <c r="EWS8"/>
      <c r="EWU8"/>
      <c r="EWW8"/>
      <c r="EWY8"/>
      <c r="EXA8"/>
      <c r="EXC8"/>
      <c r="EXE8"/>
      <c r="EXG8"/>
      <c r="EXI8"/>
      <c r="EXK8"/>
      <c r="EXM8"/>
      <c r="EXO8"/>
      <c r="EXQ8"/>
      <c r="EXS8"/>
      <c r="EXU8"/>
      <c r="EXW8"/>
      <c r="EXY8"/>
      <c r="EYA8"/>
      <c r="EYC8"/>
      <c r="EYE8"/>
      <c r="EYG8"/>
      <c r="EYI8"/>
      <c r="EYK8"/>
      <c r="EYM8"/>
      <c r="EYO8"/>
      <c r="EYQ8"/>
      <c r="EYS8"/>
      <c r="EYU8"/>
      <c r="EYW8"/>
      <c r="EYY8"/>
      <c r="EZA8"/>
      <c r="EZC8"/>
      <c r="EZE8"/>
      <c r="EZG8"/>
      <c r="EZI8"/>
      <c r="EZK8"/>
      <c r="EZM8"/>
      <c r="EZO8"/>
      <c r="EZQ8"/>
      <c r="EZS8"/>
      <c r="EZU8"/>
      <c r="EZW8"/>
      <c r="EZY8"/>
      <c r="FAA8"/>
      <c r="FAC8"/>
      <c r="FAE8"/>
      <c r="FAG8"/>
      <c r="FAI8"/>
      <c r="FAK8"/>
      <c r="FAM8"/>
      <c r="FAO8"/>
      <c r="FAQ8"/>
      <c r="FAS8"/>
      <c r="FAU8"/>
      <c r="FAW8"/>
      <c r="FAY8"/>
      <c r="FBA8"/>
      <c r="FBC8"/>
      <c r="FBE8"/>
      <c r="FBG8"/>
      <c r="FBI8"/>
      <c r="FBK8"/>
      <c r="FBM8"/>
      <c r="FBO8"/>
      <c r="FBQ8"/>
      <c r="FBS8"/>
      <c r="FBU8"/>
      <c r="FBW8"/>
      <c r="FBY8"/>
      <c r="FCA8"/>
      <c r="FCC8"/>
      <c r="FCE8"/>
      <c r="FCG8"/>
      <c r="FCI8"/>
      <c r="FCK8"/>
      <c r="FCM8"/>
      <c r="FCO8"/>
      <c r="FCQ8"/>
      <c r="FCS8"/>
      <c r="FCU8"/>
      <c r="FCW8"/>
      <c r="FCY8"/>
      <c r="FDA8"/>
      <c r="FDC8"/>
      <c r="FDE8"/>
      <c r="FDG8"/>
      <c r="FDI8"/>
      <c r="FDK8"/>
      <c r="FDM8"/>
      <c r="FDO8"/>
      <c r="FDQ8"/>
      <c r="FDS8"/>
      <c r="FDU8"/>
      <c r="FDW8"/>
      <c r="FDY8"/>
      <c r="FEA8"/>
      <c r="FEC8"/>
      <c r="FEE8"/>
      <c r="FEG8"/>
      <c r="FEI8"/>
      <c r="FEK8"/>
      <c r="FEM8"/>
      <c r="FEO8"/>
      <c r="FEQ8"/>
      <c r="FES8"/>
      <c r="FEU8"/>
      <c r="FEW8"/>
      <c r="FEY8"/>
      <c r="FFA8"/>
      <c r="FFC8"/>
      <c r="FFE8"/>
      <c r="FFG8"/>
      <c r="FFI8"/>
      <c r="FFK8"/>
      <c r="FFM8"/>
      <c r="FFO8"/>
      <c r="FFQ8"/>
      <c r="FFS8"/>
      <c r="FFU8"/>
      <c r="FFW8"/>
      <c r="FFY8"/>
      <c r="FGA8"/>
      <c r="FGC8"/>
      <c r="FGE8"/>
      <c r="FGG8"/>
      <c r="FGI8"/>
      <c r="FGK8"/>
      <c r="FGM8"/>
      <c r="FGO8"/>
      <c r="FGQ8"/>
      <c r="FGS8"/>
      <c r="FGU8"/>
      <c r="FGW8"/>
      <c r="FGY8"/>
      <c r="FHA8"/>
      <c r="FHC8"/>
      <c r="FHE8"/>
      <c r="FHG8"/>
      <c r="FHI8"/>
      <c r="FHK8"/>
      <c r="FHM8"/>
      <c r="FHO8"/>
      <c r="FHQ8"/>
      <c r="FHS8"/>
      <c r="FHU8"/>
      <c r="FHW8"/>
      <c r="FHY8"/>
      <c r="FIA8"/>
      <c r="FIC8"/>
      <c r="FIE8"/>
      <c r="FIG8"/>
      <c r="FII8"/>
      <c r="FIK8"/>
      <c r="FIM8"/>
      <c r="FIO8"/>
      <c r="FIQ8"/>
      <c r="FIS8"/>
      <c r="FIU8"/>
      <c r="FIW8"/>
      <c r="FIY8"/>
      <c r="FJA8"/>
      <c r="FJC8"/>
      <c r="FJE8"/>
      <c r="FJG8"/>
      <c r="FJI8"/>
      <c r="FJK8"/>
      <c r="FJM8"/>
      <c r="FJO8"/>
      <c r="FJQ8"/>
      <c r="FJS8"/>
      <c r="FJU8"/>
      <c r="FJW8"/>
      <c r="FJY8"/>
      <c r="FKA8"/>
      <c r="FKC8"/>
      <c r="FKE8"/>
      <c r="FKG8"/>
      <c r="FKI8"/>
      <c r="FKK8"/>
      <c r="FKM8"/>
      <c r="FKO8"/>
      <c r="FKQ8"/>
      <c r="FKS8"/>
      <c r="FKU8"/>
      <c r="FKW8"/>
      <c r="FKY8"/>
      <c r="FLA8"/>
      <c r="FLC8"/>
      <c r="FLE8"/>
      <c r="FLG8"/>
      <c r="FLI8"/>
      <c r="FLK8"/>
      <c r="FLM8"/>
      <c r="FLO8"/>
      <c r="FLQ8"/>
      <c r="FLS8"/>
      <c r="FLU8"/>
      <c r="FLW8"/>
      <c r="FLY8"/>
      <c r="FMA8"/>
      <c r="FMC8"/>
      <c r="FME8"/>
      <c r="FMG8"/>
      <c r="FMI8"/>
      <c r="FMK8"/>
      <c r="FMM8"/>
      <c r="FMO8"/>
      <c r="FMQ8"/>
      <c r="FMS8"/>
      <c r="FMU8"/>
      <c r="FMW8"/>
      <c r="FMY8"/>
      <c r="FNA8"/>
      <c r="FNC8"/>
      <c r="FNE8"/>
      <c r="FNG8"/>
      <c r="FNI8"/>
      <c r="FNK8"/>
      <c r="FNM8"/>
      <c r="FNO8"/>
      <c r="FNQ8"/>
      <c r="FNS8"/>
      <c r="FNU8"/>
      <c r="FNW8"/>
      <c r="FNY8"/>
      <c r="FOA8"/>
      <c r="FOC8"/>
      <c r="FOE8"/>
      <c r="FOG8"/>
      <c r="FOI8"/>
      <c r="FOK8"/>
      <c r="FOM8"/>
      <c r="FOO8"/>
      <c r="FOQ8"/>
      <c r="FOS8"/>
      <c r="FOU8"/>
      <c r="FOW8"/>
      <c r="FOY8"/>
      <c r="FPA8"/>
      <c r="FPC8"/>
      <c r="FPE8"/>
      <c r="FPG8"/>
      <c r="FPI8"/>
      <c r="FPK8"/>
      <c r="FPM8"/>
      <c r="FPO8"/>
      <c r="FPQ8"/>
      <c r="FPS8"/>
      <c r="FPU8"/>
      <c r="FPW8"/>
      <c r="FPY8"/>
      <c r="FQA8"/>
      <c r="FQC8"/>
      <c r="FQE8"/>
      <c r="FQG8"/>
      <c r="FQI8"/>
      <c r="FQK8"/>
      <c r="FQM8"/>
      <c r="FQO8"/>
      <c r="FQQ8"/>
      <c r="FQS8"/>
      <c r="FQU8"/>
      <c r="FQW8"/>
      <c r="FQY8"/>
      <c r="FRA8"/>
      <c r="FRC8"/>
      <c r="FRE8"/>
      <c r="FRG8"/>
      <c r="FRI8"/>
      <c r="FRK8"/>
      <c r="FRM8"/>
      <c r="FRO8"/>
      <c r="FRQ8"/>
      <c r="FRS8"/>
      <c r="FRU8"/>
      <c r="FRW8"/>
      <c r="FRY8"/>
      <c r="FSA8"/>
      <c r="FSC8"/>
      <c r="FSE8"/>
      <c r="FSG8"/>
      <c r="FSI8"/>
      <c r="FSK8"/>
      <c r="FSM8"/>
      <c r="FSO8"/>
      <c r="FSQ8"/>
      <c r="FSS8"/>
      <c r="FSU8"/>
      <c r="FSW8"/>
      <c r="FSY8"/>
      <c r="FTA8"/>
      <c r="FTC8"/>
      <c r="FTE8"/>
      <c r="FTG8"/>
      <c r="FTI8"/>
      <c r="FTK8"/>
      <c r="FTM8"/>
      <c r="FTO8"/>
      <c r="FTQ8"/>
      <c r="FTS8"/>
      <c r="FTU8"/>
      <c r="FTW8"/>
      <c r="FTY8"/>
      <c r="FUA8"/>
      <c r="FUC8"/>
      <c r="FUE8"/>
      <c r="FUG8"/>
      <c r="FUI8"/>
      <c r="FUK8"/>
      <c r="FUM8"/>
      <c r="FUO8"/>
      <c r="FUQ8"/>
      <c r="FUS8"/>
      <c r="FUU8"/>
      <c r="FUW8"/>
      <c r="FUY8"/>
      <c r="FVA8"/>
      <c r="FVC8"/>
      <c r="FVE8"/>
      <c r="FVG8"/>
      <c r="FVI8"/>
      <c r="FVK8"/>
      <c r="FVM8"/>
      <c r="FVO8"/>
      <c r="FVQ8"/>
      <c r="FVS8"/>
      <c r="FVU8"/>
      <c r="FVW8"/>
      <c r="FVY8"/>
      <c r="FWA8"/>
      <c r="FWC8"/>
      <c r="FWE8"/>
      <c r="FWG8"/>
      <c r="FWI8"/>
      <c r="FWK8"/>
      <c r="FWM8"/>
      <c r="FWO8"/>
      <c r="FWQ8"/>
      <c r="FWS8"/>
      <c r="FWU8"/>
      <c r="FWW8"/>
      <c r="FWY8"/>
      <c r="FXA8"/>
      <c r="FXC8"/>
      <c r="FXE8"/>
      <c r="FXG8"/>
      <c r="FXI8"/>
      <c r="FXK8"/>
      <c r="FXM8"/>
      <c r="FXO8"/>
      <c r="FXQ8"/>
      <c r="FXS8"/>
      <c r="FXU8"/>
      <c r="FXW8"/>
      <c r="FXY8"/>
      <c r="FYA8"/>
      <c r="FYC8"/>
      <c r="FYE8"/>
      <c r="FYG8"/>
      <c r="FYI8"/>
      <c r="FYK8"/>
      <c r="FYM8"/>
      <c r="FYO8"/>
      <c r="FYQ8"/>
      <c r="FYS8"/>
      <c r="FYU8"/>
      <c r="FYW8"/>
      <c r="FYY8"/>
      <c r="FZA8"/>
      <c r="FZC8"/>
      <c r="FZE8"/>
      <c r="FZG8"/>
      <c r="FZI8"/>
      <c r="FZK8"/>
      <c r="FZM8"/>
      <c r="FZO8"/>
      <c r="FZQ8"/>
      <c r="FZS8"/>
      <c r="FZU8"/>
      <c r="FZW8"/>
      <c r="FZY8"/>
      <c r="GAA8"/>
      <c r="GAC8"/>
      <c r="GAE8"/>
      <c r="GAG8"/>
      <c r="GAI8"/>
      <c r="GAK8"/>
      <c r="GAM8"/>
      <c r="GAO8"/>
      <c r="GAQ8"/>
      <c r="GAS8"/>
      <c r="GAU8"/>
      <c r="GAW8"/>
      <c r="GAY8"/>
      <c r="GBA8"/>
      <c r="GBC8"/>
      <c r="GBE8"/>
      <c r="GBG8"/>
      <c r="GBI8"/>
      <c r="GBK8"/>
      <c r="GBM8"/>
      <c r="GBO8"/>
      <c r="GBQ8"/>
      <c r="GBS8"/>
      <c r="GBU8"/>
      <c r="GBW8"/>
      <c r="GBY8"/>
      <c r="GCA8"/>
      <c r="GCC8"/>
      <c r="GCE8"/>
      <c r="GCG8"/>
      <c r="GCI8"/>
      <c r="GCK8"/>
      <c r="GCM8"/>
      <c r="GCO8"/>
      <c r="GCQ8"/>
      <c r="GCS8"/>
      <c r="GCU8"/>
      <c r="GCW8"/>
      <c r="GCY8"/>
      <c r="GDA8"/>
      <c r="GDC8"/>
      <c r="GDE8"/>
      <c r="GDG8"/>
      <c r="GDI8"/>
      <c r="GDK8"/>
      <c r="GDM8"/>
      <c r="GDO8"/>
      <c r="GDQ8"/>
      <c r="GDS8"/>
      <c r="GDU8"/>
      <c r="GDW8"/>
      <c r="GDY8"/>
      <c r="GEA8"/>
      <c r="GEC8"/>
      <c r="GEE8"/>
      <c r="GEG8"/>
      <c r="GEI8"/>
      <c r="GEK8"/>
      <c r="GEM8"/>
      <c r="GEO8"/>
      <c r="GEQ8"/>
      <c r="GES8"/>
      <c r="GEU8"/>
      <c r="GEW8"/>
      <c r="GEY8"/>
      <c r="GFA8"/>
      <c r="GFC8"/>
      <c r="GFE8"/>
      <c r="GFG8"/>
      <c r="GFI8"/>
      <c r="GFK8"/>
      <c r="GFM8"/>
      <c r="GFO8"/>
      <c r="GFQ8"/>
      <c r="GFS8"/>
      <c r="GFU8"/>
      <c r="GFW8"/>
      <c r="GFY8"/>
      <c r="GGA8"/>
      <c r="GGC8"/>
      <c r="GGE8"/>
      <c r="GGG8"/>
      <c r="GGI8"/>
      <c r="GGK8"/>
      <c r="GGM8"/>
      <c r="GGO8"/>
      <c r="GGQ8"/>
      <c r="GGS8"/>
      <c r="GGU8"/>
      <c r="GGW8"/>
      <c r="GGY8"/>
      <c r="GHA8"/>
      <c r="GHC8"/>
      <c r="GHE8"/>
      <c r="GHG8"/>
      <c r="GHI8"/>
      <c r="GHK8"/>
      <c r="GHM8"/>
      <c r="GHO8"/>
      <c r="GHQ8"/>
      <c r="GHS8"/>
      <c r="GHU8"/>
      <c r="GHW8"/>
      <c r="GHY8"/>
      <c r="GIA8"/>
      <c r="GIC8"/>
      <c r="GIE8"/>
      <c r="GIG8"/>
      <c r="GII8"/>
      <c r="GIK8"/>
      <c r="GIM8"/>
      <c r="GIO8"/>
      <c r="GIQ8"/>
      <c r="GIS8"/>
      <c r="GIU8"/>
      <c r="GIW8"/>
      <c r="GIY8"/>
      <c r="GJA8"/>
      <c r="GJC8"/>
      <c r="GJE8"/>
      <c r="GJG8"/>
      <c r="GJI8"/>
      <c r="GJK8"/>
      <c r="GJM8"/>
      <c r="GJO8"/>
      <c r="GJQ8"/>
      <c r="GJS8"/>
      <c r="GJU8"/>
      <c r="GJW8"/>
      <c r="GJY8"/>
      <c r="GKA8"/>
      <c r="GKC8"/>
      <c r="GKE8"/>
      <c r="GKG8"/>
      <c r="GKI8"/>
      <c r="GKK8"/>
      <c r="GKM8"/>
      <c r="GKO8"/>
      <c r="GKQ8"/>
      <c r="GKS8"/>
      <c r="GKU8"/>
      <c r="GKW8"/>
      <c r="GKY8"/>
      <c r="GLA8"/>
      <c r="GLC8"/>
      <c r="GLE8"/>
      <c r="GLG8"/>
      <c r="GLI8"/>
      <c r="GLK8"/>
      <c r="GLM8"/>
      <c r="GLO8"/>
      <c r="GLQ8"/>
      <c r="GLS8"/>
      <c r="GLU8"/>
      <c r="GLW8"/>
      <c r="GLY8"/>
      <c r="GMA8"/>
      <c r="GMC8"/>
      <c r="GME8"/>
      <c r="GMG8"/>
      <c r="GMI8"/>
      <c r="GMK8"/>
      <c r="GMM8"/>
      <c r="GMO8"/>
      <c r="GMQ8"/>
      <c r="GMS8"/>
      <c r="GMU8"/>
      <c r="GMW8"/>
      <c r="GMY8"/>
      <c r="GNA8"/>
      <c r="GNC8"/>
      <c r="GNE8"/>
      <c r="GNG8"/>
      <c r="GNI8"/>
      <c r="GNK8"/>
      <c r="GNM8"/>
      <c r="GNO8"/>
      <c r="GNQ8"/>
      <c r="GNS8"/>
      <c r="GNU8"/>
      <c r="GNW8"/>
      <c r="GNY8"/>
      <c r="GOA8"/>
      <c r="GOC8"/>
      <c r="GOE8"/>
      <c r="GOG8"/>
      <c r="GOI8"/>
      <c r="GOK8"/>
      <c r="GOM8"/>
      <c r="GOO8"/>
      <c r="GOQ8"/>
      <c r="GOS8"/>
      <c r="GOU8"/>
      <c r="GOW8"/>
      <c r="GOY8"/>
      <c r="GPA8"/>
      <c r="GPC8"/>
      <c r="GPE8"/>
      <c r="GPG8"/>
      <c r="GPI8"/>
      <c r="GPK8"/>
      <c r="GPM8"/>
      <c r="GPO8"/>
      <c r="GPQ8"/>
      <c r="GPS8"/>
      <c r="GPU8"/>
      <c r="GPW8"/>
      <c r="GPY8"/>
      <c r="GQA8"/>
      <c r="GQC8"/>
      <c r="GQE8"/>
      <c r="GQG8"/>
      <c r="GQI8"/>
      <c r="GQK8"/>
      <c r="GQM8"/>
      <c r="GQO8"/>
      <c r="GQQ8"/>
      <c r="GQS8"/>
      <c r="GQU8"/>
      <c r="GQW8"/>
      <c r="GQY8"/>
      <c r="GRA8"/>
      <c r="GRC8"/>
      <c r="GRE8"/>
      <c r="GRG8"/>
      <c r="GRI8"/>
      <c r="GRK8"/>
      <c r="GRM8"/>
      <c r="GRO8"/>
      <c r="GRQ8"/>
      <c r="GRS8"/>
      <c r="GRU8"/>
      <c r="GRW8"/>
      <c r="GRY8"/>
      <c r="GSA8"/>
      <c r="GSC8"/>
      <c r="GSE8"/>
      <c r="GSG8"/>
      <c r="GSI8"/>
      <c r="GSK8"/>
      <c r="GSM8"/>
      <c r="GSO8"/>
      <c r="GSQ8"/>
      <c r="GSS8"/>
      <c r="GSU8"/>
      <c r="GSW8"/>
      <c r="GSY8"/>
      <c r="GTA8"/>
      <c r="GTC8"/>
      <c r="GTE8"/>
      <c r="GTG8"/>
      <c r="GTI8"/>
      <c r="GTK8"/>
      <c r="GTM8"/>
      <c r="GTO8"/>
      <c r="GTQ8"/>
      <c r="GTS8"/>
      <c r="GTU8"/>
      <c r="GTW8"/>
      <c r="GTY8"/>
      <c r="GUA8"/>
      <c r="GUC8"/>
      <c r="GUE8"/>
      <c r="GUG8"/>
      <c r="GUI8"/>
      <c r="GUK8"/>
      <c r="GUM8"/>
      <c r="GUO8"/>
      <c r="GUQ8"/>
      <c r="GUS8"/>
      <c r="GUU8"/>
      <c r="GUW8"/>
      <c r="GUY8"/>
      <c r="GVA8"/>
      <c r="GVC8"/>
      <c r="GVE8"/>
      <c r="GVG8"/>
      <c r="GVI8"/>
      <c r="GVK8"/>
      <c r="GVM8"/>
      <c r="GVO8"/>
      <c r="GVQ8"/>
      <c r="GVS8"/>
      <c r="GVU8"/>
      <c r="GVW8"/>
      <c r="GVY8"/>
      <c r="GWA8"/>
      <c r="GWC8"/>
      <c r="GWE8"/>
      <c r="GWG8"/>
      <c r="GWI8"/>
      <c r="GWK8"/>
      <c r="GWM8"/>
      <c r="GWO8"/>
      <c r="GWQ8"/>
      <c r="GWS8"/>
      <c r="GWU8"/>
      <c r="GWW8"/>
      <c r="GWY8"/>
      <c r="GXA8"/>
      <c r="GXC8"/>
      <c r="GXE8"/>
      <c r="GXG8"/>
      <c r="GXI8"/>
      <c r="GXK8"/>
      <c r="GXM8"/>
      <c r="GXO8"/>
      <c r="GXQ8"/>
      <c r="GXS8"/>
      <c r="GXU8"/>
      <c r="GXW8"/>
      <c r="GXY8"/>
      <c r="GYA8"/>
      <c r="GYC8"/>
      <c r="GYE8"/>
      <c r="GYG8"/>
      <c r="GYI8"/>
      <c r="GYK8"/>
      <c r="GYM8"/>
      <c r="GYO8"/>
      <c r="GYQ8"/>
      <c r="GYS8"/>
      <c r="GYU8"/>
      <c r="GYW8"/>
      <c r="GYY8"/>
      <c r="GZA8"/>
      <c r="GZC8"/>
      <c r="GZE8"/>
      <c r="GZG8"/>
      <c r="GZI8"/>
      <c r="GZK8"/>
      <c r="GZM8"/>
      <c r="GZO8"/>
      <c r="GZQ8"/>
      <c r="GZS8"/>
      <c r="GZU8"/>
      <c r="GZW8"/>
      <c r="GZY8"/>
      <c r="HAA8"/>
      <c r="HAC8"/>
      <c r="HAE8"/>
      <c r="HAG8"/>
      <c r="HAI8"/>
      <c r="HAK8"/>
      <c r="HAM8"/>
      <c r="HAO8"/>
      <c r="HAQ8"/>
      <c r="HAS8"/>
      <c r="HAU8"/>
      <c r="HAW8"/>
      <c r="HAY8"/>
      <c r="HBA8"/>
      <c r="HBC8"/>
      <c r="HBE8"/>
      <c r="HBG8"/>
      <c r="HBI8"/>
      <c r="HBK8"/>
      <c r="HBM8"/>
      <c r="HBO8"/>
      <c r="HBQ8"/>
      <c r="HBS8"/>
      <c r="HBU8"/>
      <c r="HBW8"/>
      <c r="HBY8"/>
      <c r="HCA8"/>
      <c r="HCC8"/>
      <c r="HCE8"/>
      <c r="HCG8"/>
      <c r="HCI8"/>
      <c r="HCK8"/>
      <c r="HCM8"/>
      <c r="HCO8"/>
      <c r="HCQ8"/>
      <c r="HCS8"/>
      <c r="HCU8"/>
      <c r="HCW8"/>
      <c r="HCY8"/>
      <c r="HDA8"/>
      <c r="HDC8"/>
      <c r="HDE8"/>
      <c r="HDG8"/>
      <c r="HDI8"/>
      <c r="HDK8"/>
      <c r="HDM8"/>
      <c r="HDO8"/>
      <c r="HDQ8"/>
      <c r="HDS8"/>
      <c r="HDU8"/>
      <c r="HDW8"/>
      <c r="HDY8"/>
      <c r="HEA8"/>
      <c r="HEC8"/>
      <c r="HEE8"/>
      <c r="HEG8"/>
      <c r="HEI8"/>
      <c r="HEK8"/>
      <c r="HEM8"/>
      <c r="HEO8"/>
      <c r="HEQ8"/>
      <c r="HES8"/>
      <c r="HEU8"/>
      <c r="HEW8"/>
      <c r="HEY8"/>
      <c r="HFA8"/>
      <c r="HFC8"/>
      <c r="HFE8"/>
      <c r="HFG8"/>
      <c r="HFI8"/>
      <c r="HFK8"/>
      <c r="HFM8"/>
      <c r="HFO8"/>
      <c r="HFQ8"/>
      <c r="HFS8"/>
      <c r="HFU8"/>
      <c r="HFW8"/>
      <c r="HFY8"/>
      <c r="HGA8"/>
      <c r="HGC8"/>
      <c r="HGE8"/>
      <c r="HGG8"/>
      <c r="HGI8"/>
      <c r="HGK8"/>
      <c r="HGM8"/>
      <c r="HGO8"/>
      <c r="HGQ8"/>
      <c r="HGS8"/>
      <c r="HGU8"/>
      <c r="HGW8"/>
      <c r="HGY8"/>
      <c r="HHA8"/>
      <c r="HHC8"/>
      <c r="HHE8"/>
      <c r="HHG8"/>
      <c r="HHI8"/>
      <c r="HHK8"/>
      <c r="HHM8"/>
      <c r="HHO8"/>
      <c r="HHQ8"/>
      <c r="HHS8"/>
      <c r="HHU8"/>
      <c r="HHW8"/>
      <c r="HHY8"/>
      <c r="HIA8"/>
      <c r="HIC8"/>
      <c r="HIE8"/>
      <c r="HIG8"/>
      <c r="HII8"/>
      <c r="HIK8"/>
      <c r="HIM8"/>
      <c r="HIO8"/>
      <c r="HIQ8"/>
      <c r="HIS8"/>
      <c r="HIU8"/>
      <c r="HIW8"/>
      <c r="HIY8"/>
      <c r="HJA8"/>
      <c r="HJC8"/>
      <c r="HJE8"/>
      <c r="HJG8"/>
      <c r="HJI8"/>
      <c r="HJK8"/>
      <c r="HJM8"/>
      <c r="HJO8"/>
      <c r="HJQ8"/>
      <c r="HJS8"/>
      <c r="HJU8"/>
      <c r="HJW8"/>
      <c r="HJY8"/>
      <c r="HKA8"/>
      <c r="HKC8"/>
      <c r="HKE8"/>
      <c r="HKG8"/>
      <c r="HKI8"/>
      <c r="HKK8"/>
      <c r="HKM8"/>
      <c r="HKO8"/>
      <c r="HKQ8"/>
      <c r="HKS8"/>
      <c r="HKU8"/>
      <c r="HKW8"/>
      <c r="HKY8"/>
      <c r="HLA8"/>
      <c r="HLC8"/>
      <c r="HLE8"/>
      <c r="HLG8"/>
      <c r="HLI8"/>
      <c r="HLK8"/>
      <c r="HLM8"/>
      <c r="HLO8"/>
      <c r="HLQ8"/>
      <c r="HLS8"/>
      <c r="HLU8"/>
      <c r="HLW8"/>
      <c r="HLY8"/>
      <c r="HMA8"/>
      <c r="HMC8"/>
      <c r="HME8"/>
      <c r="HMG8"/>
      <c r="HMI8"/>
      <c r="HMK8"/>
      <c r="HMM8"/>
      <c r="HMO8"/>
      <c r="HMQ8"/>
      <c r="HMS8"/>
      <c r="HMU8"/>
      <c r="HMW8"/>
      <c r="HMY8"/>
      <c r="HNA8"/>
      <c r="HNC8"/>
      <c r="HNE8"/>
      <c r="HNG8"/>
      <c r="HNI8"/>
      <c r="HNK8"/>
      <c r="HNM8"/>
      <c r="HNO8"/>
      <c r="HNQ8"/>
      <c r="HNS8"/>
      <c r="HNU8"/>
      <c r="HNW8"/>
      <c r="HNY8"/>
      <c r="HOA8"/>
      <c r="HOC8"/>
      <c r="HOE8"/>
      <c r="HOG8"/>
      <c r="HOI8"/>
      <c r="HOK8"/>
      <c r="HOM8"/>
      <c r="HOO8"/>
      <c r="HOQ8"/>
      <c r="HOS8"/>
      <c r="HOU8"/>
      <c r="HOW8"/>
      <c r="HOY8"/>
      <c r="HPA8"/>
      <c r="HPC8"/>
      <c r="HPE8"/>
      <c r="HPG8"/>
      <c r="HPI8"/>
      <c r="HPK8"/>
      <c r="HPM8"/>
      <c r="HPO8"/>
      <c r="HPQ8"/>
      <c r="HPS8"/>
      <c r="HPU8"/>
      <c r="HPW8"/>
      <c r="HPY8"/>
      <c r="HQA8"/>
      <c r="HQC8"/>
      <c r="HQE8"/>
      <c r="HQG8"/>
      <c r="HQI8"/>
      <c r="HQK8"/>
      <c r="HQM8"/>
      <c r="HQO8"/>
      <c r="HQQ8"/>
      <c r="HQS8"/>
      <c r="HQU8"/>
      <c r="HQW8"/>
      <c r="HQY8"/>
      <c r="HRA8"/>
      <c r="HRC8"/>
      <c r="HRE8"/>
      <c r="HRG8"/>
      <c r="HRI8"/>
      <c r="HRK8"/>
      <c r="HRM8"/>
      <c r="HRO8"/>
      <c r="HRQ8"/>
      <c r="HRS8"/>
      <c r="HRU8"/>
      <c r="HRW8"/>
      <c r="HRY8"/>
      <c r="HSA8"/>
      <c r="HSC8"/>
      <c r="HSE8"/>
      <c r="HSG8"/>
      <c r="HSI8"/>
      <c r="HSK8"/>
      <c r="HSM8"/>
      <c r="HSO8"/>
      <c r="HSQ8"/>
      <c r="HSS8"/>
      <c r="HSU8"/>
      <c r="HSW8"/>
      <c r="HSY8"/>
      <c r="HTA8"/>
      <c r="HTC8"/>
      <c r="HTE8"/>
      <c r="HTG8"/>
      <c r="HTI8"/>
      <c r="HTK8"/>
      <c r="HTM8"/>
      <c r="HTO8"/>
      <c r="HTQ8"/>
      <c r="HTS8"/>
      <c r="HTU8"/>
      <c r="HTW8"/>
      <c r="HTY8"/>
      <c r="HUA8"/>
      <c r="HUC8"/>
      <c r="HUE8"/>
      <c r="HUG8"/>
      <c r="HUI8"/>
      <c r="HUK8"/>
      <c r="HUM8"/>
      <c r="HUO8"/>
      <c r="HUQ8"/>
      <c r="HUS8"/>
      <c r="HUU8"/>
      <c r="HUW8"/>
      <c r="HUY8"/>
      <c r="HVA8"/>
      <c r="HVC8"/>
      <c r="HVE8"/>
      <c r="HVG8"/>
      <c r="HVI8"/>
      <c r="HVK8"/>
      <c r="HVM8"/>
      <c r="HVO8"/>
      <c r="HVQ8"/>
      <c r="HVS8"/>
      <c r="HVU8"/>
      <c r="HVW8"/>
      <c r="HVY8"/>
      <c r="HWA8"/>
      <c r="HWC8"/>
      <c r="HWE8"/>
      <c r="HWG8"/>
      <c r="HWI8"/>
      <c r="HWK8"/>
      <c r="HWM8"/>
      <c r="HWO8"/>
      <c r="HWQ8"/>
      <c r="HWS8"/>
      <c r="HWU8"/>
      <c r="HWW8"/>
      <c r="HWY8"/>
      <c r="HXA8"/>
      <c r="HXC8"/>
      <c r="HXE8"/>
      <c r="HXG8"/>
      <c r="HXI8"/>
      <c r="HXK8"/>
      <c r="HXM8"/>
      <c r="HXO8"/>
      <c r="HXQ8"/>
      <c r="HXS8"/>
      <c r="HXU8"/>
      <c r="HXW8"/>
      <c r="HXY8"/>
      <c r="HYA8"/>
      <c r="HYC8"/>
      <c r="HYE8"/>
      <c r="HYG8"/>
      <c r="HYI8"/>
      <c r="HYK8"/>
      <c r="HYM8"/>
      <c r="HYO8"/>
      <c r="HYQ8"/>
      <c r="HYS8"/>
      <c r="HYU8"/>
      <c r="HYW8"/>
      <c r="HYY8"/>
      <c r="HZA8"/>
      <c r="HZC8"/>
      <c r="HZE8"/>
      <c r="HZG8"/>
      <c r="HZI8"/>
      <c r="HZK8"/>
      <c r="HZM8"/>
      <c r="HZO8"/>
      <c r="HZQ8"/>
      <c r="HZS8"/>
      <c r="HZU8"/>
      <c r="HZW8"/>
      <c r="HZY8"/>
      <c r="IAA8"/>
      <c r="IAC8"/>
      <c r="IAE8"/>
      <c r="IAG8"/>
      <c r="IAI8"/>
      <c r="IAK8"/>
      <c r="IAM8"/>
      <c r="IAO8"/>
      <c r="IAQ8"/>
      <c r="IAS8"/>
      <c r="IAU8"/>
      <c r="IAW8"/>
      <c r="IAY8"/>
      <c r="IBA8"/>
      <c r="IBC8"/>
      <c r="IBE8"/>
      <c r="IBG8"/>
      <c r="IBI8"/>
      <c r="IBK8"/>
      <c r="IBM8"/>
      <c r="IBO8"/>
      <c r="IBQ8"/>
      <c r="IBS8"/>
      <c r="IBU8"/>
      <c r="IBW8"/>
      <c r="IBY8"/>
      <c r="ICA8"/>
      <c r="ICC8"/>
      <c r="ICE8"/>
      <c r="ICG8"/>
      <c r="ICI8"/>
      <c r="ICK8"/>
      <c r="ICM8"/>
      <c r="ICO8"/>
      <c r="ICQ8"/>
      <c r="ICS8"/>
      <c r="ICU8"/>
      <c r="ICW8"/>
      <c r="ICY8"/>
      <c r="IDA8"/>
      <c r="IDC8"/>
      <c r="IDE8"/>
      <c r="IDG8"/>
      <c r="IDI8"/>
      <c r="IDK8"/>
      <c r="IDM8"/>
      <c r="IDO8"/>
      <c r="IDQ8"/>
      <c r="IDS8"/>
      <c r="IDU8"/>
      <c r="IDW8"/>
      <c r="IDY8"/>
      <c r="IEA8"/>
      <c r="IEC8"/>
      <c r="IEE8"/>
      <c r="IEG8"/>
      <c r="IEI8"/>
      <c r="IEK8"/>
      <c r="IEM8"/>
      <c r="IEO8"/>
      <c r="IEQ8"/>
      <c r="IES8"/>
      <c r="IEU8"/>
      <c r="IEW8"/>
      <c r="IEY8"/>
      <c r="IFA8"/>
      <c r="IFC8"/>
      <c r="IFE8"/>
      <c r="IFG8"/>
      <c r="IFI8"/>
      <c r="IFK8"/>
      <c r="IFM8"/>
      <c r="IFO8"/>
      <c r="IFQ8"/>
      <c r="IFS8"/>
      <c r="IFU8"/>
      <c r="IFW8"/>
      <c r="IFY8"/>
      <c r="IGA8"/>
      <c r="IGC8"/>
      <c r="IGE8"/>
      <c r="IGG8"/>
      <c r="IGI8"/>
      <c r="IGK8"/>
      <c r="IGM8"/>
      <c r="IGO8"/>
      <c r="IGQ8"/>
      <c r="IGS8"/>
      <c r="IGU8"/>
      <c r="IGW8"/>
      <c r="IGY8"/>
      <c r="IHA8"/>
      <c r="IHC8"/>
      <c r="IHE8"/>
      <c r="IHG8"/>
      <c r="IHI8"/>
      <c r="IHK8"/>
      <c r="IHM8"/>
      <c r="IHO8"/>
      <c r="IHQ8"/>
      <c r="IHS8"/>
      <c r="IHU8"/>
      <c r="IHW8"/>
      <c r="IHY8"/>
      <c r="IIA8"/>
      <c r="IIC8"/>
      <c r="IIE8"/>
      <c r="IIG8"/>
      <c r="III8"/>
      <c r="IIK8"/>
      <c r="IIM8"/>
      <c r="IIO8"/>
      <c r="IIQ8"/>
      <c r="IIS8"/>
      <c r="IIU8"/>
      <c r="IIW8"/>
      <c r="IIY8"/>
      <c r="IJA8"/>
      <c r="IJC8"/>
      <c r="IJE8"/>
      <c r="IJG8"/>
      <c r="IJI8"/>
      <c r="IJK8"/>
      <c r="IJM8"/>
      <c r="IJO8"/>
      <c r="IJQ8"/>
      <c r="IJS8"/>
      <c r="IJU8"/>
      <c r="IJW8"/>
      <c r="IJY8"/>
      <c r="IKA8"/>
      <c r="IKC8"/>
      <c r="IKE8"/>
      <c r="IKG8"/>
      <c r="IKI8"/>
      <c r="IKK8"/>
      <c r="IKM8"/>
      <c r="IKO8"/>
      <c r="IKQ8"/>
      <c r="IKS8"/>
      <c r="IKU8"/>
      <c r="IKW8"/>
      <c r="IKY8"/>
      <c r="ILA8"/>
      <c r="ILC8"/>
      <c r="ILE8"/>
      <c r="ILG8"/>
      <c r="ILI8"/>
      <c r="ILK8"/>
      <c r="ILM8"/>
      <c r="ILO8"/>
      <c r="ILQ8"/>
      <c r="ILS8"/>
      <c r="ILU8"/>
      <c r="ILW8"/>
      <c r="ILY8"/>
      <c r="IMA8"/>
      <c r="IMC8"/>
      <c r="IME8"/>
      <c r="IMG8"/>
      <c r="IMI8"/>
      <c r="IMK8"/>
      <c r="IMM8"/>
      <c r="IMO8"/>
      <c r="IMQ8"/>
      <c r="IMS8"/>
      <c r="IMU8"/>
      <c r="IMW8"/>
      <c r="IMY8"/>
      <c r="INA8"/>
      <c r="INC8"/>
      <c r="INE8"/>
      <c r="ING8"/>
      <c r="INI8"/>
      <c r="INK8"/>
      <c r="INM8"/>
      <c r="INO8"/>
      <c r="INQ8"/>
      <c r="INS8"/>
      <c r="INU8"/>
      <c r="INW8"/>
      <c r="INY8"/>
      <c r="IOA8"/>
      <c r="IOC8"/>
      <c r="IOE8"/>
      <c r="IOG8"/>
      <c r="IOI8"/>
      <c r="IOK8"/>
      <c r="IOM8"/>
      <c r="IOO8"/>
      <c r="IOQ8"/>
      <c r="IOS8"/>
      <c r="IOU8"/>
      <c r="IOW8"/>
      <c r="IOY8"/>
      <c r="IPA8"/>
      <c r="IPC8"/>
      <c r="IPE8"/>
      <c r="IPG8"/>
      <c r="IPI8"/>
      <c r="IPK8"/>
      <c r="IPM8"/>
      <c r="IPO8"/>
      <c r="IPQ8"/>
      <c r="IPS8"/>
      <c r="IPU8"/>
      <c r="IPW8"/>
      <c r="IPY8"/>
      <c r="IQA8"/>
      <c r="IQC8"/>
      <c r="IQE8"/>
      <c r="IQG8"/>
      <c r="IQI8"/>
      <c r="IQK8"/>
      <c r="IQM8"/>
      <c r="IQO8"/>
      <c r="IQQ8"/>
      <c r="IQS8"/>
      <c r="IQU8"/>
      <c r="IQW8"/>
      <c r="IQY8"/>
      <c r="IRA8"/>
      <c r="IRC8"/>
      <c r="IRE8"/>
      <c r="IRG8"/>
      <c r="IRI8"/>
      <c r="IRK8"/>
      <c r="IRM8"/>
      <c r="IRO8"/>
      <c r="IRQ8"/>
      <c r="IRS8"/>
      <c r="IRU8"/>
      <c r="IRW8"/>
      <c r="IRY8"/>
      <c r="ISA8"/>
      <c r="ISC8"/>
      <c r="ISE8"/>
      <c r="ISG8"/>
      <c r="ISI8"/>
      <c r="ISK8"/>
      <c r="ISM8"/>
      <c r="ISO8"/>
      <c r="ISQ8"/>
      <c r="ISS8"/>
      <c r="ISU8"/>
      <c r="ISW8"/>
      <c r="ISY8"/>
      <c r="ITA8"/>
      <c r="ITC8"/>
      <c r="ITE8"/>
      <c r="ITG8"/>
      <c r="ITI8"/>
      <c r="ITK8"/>
      <c r="ITM8"/>
      <c r="ITO8"/>
      <c r="ITQ8"/>
      <c r="ITS8"/>
      <c r="ITU8"/>
      <c r="ITW8"/>
      <c r="ITY8"/>
      <c r="IUA8"/>
      <c r="IUC8"/>
      <c r="IUE8"/>
      <c r="IUG8"/>
      <c r="IUI8"/>
      <c r="IUK8"/>
      <c r="IUM8"/>
      <c r="IUO8"/>
      <c r="IUQ8"/>
      <c r="IUS8"/>
      <c r="IUU8"/>
      <c r="IUW8"/>
      <c r="IUY8"/>
      <c r="IVA8"/>
      <c r="IVC8"/>
      <c r="IVE8"/>
      <c r="IVG8"/>
      <c r="IVI8"/>
      <c r="IVK8"/>
      <c r="IVM8"/>
      <c r="IVO8"/>
      <c r="IVQ8"/>
      <c r="IVS8"/>
      <c r="IVU8"/>
      <c r="IVW8"/>
      <c r="IVY8"/>
      <c r="IWA8"/>
      <c r="IWC8"/>
      <c r="IWE8"/>
      <c r="IWG8"/>
      <c r="IWI8"/>
      <c r="IWK8"/>
      <c r="IWM8"/>
      <c r="IWO8"/>
      <c r="IWQ8"/>
      <c r="IWS8"/>
      <c r="IWU8"/>
      <c r="IWW8"/>
      <c r="IWY8"/>
      <c r="IXA8"/>
      <c r="IXC8"/>
      <c r="IXE8"/>
      <c r="IXG8"/>
      <c r="IXI8"/>
      <c r="IXK8"/>
      <c r="IXM8"/>
      <c r="IXO8"/>
      <c r="IXQ8"/>
      <c r="IXS8"/>
      <c r="IXU8"/>
      <c r="IXW8"/>
      <c r="IXY8"/>
      <c r="IYA8"/>
      <c r="IYC8"/>
      <c r="IYE8"/>
      <c r="IYG8"/>
      <c r="IYI8"/>
      <c r="IYK8"/>
      <c r="IYM8"/>
      <c r="IYO8"/>
      <c r="IYQ8"/>
      <c r="IYS8"/>
      <c r="IYU8"/>
      <c r="IYW8"/>
      <c r="IYY8"/>
      <c r="IZA8"/>
      <c r="IZC8"/>
      <c r="IZE8"/>
      <c r="IZG8"/>
      <c r="IZI8"/>
      <c r="IZK8"/>
      <c r="IZM8"/>
      <c r="IZO8"/>
      <c r="IZQ8"/>
      <c r="IZS8"/>
      <c r="IZU8"/>
      <c r="IZW8"/>
      <c r="IZY8"/>
      <c r="JAA8"/>
      <c r="JAC8"/>
      <c r="JAE8"/>
      <c r="JAG8"/>
      <c r="JAI8"/>
      <c r="JAK8"/>
      <c r="JAM8"/>
      <c r="JAO8"/>
      <c r="JAQ8"/>
      <c r="JAS8"/>
      <c r="JAU8"/>
      <c r="JAW8"/>
      <c r="JAY8"/>
      <c r="JBA8"/>
      <c r="JBC8"/>
      <c r="JBE8"/>
      <c r="JBG8"/>
      <c r="JBI8"/>
      <c r="JBK8"/>
      <c r="JBM8"/>
      <c r="JBO8"/>
      <c r="JBQ8"/>
      <c r="JBS8"/>
      <c r="JBU8"/>
      <c r="JBW8"/>
      <c r="JBY8"/>
      <c r="JCA8"/>
      <c r="JCC8"/>
      <c r="JCE8"/>
      <c r="JCG8"/>
      <c r="JCI8"/>
      <c r="JCK8"/>
      <c r="JCM8"/>
      <c r="JCO8"/>
      <c r="JCQ8"/>
      <c r="JCS8"/>
      <c r="JCU8"/>
      <c r="JCW8"/>
      <c r="JCY8"/>
      <c r="JDA8"/>
      <c r="JDC8"/>
      <c r="JDE8"/>
      <c r="JDG8"/>
      <c r="JDI8"/>
      <c r="JDK8"/>
      <c r="JDM8"/>
      <c r="JDO8"/>
      <c r="JDQ8"/>
      <c r="JDS8"/>
      <c r="JDU8"/>
      <c r="JDW8"/>
      <c r="JDY8"/>
      <c r="JEA8"/>
      <c r="JEC8"/>
      <c r="JEE8"/>
      <c r="JEG8"/>
      <c r="JEI8"/>
      <c r="JEK8"/>
      <c r="JEM8"/>
      <c r="JEO8"/>
      <c r="JEQ8"/>
      <c r="JES8"/>
      <c r="JEU8"/>
      <c r="JEW8"/>
      <c r="JEY8"/>
      <c r="JFA8"/>
      <c r="JFC8"/>
      <c r="JFE8"/>
      <c r="JFG8"/>
      <c r="JFI8"/>
      <c r="JFK8"/>
      <c r="JFM8"/>
      <c r="JFO8"/>
      <c r="JFQ8"/>
      <c r="JFS8"/>
      <c r="JFU8"/>
      <c r="JFW8"/>
      <c r="JFY8"/>
      <c r="JGA8"/>
      <c r="JGC8"/>
      <c r="JGE8"/>
      <c r="JGG8"/>
      <c r="JGI8"/>
      <c r="JGK8"/>
      <c r="JGM8"/>
      <c r="JGO8"/>
      <c r="JGQ8"/>
      <c r="JGS8"/>
      <c r="JGU8"/>
      <c r="JGW8"/>
      <c r="JGY8"/>
      <c r="JHA8"/>
      <c r="JHC8"/>
      <c r="JHE8"/>
      <c r="JHG8"/>
      <c r="JHI8"/>
      <c r="JHK8"/>
      <c r="JHM8"/>
      <c r="JHO8"/>
      <c r="JHQ8"/>
      <c r="JHS8"/>
      <c r="JHU8"/>
      <c r="JHW8"/>
      <c r="JHY8"/>
      <c r="JIA8"/>
      <c r="JIC8"/>
      <c r="JIE8"/>
      <c r="JIG8"/>
      <c r="JII8"/>
      <c r="JIK8"/>
      <c r="JIM8"/>
      <c r="JIO8"/>
      <c r="JIQ8"/>
      <c r="JIS8"/>
      <c r="JIU8"/>
      <c r="JIW8"/>
      <c r="JIY8"/>
      <c r="JJA8"/>
      <c r="JJC8"/>
      <c r="JJE8"/>
      <c r="JJG8"/>
      <c r="JJI8"/>
      <c r="JJK8"/>
      <c r="JJM8"/>
      <c r="JJO8"/>
      <c r="JJQ8"/>
      <c r="JJS8"/>
      <c r="JJU8"/>
      <c r="JJW8"/>
      <c r="JJY8"/>
      <c r="JKA8"/>
      <c r="JKC8"/>
      <c r="JKE8"/>
      <c r="JKG8"/>
      <c r="JKI8"/>
      <c r="JKK8"/>
      <c r="JKM8"/>
      <c r="JKO8"/>
      <c r="JKQ8"/>
      <c r="JKS8"/>
      <c r="JKU8"/>
      <c r="JKW8"/>
      <c r="JKY8"/>
      <c r="JLA8"/>
      <c r="JLC8"/>
      <c r="JLE8"/>
      <c r="JLG8"/>
      <c r="JLI8"/>
      <c r="JLK8"/>
      <c r="JLM8"/>
      <c r="JLO8"/>
      <c r="JLQ8"/>
      <c r="JLS8"/>
      <c r="JLU8"/>
      <c r="JLW8"/>
      <c r="JLY8"/>
      <c r="JMA8"/>
      <c r="JMC8"/>
      <c r="JME8"/>
      <c r="JMG8"/>
      <c r="JMI8"/>
      <c r="JMK8"/>
      <c r="JMM8"/>
      <c r="JMO8"/>
      <c r="JMQ8"/>
      <c r="JMS8"/>
      <c r="JMU8"/>
      <c r="JMW8"/>
      <c r="JMY8"/>
      <c r="JNA8"/>
      <c r="JNC8"/>
      <c r="JNE8"/>
      <c r="JNG8"/>
      <c r="JNI8"/>
      <c r="JNK8"/>
      <c r="JNM8"/>
      <c r="JNO8"/>
      <c r="JNQ8"/>
      <c r="JNS8"/>
      <c r="JNU8"/>
      <c r="JNW8"/>
      <c r="JNY8"/>
      <c r="JOA8"/>
      <c r="JOC8"/>
      <c r="JOE8"/>
      <c r="JOG8"/>
      <c r="JOI8"/>
      <c r="JOK8"/>
      <c r="JOM8"/>
      <c r="JOO8"/>
      <c r="JOQ8"/>
      <c r="JOS8"/>
      <c r="JOU8"/>
      <c r="JOW8"/>
      <c r="JOY8"/>
      <c r="JPA8"/>
      <c r="JPC8"/>
      <c r="JPE8"/>
      <c r="JPG8"/>
      <c r="JPI8"/>
      <c r="JPK8"/>
      <c r="JPM8"/>
      <c r="JPO8"/>
      <c r="JPQ8"/>
      <c r="JPS8"/>
      <c r="JPU8"/>
      <c r="JPW8"/>
      <c r="JPY8"/>
      <c r="JQA8"/>
      <c r="JQC8"/>
      <c r="JQE8"/>
      <c r="JQG8"/>
      <c r="JQI8"/>
      <c r="JQK8"/>
      <c r="JQM8"/>
      <c r="JQO8"/>
      <c r="JQQ8"/>
      <c r="JQS8"/>
      <c r="JQU8"/>
      <c r="JQW8"/>
      <c r="JQY8"/>
      <c r="JRA8"/>
      <c r="JRC8"/>
      <c r="JRE8"/>
      <c r="JRG8"/>
      <c r="JRI8"/>
      <c r="JRK8"/>
      <c r="JRM8"/>
      <c r="JRO8"/>
      <c r="JRQ8"/>
      <c r="JRS8"/>
      <c r="JRU8"/>
      <c r="JRW8"/>
      <c r="JRY8"/>
      <c r="JSA8"/>
      <c r="JSC8"/>
      <c r="JSE8"/>
      <c r="JSG8"/>
      <c r="JSI8"/>
      <c r="JSK8"/>
      <c r="JSM8"/>
      <c r="JSO8"/>
      <c r="JSQ8"/>
      <c r="JSS8"/>
      <c r="JSU8"/>
      <c r="JSW8"/>
      <c r="JSY8"/>
      <c r="JTA8"/>
      <c r="JTC8"/>
      <c r="JTE8"/>
      <c r="JTG8"/>
      <c r="JTI8"/>
      <c r="JTK8"/>
      <c r="JTM8"/>
      <c r="JTO8"/>
      <c r="JTQ8"/>
      <c r="JTS8"/>
      <c r="JTU8"/>
      <c r="JTW8"/>
      <c r="JTY8"/>
      <c r="JUA8"/>
      <c r="JUC8"/>
      <c r="JUE8"/>
      <c r="JUG8"/>
      <c r="JUI8"/>
      <c r="JUK8"/>
      <c r="JUM8"/>
      <c r="JUO8"/>
      <c r="JUQ8"/>
      <c r="JUS8"/>
      <c r="JUU8"/>
      <c r="JUW8"/>
      <c r="JUY8"/>
      <c r="JVA8"/>
      <c r="JVC8"/>
      <c r="JVE8"/>
      <c r="JVG8"/>
      <c r="JVI8"/>
      <c r="JVK8"/>
      <c r="JVM8"/>
      <c r="JVO8"/>
      <c r="JVQ8"/>
      <c r="JVS8"/>
      <c r="JVU8"/>
      <c r="JVW8"/>
      <c r="JVY8"/>
      <c r="JWA8"/>
      <c r="JWC8"/>
      <c r="JWE8"/>
      <c r="JWG8"/>
      <c r="JWI8"/>
      <c r="JWK8"/>
      <c r="JWM8"/>
      <c r="JWO8"/>
      <c r="JWQ8"/>
      <c r="JWS8"/>
      <c r="JWU8"/>
      <c r="JWW8"/>
      <c r="JWY8"/>
      <c r="JXA8"/>
      <c r="JXC8"/>
      <c r="JXE8"/>
      <c r="JXG8"/>
      <c r="JXI8"/>
      <c r="JXK8"/>
      <c r="JXM8"/>
      <c r="JXO8"/>
      <c r="JXQ8"/>
      <c r="JXS8"/>
      <c r="JXU8"/>
      <c r="JXW8"/>
      <c r="JXY8"/>
      <c r="JYA8"/>
      <c r="JYC8"/>
      <c r="JYE8"/>
      <c r="JYG8"/>
      <c r="JYI8"/>
      <c r="JYK8"/>
      <c r="JYM8"/>
      <c r="JYO8"/>
      <c r="JYQ8"/>
      <c r="JYS8"/>
      <c r="JYU8"/>
      <c r="JYW8"/>
      <c r="JYY8"/>
      <c r="JZA8"/>
      <c r="JZC8"/>
      <c r="JZE8"/>
      <c r="JZG8"/>
      <c r="JZI8"/>
      <c r="JZK8"/>
      <c r="JZM8"/>
      <c r="JZO8"/>
      <c r="JZQ8"/>
      <c r="JZS8"/>
      <c r="JZU8"/>
      <c r="JZW8"/>
      <c r="JZY8"/>
      <c r="KAA8"/>
      <c r="KAC8"/>
      <c r="KAE8"/>
      <c r="KAG8"/>
      <c r="KAI8"/>
      <c r="KAK8"/>
      <c r="KAM8"/>
      <c r="KAO8"/>
      <c r="KAQ8"/>
      <c r="KAS8"/>
      <c r="KAU8"/>
      <c r="KAW8"/>
      <c r="KAY8"/>
      <c r="KBA8"/>
      <c r="KBC8"/>
      <c r="KBE8"/>
      <c r="KBG8"/>
      <c r="KBI8"/>
      <c r="KBK8"/>
      <c r="KBM8"/>
      <c r="KBO8"/>
      <c r="KBQ8"/>
      <c r="KBS8"/>
      <c r="KBU8"/>
      <c r="KBW8"/>
      <c r="KBY8"/>
      <c r="KCA8"/>
      <c r="KCC8"/>
      <c r="KCE8"/>
      <c r="KCG8"/>
      <c r="KCI8"/>
      <c r="KCK8"/>
      <c r="KCM8"/>
      <c r="KCO8"/>
      <c r="KCQ8"/>
      <c r="KCS8"/>
      <c r="KCU8"/>
      <c r="KCW8"/>
      <c r="KCY8"/>
      <c r="KDA8"/>
      <c r="KDC8"/>
      <c r="KDE8"/>
      <c r="KDG8"/>
      <c r="KDI8"/>
      <c r="KDK8"/>
      <c r="KDM8"/>
      <c r="KDO8"/>
      <c r="KDQ8"/>
      <c r="KDS8"/>
      <c r="KDU8"/>
      <c r="KDW8"/>
      <c r="KDY8"/>
      <c r="KEA8"/>
      <c r="KEC8"/>
      <c r="KEE8"/>
      <c r="KEG8"/>
      <c r="KEI8"/>
      <c r="KEK8"/>
      <c r="KEM8"/>
      <c r="KEO8"/>
      <c r="KEQ8"/>
      <c r="KES8"/>
      <c r="KEU8"/>
      <c r="KEW8"/>
      <c r="KEY8"/>
      <c r="KFA8"/>
      <c r="KFC8"/>
      <c r="KFE8"/>
      <c r="KFG8"/>
      <c r="KFI8"/>
      <c r="KFK8"/>
      <c r="KFM8"/>
      <c r="KFO8"/>
      <c r="KFQ8"/>
      <c r="KFS8"/>
      <c r="KFU8"/>
      <c r="KFW8"/>
      <c r="KFY8"/>
      <c r="KGA8"/>
      <c r="KGC8"/>
      <c r="KGE8"/>
      <c r="KGG8"/>
      <c r="KGI8"/>
      <c r="KGK8"/>
      <c r="KGM8"/>
      <c r="KGO8"/>
      <c r="KGQ8"/>
      <c r="KGS8"/>
      <c r="KGU8"/>
      <c r="KGW8"/>
      <c r="KGY8"/>
      <c r="KHA8"/>
      <c r="KHC8"/>
      <c r="KHE8"/>
      <c r="KHG8"/>
      <c r="KHI8"/>
      <c r="KHK8"/>
      <c r="KHM8"/>
      <c r="KHO8"/>
      <c r="KHQ8"/>
      <c r="KHS8"/>
      <c r="KHU8"/>
      <c r="KHW8"/>
      <c r="KHY8"/>
      <c r="KIA8"/>
      <c r="KIC8"/>
      <c r="KIE8"/>
      <c r="KIG8"/>
      <c r="KII8"/>
      <c r="KIK8"/>
      <c r="KIM8"/>
      <c r="KIO8"/>
      <c r="KIQ8"/>
      <c r="KIS8"/>
      <c r="KIU8"/>
      <c r="KIW8"/>
      <c r="KIY8"/>
      <c r="KJA8"/>
      <c r="KJC8"/>
      <c r="KJE8"/>
      <c r="KJG8"/>
      <c r="KJI8"/>
      <c r="KJK8"/>
      <c r="KJM8"/>
      <c r="KJO8"/>
      <c r="KJQ8"/>
      <c r="KJS8"/>
      <c r="KJU8"/>
      <c r="KJW8"/>
      <c r="KJY8"/>
      <c r="KKA8"/>
      <c r="KKC8"/>
      <c r="KKE8"/>
      <c r="KKG8"/>
      <c r="KKI8"/>
      <c r="KKK8"/>
      <c r="KKM8"/>
      <c r="KKO8"/>
      <c r="KKQ8"/>
      <c r="KKS8"/>
      <c r="KKU8"/>
      <c r="KKW8"/>
      <c r="KKY8"/>
      <c r="KLA8"/>
      <c r="KLC8"/>
      <c r="KLE8"/>
      <c r="KLG8"/>
      <c r="KLI8"/>
      <c r="KLK8"/>
      <c r="KLM8"/>
      <c r="KLO8"/>
      <c r="KLQ8"/>
      <c r="KLS8"/>
      <c r="KLU8"/>
      <c r="KLW8"/>
      <c r="KLY8"/>
      <c r="KMA8"/>
      <c r="KMC8"/>
      <c r="KME8"/>
      <c r="KMG8"/>
      <c r="KMI8"/>
      <c r="KMK8"/>
      <c r="KMM8"/>
      <c r="KMO8"/>
      <c r="KMQ8"/>
      <c r="KMS8"/>
      <c r="KMU8"/>
      <c r="KMW8"/>
      <c r="KMY8"/>
      <c r="KNA8"/>
      <c r="KNC8"/>
      <c r="KNE8"/>
      <c r="KNG8"/>
      <c r="KNI8"/>
      <c r="KNK8"/>
      <c r="KNM8"/>
      <c r="KNO8"/>
      <c r="KNQ8"/>
      <c r="KNS8"/>
      <c r="KNU8"/>
      <c r="KNW8"/>
      <c r="KNY8"/>
      <c r="KOA8"/>
      <c r="KOC8"/>
      <c r="KOE8"/>
      <c r="KOG8"/>
      <c r="KOI8"/>
      <c r="KOK8"/>
      <c r="KOM8"/>
      <c r="KOO8"/>
      <c r="KOQ8"/>
      <c r="KOS8"/>
      <c r="KOU8"/>
      <c r="KOW8"/>
      <c r="KOY8"/>
      <c r="KPA8"/>
      <c r="KPC8"/>
      <c r="KPE8"/>
      <c r="KPG8"/>
      <c r="KPI8"/>
      <c r="KPK8"/>
      <c r="KPM8"/>
      <c r="KPO8"/>
      <c r="KPQ8"/>
      <c r="KPS8"/>
      <c r="KPU8"/>
      <c r="KPW8"/>
      <c r="KPY8"/>
      <c r="KQA8"/>
      <c r="KQC8"/>
      <c r="KQE8"/>
      <c r="KQG8"/>
      <c r="KQI8"/>
      <c r="KQK8"/>
      <c r="KQM8"/>
      <c r="KQO8"/>
      <c r="KQQ8"/>
      <c r="KQS8"/>
      <c r="KQU8"/>
      <c r="KQW8"/>
      <c r="KQY8"/>
      <c r="KRA8"/>
      <c r="KRC8"/>
      <c r="KRE8"/>
      <c r="KRG8"/>
      <c r="KRI8"/>
      <c r="KRK8"/>
      <c r="KRM8"/>
      <c r="KRO8"/>
      <c r="KRQ8"/>
      <c r="KRS8"/>
      <c r="KRU8"/>
      <c r="KRW8"/>
      <c r="KRY8"/>
      <c r="KSA8"/>
      <c r="KSC8"/>
      <c r="KSE8"/>
      <c r="KSG8"/>
      <c r="KSI8"/>
      <c r="KSK8"/>
      <c r="KSM8"/>
      <c r="KSO8"/>
      <c r="KSQ8"/>
      <c r="KSS8"/>
      <c r="KSU8"/>
      <c r="KSW8"/>
      <c r="KSY8"/>
      <c r="KTA8"/>
      <c r="KTC8"/>
      <c r="KTE8"/>
      <c r="KTG8"/>
      <c r="KTI8"/>
      <c r="KTK8"/>
      <c r="KTM8"/>
      <c r="KTO8"/>
      <c r="KTQ8"/>
      <c r="KTS8"/>
      <c r="KTU8"/>
      <c r="KTW8"/>
      <c r="KTY8"/>
      <c r="KUA8"/>
      <c r="KUC8"/>
      <c r="KUE8"/>
      <c r="KUG8"/>
      <c r="KUI8"/>
      <c r="KUK8"/>
      <c r="KUM8"/>
      <c r="KUO8"/>
      <c r="KUQ8"/>
      <c r="KUS8"/>
      <c r="KUU8"/>
      <c r="KUW8"/>
      <c r="KUY8"/>
      <c r="KVA8"/>
      <c r="KVC8"/>
      <c r="KVE8"/>
      <c r="KVG8"/>
      <c r="KVI8"/>
      <c r="KVK8"/>
      <c r="KVM8"/>
      <c r="KVO8"/>
      <c r="KVQ8"/>
      <c r="KVS8"/>
      <c r="KVU8"/>
      <c r="KVW8"/>
      <c r="KVY8"/>
      <c r="KWA8"/>
      <c r="KWC8"/>
      <c r="KWE8"/>
      <c r="KWG8"/>
      <c r="KWI8"/>
      <c r="KWK8"/>
      <c r="KWM8"/>
      <c r="KWO8"/>
      <c r="KWQ8"/>
      <c r="KWS8"/>
      <c r="KWU8"/>
      <c r="KWW8"/>
      <c r="KWY8"/>
      <c r="KXA8"/>
      <c r="KXC8"/>
      <c r="KXE8"/>
      <c r="KXG8"/>
      <c r="KXI8"/>
      <c r="KXK8"/>
      <c r="KXM8"/>
      <c r="KXO8"/>
      <c r="KXQ8"/>
      <c r="KXS8"/>
      <c r="KXU8"/>
      <c r="KXW8"/>
      <c r="KXY8"/>
      <c r="KYA8"/>
      <c r="KYC8"/>
      <c r="KYE8"/>
      <c r="KYG8"/>
      <c r="KYI8"/>
      <c r="KYK8"/>
      <c r="KYM8"/>
      <c r="KYO8"/>
      <c r="KYQ8"/>
      <c r="KYS8"/>
      <c r="KYU8"/>
      <c r="KYW8"/>
      <c r="KYY8"/>
      <c r="KZA8"/>
      <c r="KZC8"/>
      <c r="KZE8"/>
      <c r="KZG8"/>
      <c r="KZI8"/>
      <c r="KZK8"/>
      <c r="KZM8"/>
      <c r="KZO8"/>
      <c r="KZQ8"/>
      <c r="KZS8"/>
      <c r="KZU8"/>
      <c r="KZW8"/>
      <c r="KZY8"/>
      <c r="LAA8"/>
      <c r="LAC8"/>
      <c r="LAE8"/>
      <c r="LAG8"/>
      <c r="LAI8"/>
      <c r="LAK8"/>
      <c r="LAM8"/>
      <c r="LAO8"/>
      <c r="LAQ8"/>
      <c r="LAS8"/>
      <c r="LAU8"/>
      <c r="LAW8"/>
      <c r="LAY8"/>
      <c r="LBA8"/>
      <c r="LBC8"/>
      <c r="LBE8"/>
      <c r="LBG8"/>
      <c r="LBI8"/>
      <c r="LBK8"/>
      <c r="LBM8"/>
      <c r="LBO8"/>
      <c r="LBQ8"/>
      <c r="LBS8"/>
      <c r="LBU8"/>
      <c r="LBW8"/>
      <c r="LBY8"/>
      <c r="LCA8"/>
      <c r="LCC8"/>
      <c r="LCE8"/>
      <c r="LCG8"/>
      <c r="LCI8"/>
      <c r="LCK8"/>
      <c r="LCM8"/>
      <c r="LCO8"/>
      <c r="LCQ8"/>
      <c r="LCS8"/>
      <c r="LCU8"/>
      <c r="LCW8"/>
      <c r="LCY8"/>
      <c r="LDA8"/>
      <c r="LDC8"/>
      <c r="LDE8"/>
      <c r="LDG8"/>
      <c r="LDI8"/>
      <c r="LDK8"/>
      <c r="LDM8"/>
      <c r="LDO8"/>
      <c r="LDQ8"/>
      <c r="LDS8"/>
      <c r="LDU8"/>
      <c r="LDW8"/>
      <c r="LDY8"/>
      <c r="LEA8"/>
      <c r="LEC8"/>
      <c r="LEE8"/>
      <c r="LEG8"/>
      <c r="LEI8"/>
      <c r="LEK8"/>
      <c r="LEM8"/>
      <c r="LEO8"/>
      <c r="LEQ8"/>
      <c r="LES8"/>
      <c r="LEU8"/>
      <c r="LEW8"/>
      <c r="LEY8"/>
      <c r="LFA8"/>
      <c r="LFC8"/>
      <c r="LFE8"/>
      <c r="LFG8"/>
      <c r="LFI8"/>
      <c r="LFK8"/>
      <c r="LFM8"/>
      <c r="LFO8"/>
      <c r="LFQ8"/>
      <c r="LFS8"/>
      <c r="LFU8"/>
      <c r="LFW8"/>
      <c r="LFY8"/>
      <c r="LGA8"/>
      <c r="LGC8"/>
      <c r="LGE8"/>
      <c r="LGG8"/>
      <c r="LGI8"/>
      <c r="LGK8"/>
      <c r="LGM8"/>
      <c r="LGO8"/>
      <c r="LGQ8"/>
      <c r="LGS8"/>
      <c r="LGU8"/>
      <c r="LGW8"/>
      <c r="LGY8"/>
      <c r="LHA8"/>
      <c r="LHC8"/>
      <c r="LHE8"/>
      <c r="LHG8"/>
      <c r="LHI8"/>
      <c r="LHK8"/>
      <c r="LHM8"/>
      <c r="LHO8"/>
      <c r="LHQ8"/>
      <c r="LHS8"/>
      <c r="LHU8"/>
      <c r="LHW8"/>
      <c r="LHY8"/>
      <c r="LIA8"/>
      <c r="LIC8"/>
      <c r="LIE8"/>
      <c r="LIG8"/>
      <c r="LII8"/>
      <c r="LIK8"/>
      <c r="LIM8"/>
      <c r="LIO8"/>
      <c r="LIQ8"/>
      <c r="LIS8"/>
      <c r="LIU8"/>
      <c r="LIW8"/>
      <c r="LIY8"/>
      <c r="LJA8"/>
      <c r="LJC8"/>
      <c r="LJE8"/>
      <c r="LJG8"/>
      <c r="LJI8"/>
      <c r="LJK8"/>
      <c r="LJM8"/>
      <c r="LJO8"/>
      <c r="LJQ8"/>
      <c r="LJS8"/>
      <c r="LJU8"/>
      <c r="LJW8"/>
      <c r="LJY8"/>
      <c r="LKA8"/>
      <c r="LKC8"/>
      <c r="LKE8"/>
      <c r="LKG8"/>
      <c r="LKI8"/>
      <c r="LKK8"/>
      <c r="LKM8"/>
      <c r="LKO8"/>
      <c r="LKQ8"/>
      <c r="LKS8"/>
      <c r="LKU8"/>
      <c r="LKW8"/>
      <c r="LKY8"/>
      <c r="LLA8"/>
      <c r="LLC8"/>
      <c r="LLE8"/>
      <c r="LLG8"/>
      <c r="LLI8"/>
      <c r="LLK8"/>
      <c r="LLM8"/>
      <c r="LLO8"/>
      <c r="LLQ8"/>
      <c r="LLS8"/>
      <c r="LLU8"/>
      <c r="LLW8"/>
      <c r="LLY8"/>
      <c r="LMA8"/>
      <c r="LMC8"/>
      <c r="LME8"/>
      <c r="LMG8"/>
      <c r="LMI8"/>
      <c r="LMK8"/>
      <c r="LMM8"/>
      <c r="LMO8"/>
      <c r="LMQ8"/>
      <c r="LMS8"/>
      <c r="LMU8"/>
      <c r="LMW8"/>
      <c r="LMY8"/>
      <c r="LNA8"/>
      <c r="LNC8"/>
      <c r="LNE8"/>
      <c r="LNG8"/>
      <c r="LNI8"/>
      <c r="LNK8"/>
      <c r="LNM8"/>
      <c r="LNO8"/>
      <c r="LNQ8"/>
      <c r="LNS8"/>
      <c r="LNU8"/>
      <c r="LNW8"/>
      <c r="LNY8"/>
      <c r="LOA8"/>
      <c r="LOC8"/>
      <c r="LOE8"/>
      <c r="LOG8"/>
      <c r="LOI8"/>
      <c r="LOK8"/>
      <c r="LOM8"/>
      <c r="LOO8"/>
      <c r="LOQ8"/>
      <c r="LOS8"/>
      <c r="LOU8"/>
      <c r="LOW8"/>
      <c r="LOY8"/>
      <c r="LPA8"/>
      <c r="LPC8"/>
      <c r="LPE8"/>
      <c r="LPG8"/>
      <c r="LPI8"/>
      <c r="LPK8"/>
      <c r="LPM8"/>
      <c r="LPO8"/>
      <c r="LPQ8"/>
      <c r="LPS8"/>
      <c r="LPU8"/>
      <c r="LPW8"/>
      <c r="LPY8"/>
      <c r="LQA8"/>
      <c r="LQC8"/>
      <c r="LQE8"/>
      <c r="LQG8"/>
      <c r="LQI8"/>
      <c r="LQK8"/>
      <c r="LQM8"/>
      <c r="LQO8"/>
      <c r="LQQ8"/>
      <c r="LQS8"/>
      <c r="LQU8"/>
      <c r="LQW8"/>
      <c r="LQY8"/>
      <c r="LRA8"/>
      <c r="LRC8"/>
      <c r="LRE8"/>
      <c r="LRG8"/>
      <c r="LRI8"/>
      <c r="LRK8"/>
      <c r="LRM8"/>
      <c r="LRO8"/>
      <c r="LRQ8"/>
      <c r="LRS8"/>
      <c r="LRU8"/>
      <c r="LRW8"/>
      <c r="LRY8"/>
      <c r="LSA8"/>
      <c r="LSC8"/>
      <c r="LSE8"/>
      <c r="LSG8"/>
      <c r="LSI8"/>
      <c r="LSK8"/>
      <c r="LSM8"/>
      <c r="LSO8"/>
      <c r="LSQ8"/>
      <c r="LSS8"/>
      <c r="LSU8"/>
      <c r="LSW8"/>
      <c r="LSY8"/>
      <c r="LTA8"/>
      <c r="LTC8"/>
      <c r="LTE8"/>
      <c r="LTG8"/>
      <c r="LTI8"/>
      <c r="LTK8"/>
      <c r="LTM8"/>
      <c r="LTO8"/>
      <c r="LTQ8"/>
      <c r="LTS8"/>
      <c r="LTU8"/>
      <c r="LTW8"/>
      <c r="LTY8"/>
      <c r="LUA8"/>
      <c r="LUC8"/>
      <c r="LUE8"/>
      <c r="LUG8"/>
      <c r="LUI8"/>
      <c r="LUK8"/>
      <c r="LUM8"/>
      <c r="LUO8"/>
      <c r="LUQ8"/>
      <c r="LUS8"/>
      <c r="LUU8"/>
      <c r="LUW8"/>
      <c r="LUY8"/>
      <c r="LVA8"/>
      <c r="LVC8"/>
      <c r="LVE8"/>
      <c r="LVG8"/>
      <c r="LVI8"/>
      <c r="LVK8"/>
      <c r="LVM8"/>
      <c r="LVO8"/>
      <c r="LVQ8"/>
      <c r="LVS8"/>
      <c r="LVU8"/>
      <c r="LVW8"/>
      <c r="LVY8"/>
      <c r="LWA8"/>
      <c r="LWC8"/>
      <c r="LWE8"/>
      <c r="LWG8"/>
      <c r="LWI8"/>
      <c r="LWK8"/>
      <c r="LWM8"/>
      <c r="LWO8"/>
      <c r="LWQ8"/>
      <c r="LWS8"/>
      <c r="LWU8"/>
      <c r="LWW8"/>
      <c r="LWY8"/>
      <c r="LXA8"/>
      <c r="LXC8"/>
      <c r="LXE8"/>
      <c r="LXG8"/>
      <c r="LXI8"/>
      <c r="LXK8"/>
      <c r="LXM8"/>
      <c r="LXO8"/>
      <c r="LXQ8"/>
      <c r="LXS8"/>
      <c r="LXU8"/>
      <c r="LXW8"/>
      <c r="LXY8"/>
      <c r="LYA8"/>
      <c r="LYC8"/>
      <c r="LYE8"/>
      <c r="LYG8"/>
      <c r="LYI8"/>
      <c r="LYK8"/>
      <c r="LYM8"/>
      <c r="LYO8"/>
      <c r="LYQ8"/>
      <c r="LYS8"/>
      <c r="LYU8"/>
      <c r="LYW8"/>
      <c r="LYY8"/>
      <c r="LZA8"/>
      <c r="LZC8"/>
      <c r="LZE8"/>
      <c r="LZG8"/>
      <c r="LZI8"/>
      <c r="LZK8"/>
      <c r="LZM8"/>
      <c r="LZO8"/>
      <c r="LZQ8"/>
      <c r="LZS8"/>
      <c r="LZU8"/>
      <c r="LZW8"/>
      <c r="LZY8"/>
      <c r="MAA8"/>
      <c r="MAC8"/>
      <c r="MAE8"/>
      <c r="MAG8"/>
      <c r="MAI8"/>
      <c r="MAK8"/>
      <c r="MAM8"/>
      <c r="MAO8"/>
      <c r="MAQ8"/>
      <c r="MAS8"/>
      <c r="MAU8"/>
      <c r="MAW8"/>
      <c r="MAY8"/>
      <c r="MBA8"/>
      <c r="MBC8"/>
      <c r="MBE8"/>
      <c r="MBG8"/>
      <c r="MBI8"/>
      <c r="MBK8"/>
      <c r="MBM8"/>
      <c r="MBO8"/>
      <c r="MBQ8"/>
      <c r="MBS8"/>
      <c r="MBU8"/>
      <c r="MBW8"/>
      <c r="MBY8"/>
      <c r="MCA8"/>
      <c r="MCC8"/>
      <c r="MCE8"/>
      <c r="MCG8"/>
      <c r="MCI8"/>
      <c r="MCK8"/>
      <c r="MCM8"/>
      <c r="MCO8"/>
      <c r="MCQ8"/>
      <c r="MCS8"/>
      <c r="MCU8"/>
      <c r="MCW8"/>
      <c r="MCY8"/>
      <c r="MDA8"/>
      <c r="MDC8"/>
      <c r="MDE8"/>
      <c r="MDG8"/>
      <c r="MDI8"/>
      <c r="MDK8"/>
      <c r="MDM8"/>
      <c r="MDO8"/>
      <c r="MDQ8"/>
      <c r="MDS8"/>
      <c r="MDU8"/>
      <c r="MDW8"/>
      <c r="MDY8"/>
      <c r="MEA8"/>
      <c r="MEC8"/>
      <c r="MEE8"/>
      <c r="MEG8"/>
      <c r="MEI8"/>
      <c r="MEK8"/>
      <c r="MEM8"/>
      <c r="MEO8"/>
      <c r="MEQ8"/>
      <c r="MES8"/>
      <c r="MEU8"/>
      <c r="MEW8"/>
      <c r="MEY8"/>
      <c r="MFA8"/>
      <c r="MFC8"/>
      <c r="MFE8"/>
      <c r="MFG8"/>
      <c r="MFI8"/>
      <c r="MFK8"/>
      <c r="MFM8"/>
      <c r="MFO8"/>
      <c r="MFQ8"/>
      <c r="MFS8"/>
      <c r="MFU8"/>
      <c r="MFW8"/>
      <c r="MFY8"/>
      <c r="MGA8"/>
      <c r="MGC8"/>
      <c r="MGE8"/>
      <c r="MGG8"/>
      <c r="MGI8"/>
      <c r="MGK8"/>
      <c r="MGM8"/>
      <c r="MGO8"/>
      <c r="MGQ8"/>
      <c r="MGS8"/>
      <c r="MGU8"/>
      <c r="MGW8"/>
      <c r="MGY8"/>
      <c r="MHA8"/>
      <c r="MHC8"/>
      <c r="MHE8"/>
      <c r="MHG8"/>
      <c r="MHI8"/>
      <c r="MHK8"/>
      <c r="MHM8"/>
      <c r="MHO8"/>
      <c r="MHQ8"/>
      <c r="MHS8"/>
      <c r="MHU8"/>
      <c r="MHW8"/>
      <c r="MHY8"/>
      <c r="MIA8"/>
      <c r="MIC8"/>
      <c r="MIE8"/>
      <c r="MIG8"/>
      <c r="MII8"/>
      <c r="MIK8"/>
      <c r="MIM8"/>
      <c r="MIO8"/>
      <c r="MIQ8"/>
      <c r="MIS8"/>
      <c r="MIU8"/>
      <c r="MIW8"/>
      <c r="MIY8"/>
      <c r="MJA8"/>
      <c r="MJC8"/>
      <c r="MJE8"/>
      <c r="MJG8"/>
      <c r="MJI8"/>
      <c r="MJK8"/>
      <c r="MJM8"/>
      <c r="MJO8"/>
      <c r="MJQ8"/>
      <c r="MJS8"/>
      <c r="MJU8"/>
      <c r="MJW8"/>
      <c r="MJY8"/>
      <c r="MKA8"/>
      <c r="MKC8"/>
      <c r="MKE8"/>
      <c r="MKG8"/>
      <c r="MKI8"/>
      <c r="MKK8"/>
      <c r="MKM8"/>
      <c r="MKO8"/>
      <c r="MKQ8"/>
      <c r="MKS8"/>
      <c r="MKU8"/>
      <c r="MKW8"/>
      <c r="MKY8"/>
      <c r="MLA8"/>
      <c r="MLC8"/>
      <c r="MLE8"/>
      <c r="MLG8"/>
      <c r="MLI8"/>
      <c r="MLK8"/>
      <c r="MLM8"/>
      <c r="MLO8"/>
      <c r="MLQ8"/>
      <c r="MLS8"/>
      <c r="MLU8"/>
      <c r="MLW8"/>
      <c r="MLY8"/>
      <c r="MMA8"/>
      <c r="MMC8"/>
      <c r="MME8"/>
      <c r="MMG8"/>
      <c r="MMI8"/>
      <c r="MMK8"/>
      <c r="MMM8"/>
      <c r="MMO8"/>
      <c r="MMQ8"/>
      <c r="MMS8"/>
      <c r="MMU8"/>
      <c r="MMW8"/>
      <c r="MMY8"/>
      <c r="MNA8"/>
      <c r="MNC8"/>
      <c r="MNE8"/>
      <c r="MNG8"/>
      <c r="MNI8"/>
      <c r="MNK8"/>
      <c r="MNM8"/>
      <c r="MNO8"/>
      <c r="MNQ8"/>
      <c r="MNS8"/>
      <c r="MNU8"/>
      <c r="MNW8"/>
      <c r="MNY8"/>
      <c r="MOA8"/>
      <c r="MOC8"/>
      <c r="MOE8"/>
      <c r="MOG8"/>
      <c r="MOI8"/>
      <c r="MOK8"/>
      <c r="MOM8"/>
      <c r="MOO8"/>
      <c r="MOQ8"/>
      <c r="MOS8"/>
      <c r="MOU8"/>
      <c r="MOW8"/>
      <c r="MOY8"/>
      <c r="MPA8"/>
      <c r="MPC8"/>
      <c r="MPE8"/>
      <c r="MPG8"/>
      <c r="MPI8"/>
      <c r="MPK8"/>
      <c r="MPM8"/>
      <c r="MPO8"/>
      <c r="MPQ8"/>
      <c r="MPS8"/>
      <c r="MPU8"/>
      <c r="MPW8"/>
      <c r="MPY8"/>
      <c r="MQA8"/>
      <c r="MQC8"/>
      <c r="MQE8"/>
      <c r="MQG8"/>
      <c r="MQI8"/>
      <c r="MQK8"/>
      <c r="MQM8"/>
      <c r="MQO8"/>
      <c r="MQQ8"/>
      <c r="MQS8"/>
      <c r="MQU8"/>
      <c r="MQW8"/>
      <c r="MQY8"/>
      <c r="MRA8"/>
      <c r="MRC8"/>
      <c r="MRE8"/>
      <c r="MRG8"/>
      <c r="MRI8"/>
      <c r="MRK8"/>
      <c r="MRM8"/>
      <c r="MRO8"/>
      <c r="MRQ8"/>
      <c r="MRS8"/>
      <c r="MRU8"/>
      <c r="MRW8"/>
      <c r="MRY8"/>
      <c r="MSA8"/>
      <c r="MSC8"/>
      <c r="MSE8"/>
      <c r="MSG8"/>
      <c r="MSI8"/>
      <c r="MSK8"/>
      <c r="MSM8"/>
      <c r="MSO8"/>
      <c r="MSQ8"/>
      <c r="MSS8"/>
      <c r="MSU8"/>
      <c r="MSW8"/>
      <c r="MSY8"/>
      <c r="MTA8"/>
      <c r="MTC8"/>
      <c r="MTE8"/>
      <c r="MTG8"/>
      <c r="MTI8"/>
      <c r="MTK8"/>
      <c r="MTM8"/>
      <c r="MTO8"/>
      <c r="MTQ8"/>
      <c r="MTS8"/>
      <c r="MTU8"/>
      <c r="MTW8"/>
      <c r="MTY8"/>
      <c r="MUA8"/>
      <c r="MUC8"/>
      <c r="MUE8"/>
      <c r="MUG8"/>
      <c r="MUI8"/>
      <c r="MUK8"/>
      <c r="MUM8"/>
      <c r="MUO8"/>
      <c r="MUQ8"/>
      <c r="MUS8"/>
      <c r="MUU8"/>
      <c r="MUW8"/>
      <c r="MUY8"/>
      <c r="MVA8"/>
      <c r="MVC8"/>
      <c r="MVE8"/>
      <c r="MVG8"/>
      <c r="MVI8"/>
      <c r="MVK8"/>
      <c r="MVM8"/>
      <c r="MVO8"/>
      <c r="MVQ8"/>
      <c r="MVS8"/>
      <c r="MVU8"/>
      <c r="MVW8"/>
      <c r="MVY8"/>
      <c r="MWA8"/>
      <c r="MWC8"/>
      <c r="MWE8"/>
      <c r="MWG8"/>
      <c r="MWI8"/>
      <c r="MWK8"/>
      <c r="MWM8"/>
      <c r="MWO8"/>
      <c r="MWQ8"/>
      <c r="MWS8"/>
      <c r="MWU8"/>
      <c r="MWW8"/>
      <c r="MWY8"/>
      <c r="MXA8"/>
      <c r="MXC8"/>
      <c r="MXE8"/>
      <c r="MXG8"/>
      <c r="MXI8"/>
      <c r="MXK8"/>
      <c r="MXM8"/>
      <c r="MXO8"/>
      <c r="MXQ8"/>
      <c r="MXS8"/>
      <c r="MXU8"/>
      <c r="MXW8"/>
      <c r="MXY8"/>
      <c r="MYA8"/>
      <c r="MYC8"/>
      <c r="MYE8"/>
      <c r="MYG8"/>
      <c r="MYI8"/>
      <c r="MYK8"/>
      <c r="MYM8"/>
      <c r="MYO8"/>
      <c r="MYQ8"/>
      <c r="MYS8"/>
      <c r="MYU8"/>
      <c r="MYW8"/>
      <c r="MYY8"/>
      <c r="MZA8"/>
      <c r="MZC8"/>
      <c r="MZE8"/>
      <c r="MZG8"/>
      <c r="MZI8"/>
      <c r="MZK8"/>
      <c r="MZM8"/>
      <c r="MZO8"/>
      <c r="MZQ8"/>
      <c r="MZS8"/>
      <c r="MZU8"/>
      <c r="MZW8"/>
      <c r="MZY8"/>
      <c r="NAA8"/>
      <c r="NAC8"/>
      <c r="NAE8"/>
      <c r="NAG8"/>
      <c r="NAI8"/>
      <c r="NAK8"/>
      <c r="NAM8"/>
      <c r="NAO8"/>
      <c r="NAQ8"/>
      <c r="NAS8"/>
      <c r="NAU8"/>
      <c r="NAW8"/>
      <c r="NAY8"/>
      <c r="NBA8"/>
      <c r="NBC8"/>
      <c r="NBE8"/>
      <c r="NBG8"/>
      <c r="NBI8"/>
      <c r="NBK8"/>
      <c r="NBM8"/>
      <c r="NBO8"/>
      <c r="NBQ8"/>
      <c r="NBS8"/>
      <c r="NBU8"/>
      <c r="NBW8"/>
      <c r="NBY8"/>
      <c r="NCA8"/>
      <c r="NCC8"/>
      <c r="NCE8"/>
      <c r="NCG8"/>
      <c r="NCI8"/>
      <c r="NCK8"/>
      <c r="NCM8"/>
      <c r="NCO8"/>
      <c r="NCQ8"/>
      <c r="NCS8"/>
      <c r="NCU8"/>
      <c r="NCW8"/>
      <c r="NCY8"/>
      <c r="NDA8"/>
      <c r="NDC8"/>
      <c r="NDE8"/>
      <c r="NDG8"/>
      <c r="NDI8"/>
      <c r="NDK8"/>
      <c r="NDM8"/>
      <c r="NDO8"/>
      <c r="NDQ8"/>
      <c r="NDS8"/>
      <c r="NDU8"/>
      <c r="NDW8"/>
      <c r="NDY8"/>
      <c r="NEA8"/>
      <c r="NEC8"/>
      <c r="NEE8"/>
      <c r="NEG8"/>
      <c r="NEI8"/>
      <c r="NEK8"/>
      <c r="NEM8"/>
      <c r="NEO8"/>
      <c r="NEQ8"/>
      <c r="NES8"/>
      <c r="NEU8"/>
      <c r="NEW8"/>
      <c r="NEY8"/>
      <c r="NFA8"/>
      <c r="NFC8"/>
      <c r="NFE8"/>
      <c r="NFG8"/>
      <c r="NFI8"/>
      <c r="NFK8"/>
      <c r="NFM8"/>
      <c r="NFO8"/>
      <c r="NFQ8"/>
      <c r="NFS8"/>
      <c r="NFU8"/>
      <c r="NFW8"/>
      <c r="NFY8"/>
      <c r="NGA8"/>
      <c r="NGC8"/>
      <c r="NGE8"/>
      <c r="NGG8"/>
      <c r="NGI8"/>
      <c r="NGK8"/>
      <c r="NGM8"/>
      <c r="NGO8"/>
      <c r="NGQ8"/>
      <c r="NGS8"/>
      <c r="NGU8"/>
      <c r="NGW8"/>
      <c r="NGY8"/>
      <c r="NHA8"/>
      <c r="NHC8"/>
      <c r="NHE8"/>
      <c r="NHG8"/>
      <c r="NHI8"/>
      <c r="NHK8"/>
      <c r="NHM8"/>
      <c r="NHO8"/>
      <c r="NHQ8"/>
      <c r="NHS8"/>
      <c r="NHU8"/>
      <c r="NHW8"/>
      <c r="NHY8"/>
      <c r="NIA8"/>
      <c r="NIC8"/>
      <c r="NIE8"/>
      <c r="NIG8"/>
      <c r="NII8"/>
      <c r="NIK8"/>
      <c r="NIM8"/>
      <c r="NIO8"/>
      <c r="NIQ8"/>
      <c r="NIS8"/>
      <c r="NIU8"/>
      <c r="NIW8"/>
      <c r="NIY8"/>
      <c r="NJA8"/>
      <c r="NJC8"/>
      <c r="NJE8"/>
      <c r="NJG8"/>
      <c r="NJI8"/>
      <c r="NJK8"/>
      <c r="NJM8"/>
      <c r="NJO8"/>
      <c r="NJQ8"/>
      <c r="NJS8"/>
      <c r="NJU8"/>
      <c r="NJW8"/>
      <c r="NJY8"/>
      <c r="NKA8"/>
      <c r="NKC8"/>
      <c r="NKE8"/>
      <c r="NKG8"/>
      <c r="NKI8"/>
      <c r="NKK8"/>
      <c r="NKM8"/>
      <c r="NKO8"/>
      <c r="NKQ8"/>
      <c r="NKS8"/>
      <c r="NKU8"/>
      <c r="NKW8"/>
      <c r="NKY8"/>
      <c r="NLA8"/>
      <c r="NLC8"/>
      <c r="NLE8"/>
      <c r="NLG8"/>
      <c r="NLI8"/>
      <c r="NLK8"/>
      <c r="NLM8"/>
      <c r="NLO8"/>
      <c r="NLQ8"/>
      <c r="NLS8"/>
      <c r="NLU8"/>
      <c r="NLW8"/>
      <c r="NLY8"/>
      <c r="NMA8"/>
      <c r="NMC8"/>
      <c r="NME8"/>
      <c r="NMG8"/>
      <c r="NMI8"/>
      <c r="NMK8"/>
      <c r="NMM8"/>
      <c r="NMO8"/>
      <c r="NMQ8"/>
      <c r="NMS8"/>
      <c r="NMU8"/>
      <c r="NMW8"/>
      <c r="NMY8"/>
      <c r="NNA8"/>
      <c r="NNC8"/>
      <c r="NNE8"/>
      <c r="NNG8"/>
      <c r="NNI8"/>
      <c r="NNK8"/>
      <c r="NNM8"/>
      <c r="NNO8"/>
      <c r="NNQ8"/>
      <c r="NNS8"/>
      <c r="NNU8"/>
      <c r="NNW8"/>
      <c r="NNY8"/>
      <c r="NOA8"/>
      <c r="NOC8"/>
      <c r="NOE8"/>
      <c r="NOG8"/>
      <c r="NOI8"/>
      <c r="NOK8"/>
      <c r="NOM8"/>
      <c r="NOO8"/>
      <c r="NOQ8"/>
      <c r="NOS8"/>
      <c r="NOU8"/>
      <c r="NOW8"/>
      <c r="NOY8"/>
      <c r="NPA8"/>
      <c r="NPC8"/>
      <c r="NPE8"/>
      <c r="NPG8"/>
      <c r="NPI8"/>
      <c r="NPK8"/>
      <c r="NPM8"/>
      <c r="NPO8"/>
      <c r="NPQ8"/>
      <c r="NPS8"/>
      <c r="NPU8"/>
      <c r="NPW8"/>
      <c r="NPY8"/>
      <c r="NQA8"/>
      <c r="NQC8"/>
      <c r="NQE8"/>
      <c r="NQG8"/>
      <c r="NQI8"/>
      <c r="NQK8"/>
      <c r="NQM8"/>
      <c r="NQO8"/>
      <c r="NQQ8"/>
      <c r="NQS8"/>
      <c r="NQU8"/>
      <c r="NQW8"/>
      <c r="NQY8"/>
      <c r="NRA8"/>
      <c r="NRC8"/>
      <c r="NRE8"/>
      <c r="NRG8"/>
      <c r="NRI8"/>
      <c r="NRK8"/>
      <c r="NRM8"/>
      <c r="NRO8"/>
      <c r="NRQ8"/>
      <c r="NRS8"/>
      <c r="NRU8"/>
      <c r="NRW8"/>
      <c r="NRY8"/>
      <c r="NSA8"/>
      <c r="NSC8"/>
      <c r="NSE8"/>
      <c r="NSG8"/>
      <c r="NSI8"/>
      <c r="NSK8"/>
      <c r="NSM8"/>
      <c r="NSO8"/>
      <c r="NSQ8"/>
      <c r="NSS8"/>
      <c r="NSU8"/>
      <c r="NSW8"/>
      <c r="NSY8"/>
      <c r="NTA8"/>
      <c r="NTC8"/>
      <c r="NTE8"/>
      <c r="NTG8"/>
      <c r="NTI8"/>
      <c r="NTK8"/>
      <c r="NTM8"/>
      <c r="NTO8"/>
      <c r="NTQ8"/>
      <c r="NTS8"/>
      <c r="NTU8"/>
      <c r="NTW8"/>
      <c r="NTY8"/>
      <c r="NUA8"/>
      <c r="NUC8"/>
      <c r="NUE8"/>
      <c r="NUG8"/>
      <c r="NUI8"/>
      <c r="NUK8"/>
      <c r="NUM8"/>
      <c r="NUO8"/>
      <c r="NUQ8"/>
      <c r="NUS8"/>
      <c r="NUU8"/>
      <c r="NUW8"/>
      <c r="NUY8"/>
      <c r="NVA8"/>
      <c r="NVC8"/>
      <c r="NVE8"/>
      <c r="NVG8"/>
      <c r="NVI8"/>
      <c r="NVK8"/>
      <c r="NVM8"/>
      <c r="NVO8"/>
      <c r="NVQ8"/>
      <c r="NVS8"/>
      <c r="NVU8"/>
      <c r="NVW8"/>
      <c r="NVY8"/>
      <c r="NWA8"/>
      <c r="NWC8"/>
      <c r="NWE8"/>
      <c r="NWG8"/>
      <c r="NWI8"/>
      <c r="NWK8"/>
      <c r="NWM8"/>
      <c r="NWO8"/>
      <c r="NWQ8"/>
      <c r="NWS8"/>
      <c r="NWU8"/>
      <c r="NWW8"/>
      <c r="NWY8"/>
      <c r="NXA8"/>
      <c r="NXC8"/>
      <c r="NXE8"/>
      <c r="NXG8"/>
      <c r="NXI8"/>
      <c r="NXK8"/>
      <c r="NXM8"/>
      <c r="NXO8"/>
      <c r="NXQ8"/>
      <c r="NXS8"/>
      <c r="NXU8"/>
      <c r="NXW8"/>
      <c r="NXY8"/>
      <c r="NYA8"/>
      <c r="NYC8"/>
      <c r="NYE8"/>
      <c r="NYG8"/>
      <c r="NYI8"/>
      <c r="NYK8"/>
      <c r="NYM8"/>
      <c r="NYO8"/>
      <c r="NYQ8"/>
      <c r="NYS8"/>
      <c r="NYU8"/>
      <c r="NYW8"/>
      <c r="NYY8"/>
      <c r="NZA8"/>
      <c r="NZC8"/>
      <c r="NZE8"/>
      <c r="NZG8"/>
      <c r="NZI8"/>
      <c r="NZK8"/>
      <c r="NZM8"/>
      <c r="NZO8"/>
      <c r="NZQ8"/>
      <c r="NZS8"/>
      <c r="NZU8"/>
      <c r="NZW8"/>
      <c r="NZY8"/>
      <c r="OAA8"/>
      <c r="OAC8"/>
      <c r="OAE8"/>
      <c r="OAG8"/>
      <c r="OAI8"/>
      <c r="OAK8"/>
      <c r="OAM8"/>
      <c r="OAO8"/>
      <c r="OAQ8"/>
      <c r="OAS8"/>
      <c r="OAU8"/>
      <c r="OAW8"/>
      <c r="OAY8"/>
      <c r="OBA8"/>
      <c r="OBC8"/>
      <c r="OBE8"/>
      <c r="OBG8"/>
      <c r="OBI8"/>
      <c r="OBK8"/>
      <c r="OBM8"/>
      <c r="OBO8"/>
      <c r="OBQ8"/>
      <c r="OBS8"/>
      <c r="OBU8"/>
      <c r="OBW8"/>
      <c r="OBY8"/>
      <c r="OCA8"/>
      <c r="OCC8"/>
      <c r="OCE8"/>
      <c r="OCG8"/>
      <c r="OCI8"/>
      <c r="OCK8"/>
      <c r="OCM8"/>
      <c r="OCO8"/>
      <c r="OCQ8"/>
      <c r="OCS8"/>
      <c r="OCU8"/>
      <c r="OCW8"/>
      <c r="OCY8"/>
      <c r="ODA8"/>
      <c r="ODC8"/>
      <c r="ODE8"/>
      <c r="ODG8"/>
      <c r="ODI8"/>
      <c r="ODK8"/>
      <c r="ODM8"/>
      <c r="ODO8"/>
      <c r="ODQ8"/>
      <c r="ODS8"/>
      <c r="ODU8"/>
      <c r="ODW8"/>
      <c r="ODY8"/>
      <c r="OEA8"/>
      <c r="OEC8"/>
      <c r="OEE8"/>
      <c r="OEG8"/>
      <c r="OEI8"/>
      <c r="OEK8"/>
      <c r="OEM8"/>
      <c r="OEO8"/>
      <c r="OEQ8"/>
      <c r="OES8"/>
      <c r="OEU8"/>
      <c r="OEW8"/>
      <c r="OEY8"/>
      <c r="OFA8"/>
      <c r="OFC8"/>
      <c r="OFE8"/>
      <c r="OFG8"/>
      <c r="OFI8"/>
      <c r="OFK8"/>
      <c r="OFM8"/>
      <c r="OFO8"/>
      <c r="OFQ8"/>
      <c r="OFS8"/>
      <c r="OFU8"/>
      <c r="OFW8"/>
      <c r="OFY8"/>
      <c r="OGA8"/>
      <c r="OGC8"/>
      <c r="OGE8"/>
      <c r="OGG8"/>
      <c r="OGI8"/>
      <c r="OGK8"/>
      <c r="OGM8"/>
      <c r="OGO8"/>
      <c r="OGQ8"/>
      <c r="OGS8"/>
      <c r="OGU8"/>
      <c r="OGW8"/>
      <c r="OGY8"/>
      <c r="OHA8"/>
      <c r="OHC8"/>
      <c r="OHE8"/>
      <c r="OHG8"/>
      <c r="OHI8"/>
      <c r="OHK8"/>
      <c r="OHM8"/>
      <c r="OHO8"/>
      <c r="OHQ8"/>
      <c r="OHS8"/>
      <c r="OHU8"/>
      <c r="OHW8"/>
      <c r="OHY8"/>
      <c r="OIA8"/>
      <c r="OIC8"/>
      <c r="OIE8"/>
      <c r="OIG8"/>
      <c r="OII8"/>
      <c r="OIK8"/>
      <c r="OIM8"/>
      <c r="OIO8"/>
      <c r="OIQ8"/>
      <c r="OIS8"/>
      <c r="OIU8"/>
      <c r="OIW8"/>
      <c r="OIY8"/>
      <c r="OJA8"/>
      <c r="OJC8"/>
      <c r="OJE8"/>
      <c r="OJG8"/>
      <c r="OJI8"/>
      <c r="OJK8"/>
      <c r="OJM8"/>
      <c r="OJO8"/>
      <c r="OJQ8"/>
      <c r="OJS8"/>
      <c r="OJU8"/>
      <c r="OJW8"/>
      <c r="OJY8"/>
      <c r="OKA8"/>
      <c r="OKC8"/>
      <c r="OKE8"/>
      <c r="OKG8"/>
      <c r="OKI8"/>
      <c r="OKK8"/>
      <c r="OKM8"/>
      <c r="OKO8"/>
      <c r="OKQ8"/>
      <c r="OKS8"/>
      <c r="OKU8"/>
      <c r="OKW8"/>
      <c r="OKY8"/>
      <c r="OLA8"/>
      <c r="OLC8"/>
      <c r="OLE8"/>
      <c r="OLG8"/>
      <c r="OLI8"/>
      <c r="OLK8"/>
      <c r="OLM8"/>
      <c r="OLO8"/>
      <c r="OLQ8"/>
      <c r="OLS8"/>
      <c r="OLU8"/>
      <c r="OLW8"/>
      <c r="OLY8"/>
      <c r="OMA8"/>
      <c r="OMC8"/>
      <c r="OME8"/>
      <c r="OMG8"/>
      <c r="OMI8"/>
      <c r="OMK8"/>
      <c r="OMM8"/>
      <c r="OMO8"/>
      <c r="OMQ8"/>
      <c r="OMS8"/>
      <c r="OMU8"/>
      <c r="OMW8"/>
      <c r="OMY8"/>
      <c r="ONA8"/>
      <c r="ONC8"/>
      <c r="ONE8"/>
      <c r="ONG8"/>
      <c r="ONI8"/>
      <c r="ONK8"/>
      <c r="ONM8"/>
      <c r="ONO8"/>
      <c r="ONQ8"/>
      <c r="ONS8"/>
      <c r="ONU8"/>
      <c r="ONW8"/>
      <c r="ONY8"/>
      <c r="OOA8"/>
      <c r="OOC8"/>
      <c r="OOE8"/>
      <c r="OOG8"/>
      <c r="OOI8"/>
      <c r="OOK8"/>
      <c r="OOM8"/>
      <c r="OOO8"/>
      <c r="OOQ8"/>
      <c r="OOS8"/>
      <c r="OOU8"/>
      <c r="OOW8"/>
      <c r="OOY8"/>
      <c r="OPA8"/>
      <c r="OPC8"/>
      <c r="OPE8"/>
      <c r="OPG8"/>
      <c r="OPI8"/>
      <c r="OPK8"/>
      <c r="OPM8"/>
      <c r="OPO8"/>
      <c r="OPQ8"/>
      <c r="OPS8"/>
      <c r="OPU8"/>
      <c r="OPW8"/>
      <c r="OPY8"/>
      <c r="OQA8"/>
      <c r="OQC8"/>
      <c r="OQE8"/>
      <c r="OQG8"/>
      <c r="OQI8"/>
      <c r="OQK8"/>
      <c r="OQM8"/>
      <c r="OQO8"/>
      <c r="OQQ8"/>
      <c r="OQS8"/>
      <c r="OQU8"/>
      <c r="OQW8"/>
      <c r="OQY8"/>
      <c r="ORA8"/>
      <c r="ORC8"/>
      <c r="ORE8"/>
      <c r="ORG8"/>
      <c r="ORI8"/>
      <c r="ORK8"/>
      <c r="ORM8"/>
      <c r="ORO8"/>
      <c r="ORQ8"/>
      <c r="ORS8"/>
      <c r="ORU8"/>
      <c r="ORW8"/>
      <c r="ORY8"/>
      <c r="OSA8"/>
      <c r="OSC8"/>
      <c r="OSE8"/>
      <c r="OSG8"/>
      <c r="OSI8"/>
      <c r="OSK8"/>
      <c r="OSM8"/>
      <c r="OSO8"/>
      <c r="OSQ8"/>
      <c r="OSS8"/>
      <c r="OSU8"/>
      <c r="OSW8"/>
      <c r="OSY8"/>
      <c r="OTA8"/>
      <c r="OTC8"/>
      <c r="OTE8"/>
      <c r="OTG8"/>
      <c r="OTI8"/>
      <c r="OTK8"/>
      <c r="OTM8"/>
      <c r="OTO8"/>
      <c r="OTQ8"/>
      <c r="OTS8"/>
      <c r="OTU8"/>
      <c r="OTW8"/>
      <c r="OTY8"/>
      <c r="OUA8"/>
      <c r="OUC8"/>
      <c r="OUE8"/>
      <c r="OUG8"/>
      <c r="OUI8"/>
      <c r="OUK8"/>
      <c r="OUM8"/>
      <c r="OUO8"/>
      <c r="OUQ8"/>
      <c r="OUS8"/>
      <c r="OUU8"/>
      <c r="OUW8"/>
      <c r="OUY8"/>
      <c r="OVA8"/>
      <c r="OVC8"/>
      <c r="OVE8"/>
      <c r="OVG8"/>
      <c r="OVI8"/>
      <c r="OVK8"/>
      <c r="OVM8"/>
      <c r="OVO8"/>
      <c r="OVQ8"/>
      <c r="OVS8"/>
      <c r="OVU8"/>
      <c r="OVW8"/>
      <c r="OVY8"/>
      <c r="OWA8"/>
      <c r="OWC8"/>
      <c r="OWE8"/>
      <c r="OWG8"/>
      <c r="OWI8"/>
      <c r="OWK8"/>
      <c r="OWM8"/>
      <c r="OWO8"/>
      <c r="OWQ8"/>
      <c r="OWS8"/>
      <c r="OWU8"/>
      <c r="OWW8"/>
      <c r="OWY8"/>
      <c r="OXA8"/>
      <c r="OXC8"/>
      <c r="OXE8"/>
      <c r="OXG8"/>
      <c r="OXI8"/>
      <c r="OXK8"/>
      <c r="OXM8"/>
      <c r="OXO8"/>
      <c r="OXQ8"/>
      <c r="OXS8"/>
      <c r="OXU8"/>
      <c r="OXW8"/>
      <c r="OXY8"/>
      <c r="OYA8"/>
      <c r="OYC8"/>
      <c r="OYE8"/>
      <c r="OYG8"/>
      <c r="OYI8"/>
      <c r="OYK8"/>
      <c r="OYM8"/>
      <c r="OYO8"/>
      <c r="OYQ8"/>
      <c r="OYS8"/>
      <c r="OYU8"/>
      <c r="OYW8"/>
      <c r="OYY8"/>
      <c r="OZA8"/>
      <c r="OZC8"/>
      <c r="OZE8"/>
      <c r="OZG8"/>
      <c r="OZI8"/>
      <c r="OZK8"/>
      <c r="OZM8"/>
      <c r="OZO8"/>
      <c r="OZQ8"/>
      <c r="OZS8"/>
      <c r="OZU8"/>
      <c r="OZW8"/>
      <c r="OZY8"/>
      <c r="PAA8"/>
      <c r="PAC8"/>
      <c r="PAE8"/>
      <c r="PAG8"/>
      <c r="PAI8"/>
      <c r="PAK8"/>
      <c r="PAM8"/>
      <c r="PAO8"/>
      <c r="PAQ8"/>
      <c r="PAS8"/>
      <c r="PAU8"/>
      <c r="PAW8"/>
      <c r="PAY8"/>
      <c r="PBA8"/>
      <c r="PBC8"/>
      <c r="PBE8"/>
      <c r="PBG8"/>
      <c r="PBI8"/>
      <c r="PBK8"/>
      <c r="PBM8"/>
      <c r="PBO8"/>
      <c r="PBQ8"/>
      <c r="PBS8"/>
      <c r="PBU8"/>
      <c r="PBW8"/>
      <c r="PBY8"/>
      <c r="PCA8"/>
      <c r="PCC8"/>
      <c r="PCE8"/>
      <c r="PCG8"/>
      <c r="PCI8"/>
      <c r="PCK8"/>
      <c r="PCM8"/>
      <c r="PCO8"/>
      <c r="PCQ8"/>
      <c r="PCS8"/>
      <c r="PCU8"/>
      <c r="PCW8"/>
      <c r="PCY8"/>
      <c r="PDA8"/>
      <c r="PDC8"/>
      <c r="PDE8"/>
      <c r="PDG8"/>
      <c r="PDI8"/>
      <c r="PDK8"/>
      <c r="PDM8"/>
      <c r="PDO8"/>
      <c r="PDQ8"/>
      <c r="PDS8"/>
      <c r="PDU8"/>
      <c r="PDW8"/>
      <c r="PDY8"/>
      <c r="PEA8"/>
      <c r="PEC8"/>
      <c r="PEE8"/>
      <c r="PEG8"/>
      <c r="PEI8"/>
      <c r="PEK8"/>
      <c r="PEM8"/>
      <c r="PEO8"/>
      <c r="PEQ8"/>
      <c r="PES8"/>
      <c r="PEU8"/>
      <c r="PEW8"/>
      <c r="PEY8"/>
      <c r="PFA8"/>
      <c r="PFC8"/>
      <c r="PFE8"/>
      <c r="PFG8"/>
      <c r="PFI8"/>
      <c r="PFK8"/>
      <c r="PFM8"/>
      <c r="PFO8"/>
      <c r="PFQ8"/>
      <c r="PFS8"/>
      <c r="PFU8"/>
      <c r="PFW8"/>
      <c r="PFY8"/>
      <c r="PGA8"/>
      <c r="PGC8"/>
      <c r="PGE8"/>
      <c r="PGG8"/>
      <c r="PGI8"/>
      <c r="PGK8"/>
      <c r="PGM8"/>
      <c r="PGO8"/>
      <c r="PGQ8"/>
      <c r="PGS8"/>
      <c r="PGU8"/>
      <c r="PGW8"/>
      <c r="PGY8"/>
      <c r="PHA8"/>
      <c r="PHC8"/>
      <c r="PHE8"/>
      <c r="PHG8"/>
      <c r="PHI8"/>
      <c r="PHK8"/>
      <c r="PHM8"/>
      <c r="PHO8"/>
      <c r="PHQ8"/>
      <c r="PHS8"/>
      <c r="PHU8"/>
      <c r="PHW8"/>
      <c r="PHY8"/>
      <c r="PIA8"/>
      <c r="PIC8"/>
      <c r="PIE8"/>
      <c r="PIG8"/>
      <c r="PII8"/>
      <c r="PIK8"/>
      <c r="PIM8"/>
      <c r="PIO8"/>
      <c r="PIQ8"/>
      <c r="PIS8"/>
      <c r="PIU8"/>
      <c r="PIW8"/>
      <c r="PIY8"/>
      <c r="PJA8"/>
      <c r="PJC8"/>
      <c r="PJE8"/>
      <c r="PJG8"/>
      <c r="PJI8"/>
      <c r="PJK8"/>
      <c r="PJM8"/>
      <c r="PJO8"/>
      <c r="PJQ8"/>
      <c r="PJS8"/>
      <c r="PJU8"/>
      <c r="PJW8"/>
      <c r="PJY8"/>
      <c r="PKA8"/>
      <c r="PKC8"/>
      <c r="PKE8"/>
      <c r="PKG8"/>
      <c r="PKI8"/>
      <c r="PKK8"/>
      <c r="PKM8"/>
      <c r="PKO8"/>
      <c r="PKQ8"/>
      <c r="PKS8"/>
      <c r="PKU8"/>
      <c r="PKW8"/>
      <c r="PKY8"/>
      <c r="PLA8"/>
      <c r="PLC8"/>
      <c r="PLE8"/>
      <c r="PLG8"/>
      <c r="PLI8"/>
      <c r="PLK8"/>
      <c r="PLM8"/>
      <c r="PLO8"/>
      <c r="PLQ8"/>
      <c r="PLS8"/>
      <c r="PLU8"/>
      <c r="PLW8"/>
      <c r="PLY8"/>
      <c r="PMA8"/>
      <c r="PMC8"/>
      <c r="PME8"/>
      <c r="PMG8"/>
      <c r="PMI8"/>
      <c r="PMK8"/>
      <c r="PMM8"/>
      <c r="PMO8"/>
      <c r="PMQ8"/>
      <c r="PMS8"/>
      <c r="PMU8"/>
      <c r="PMW8"/>
      <c r="PMY8"/>
      <c r="PNA8"/>
      <c r="PNC8"/>
      <c r="PNE8"/>
      <c r="PNG8"/>
      <c r="PNI8"/>
      <c r="PNK8"/>
      <c r="PNM8"/>
      <c r="PNO8"/>
      <c r="PNQ8"/>
      <c r="PNS8"/>
      <c r="PNU8"/>
      <c r="PNW8"/>
      <c r="PNY8"/>
      <c r="POA8"/>
      <c r="POC8"/>
      <c r="POE8"/>
      <c r="POG8"/>
      <c r="POI8"/>
      <c r="POK8"/>
      <c r="POM8"/>
      <c r="POO8"/>
      <c r="POQ8"/>
      <c r="POS8"/>
      <c r="POU8"/>
      <c r="POW8"/>
      <c r="POY8"/>
      <c r="PPA8"/>
      <c r="PPC8"/>
      <c r="PPE8"/>
      <c r="PPG8"/>
      <c r="PPI8"/>
      <c r="PPK8"/>
      <c r="PPM8"/>
      <c r="PPO8"/>
      <c r="PPQ8"/>
      <c r="PPS8"/>
      <c r="PPU8"/>
      <c r="PPW8"/>
      <c r="PPY8"/>
      <c r="PQA8"/>
      <c r="PQC8"/>
      <c r="PQE8"/>
      <c r="PQG8"/>
      <c r="PQI8"/>
      <c r="PQK8"/>
      <c r="PQM8"/>
      <c r="PQO8"/>
      <c r="PQQ8"/>
      <c r="PQS8"/>
      <c r="PQU8"/>
      <c r="PQW8"/>
      <c r="PQY8"/>
      <c r="PRA8"/>
      <c r="PRC8"/>
      <c r="PRE8"/>
      <c r="PRG8"/>
      <c r="PRI8"/>
      <c r="PRK8"/>
      <c r="PRM8"/>
      <c r="PRO8"/>
      <c r="PRQ8"/>
      <c r="PRS8"/>
      <c r="PRU8"/>
      <c r="PRW8"/>
      <c r="PRY8"/>
      <c r="PSA8"/>
      <c r="PSC8"/>
      <c r="PSE8"/>
      <c r="PSG8"/>
      <c r="PSI8"/>
      <c r="PSK8"/>
      <c r="PSM8"/>
      <c r="PSO8"/>
      <c r="PSQ8"/>
      <c r="PSS8"/>
      <c r="PSU8"/>
      <c r="PSW8"/>
      <c r="PSY8"/>
      <c r="PTA8"/>
      <c r="PTC8"/>
      <c r="PTE8"/>
      <c r="PTG8"/>
      <c r="PTI8"/>
      <c r="PTK8"/>
      <c r="PTM8"/>
      <c r="PTO8"/>
      <c r="PTQ8"/>
      <c r="PTS8"/>
      <c r="PTU8"/>
      <c r="PTW8"/>
      <c r="PTY8"/>
      <c r="PUA8"/>
      <c r="PUC8"/>
      <c r="PUE8"/>
      <c r="PUG8"/>
      <c r="PUI8"/>
      <c r="PUK8"/>
      <c r="PUM8"/>
      <c r="PUO8"/>
      <c r="PUQ8"/>
      <c r="PUS8"/>
      <c r="PUU8"/>
      <c r="PUW8"/>
      <c r="PUY8"/>
      <c r="PVA8"/>
      <c r="PVC8"/>
      <c r="PVE8"/>
      <c r="PVG8"/>
      <c r="PVI8"/>
      <c r="PVK8"/>
      <c r="PVM8"/>
      <c r="PVO8"/>
      <c r="PVQ8"/>
      <c r="PVS8"/>
      <c r="PVU8"/>
      <c r="PVW8"/>
      <c r="PVY8"/>
      <c r="PWA8"/>
      <c r="PWC8"/>
      <c r="PWE8"/>
      <c r="PWG8"/>
      <c r="PWI8"/>
      <c r="PWK8"/>
      <c r="PWM8"/>
      <c r="PWO8"/>
      <c r="PWQ8"/>
      <c r="PWS8"/>
      <c r="PWU8"/>
      <c r="PWW8"/>
      <c r="PWY8"/>
      <c r="PXA8"/>
      <c r="PXC8"/>
      <c r="PXE8"/>
      <c r="PXG8"/>
      <c r="PXI8"/>
      <c r="PXK8"/>
      <c r="PXM8"/>
      <c r="PXO8"/>
      <c r="PXQ8"/>
      <c r="PXS8"/>
      <c r="PXU8"/>
      <c r="PXW8"/>
      <c r="PXY8"/>
      <c r="PYA8"/>
      <c r="PYC8"/>
      <c r="PYE8"/>
      <c r="PYG8"/>
      <c r="PYI8"/>
      <c r="PYK8"/>
      <c r="PYM8"/>
      <c r="PYO8"/>
      <c r="PYQ8"/>
      <c r="PYS8"/>
      <c r="PYU8"/>
      <c r="PYW8"/>
      <c r="PYY8"/>
      <c r="PZA8"/>
      <c r="PZC8"/>
      <c r="PZE8"/>
      <c r="PZG8"/>
      <c r="PZI8"/>
      <c r="PZK8"/>
      <c r="PZM8"/>
      <c r="PZO8"/>
      <c r="PZQ8"/>
      <c r="PZS8"/>
      <c r="PZU8"/>
      <c r="PZW8"/>
      <c r="PZY8"/>
      <c r="QAA8"/>
      <c r="QAC8"/>
      <c r="QAE8"/>
      <c r="QAG8"/>
      <c r="QAI8"/>
      <c r="QAK8"/>
      <c r="QAM8"/>
      <c r="QAO8"/>
      <c r="QAQ8"/>
      <c r="QAS8"/>
      <c r="QAU8"/>
      <c r="QAW8"/>
      <c r="QAY8"/>
      <c r="QBA8"/>
      <c r="QBC8"/>
      <c r="QBE8"/>
      <c r="QBG8"/>
      <c r="QBI8"/>
      <c r="QBK8"/>
      <c r="QBM8"/>
      <c r="QBO8"/>
      <c r="QBQ8"/>
      <c r="QBS8"/>
      <c r="QBU8"/>
      <c r="QBW8"/>
      <c r="QBY8"/>
      <c r="QCA8"/>
      <c r="QCC8"/>
      <c r="QCE8"/>
      <c r="QCG8"/>
      <c r="QCI8"/>
      <c r="QCK8"/>
      <c r="QCM8"/>
      <c r="QCO8"/>
      <c r="QCQ8"/>
      <c r="QCS8"/>
      <c r="QCU8"/>
      <c r="QCW8"/>
      <c r="QCY8"/>
      <c r="QDA8"/>
      <c r="QDC8"/>
      <c r="QDE8"/>
      <c r="QDG8"/>
      <c r="QDI8"/>
      <c r="QDK8"/>
      <c r="QDM8"/>
      <c r="QDO8"/>
      <c r="QDQ8"/>
      <c r="QDS8"/>
      <c r="QDU8"/>
      <c r="QDW8"/>
      <c r="QDY8"/>
      <c r="QEA8"/>
      <c r="QEC8"/>
      <c r="QEE8"/>
      <c r="QEG8"/>
      <c r="QEI8"/>
      <c r="QEK8"/>
      <c r="QEM8"/>
      <c r="QEO8"/>
      <c r="QEQ8"/>
      <c r="QES8"/>
      <c r="QEU8"/>
      <c r="QEW8"/>
      <c r="QEY8"/>
      <c r="QFA8"/>
      <c r="QFC8"/>
      <c r="QFE8"/>
      <c r="QFG8"/>
      <c r="QFI8"/>
      <c r="QFK8"/>
      <c r="QFM8"/>
      <c r="QFO8"/>
      <c r="QFQ8"/>
      <c r="QFS8"/>
      <c r="QFU8"/>
      <c r="QFW8"/>
      <c r="QFY8"/>
      <c r="QGA8"/>
      <c r="QGC8"/>
      <c r="QGE8"/>
      <c r="QGG8"/>
      <c r="QGI8"/>
      <c r="QGK8"/>
      <c r="QGM8"/>
      <c r="QGO8"/>
      <c r="QGQ8"/>
      <c r="QGS8"/>
      <c r="QGU8"/>
      <c r="QGW8"/>
      <c r="QGY8"/>
      <c r="QHA8"/>
      <c r="QHC8"/>
      <c r="QHE8"/>
      <c r="QHG8"/>
      <c r="QHI8"/>
      <c r="QHK8"/>
      <c r="QHM8"/>
      <c r="QHO8"/>
      <c r="QHQ8"/>
      <c r="QHS8"/>
      <c r="QHU8"/>
      <c r="QHW8"/>
      <c r="QHY8"/>
      <c r="QIA8"/>
      <c r="QIC8"/>
      <c r="QIE8"/>
      <c r="QIG8"/>
      <c r="QII8"/>
      <c r="QIK8"/>
      <c r="QIM8"/>
      <c r="QIO8"/>
      <c r="QIQ8"/>
      <c r="QIS8"/>
      <c r="QIU8"/>
      <c r="QIW8"/>
      <c r="QIY8"/>
      <c r="QJA8"/>
      <c r="QJC8"/>
      <c r="QJE8"/>
      <c r="QJG8"/>
      <c r="QJI8"/>
      <c r="QJK8"/>
      <c r="QJM8"/>
      <c r="QJO8"/>
      <c r="QJQ8"/>
      <c r="QJS8"/>
      <c r="QJU8"/>
      <c r="QJW8"/>
      <c r="QJY8"/>
      <c r="QKA8"/>
      <c r="QKC8"/>
      <c r="QKE8"/>
      <c r="QKG8"/>
      <c r="QKI8"/>
      <c r="QKK8"/>
      <c r="QKM8"/>
      <c r="QKO8"/>
      <c r="QKQ8"/>
      <c r="QKS8"/>
      <c r="QKU8"/>
      <c r="QKW8"/>
      <c r="QKY8"/>
      <c r="QLA8"/>
      <c r="QLC8"/>
      <c r="QLE8"/>
      <c r="QLG8"/>
      <c r="QLI8"/>
      <c r="QLK8"/>
      <c r="QLM8"/>
      <c r="QLO8"/>
      <c r="QLQ8"/>
      <c r="QLS8"/>
      <c r="QLU8"/>
      <c r="QLW8"/>
      <c r="QLY8"/>
      <c r="QMA8"/>
      <c r="QMC8"/>
      <c r="QME8"/>
      <c r="QMG8"/>
      <c r="QMI8"/>
      <c r="QMK8"/>
      <c r="QMM8"/>
      <c r="QMO8"/>
      <c r="QMQ8"/>
      <c r="QMS8"/>
      <c r="QMU8"/>
      <c r="QMW8"/>
      <c r="QMY8"/>
      <c r="QNA8"/>
      <c r="QNC8"/>
      <c r="QNE8"/>
      <c r="QNG8"/>
      <c r="QNI8"/>
      <c r="QNK8"/>
      <c r="QNM8"/>
      <c r="QNO8"/>
      <c r="QNQ8"/>
      <c r="QNS8"/>
      <c r="QNU8"/>
      <c r="QNW8"/>
      <c r="QNY8"/>
      <c r="QOA8"/>
      <c r="QOC8"/>
      <c r="QOE8"/>
      <c r="QOG8"/>
      <c r="QOI8"/>
      <c r="QOK8"/>
      <c r="QOM8"/>
      <c r="QOO8"/>
      <c r="QOQ8"/>
      <c r="QOS8"/>
      <c r="QOU8"/>
      <c r="QOW8"/>
      <c r="QOY8"/>
      <c r="QPA8"/>
      <c r="QPC8"/>
      <c r="QPE8"/>
      <c r="QPG8"/>
      <c r="QPI8"/>
      <c r="QPK8"/>
      <c r="QPM8"/>
      <c r="QPO8"/>
      <c r="QPQ8"/>
      <c r="QPS8"/>
      <c r="QPU8"/>
      <c r="QPW8"/>
      <c r="QPY8"/>
      <c r="QQA8"/>
      <c r="QQC8"/>
      <c r="QQE8"/>
      <c r="QQG8"/>
      <c r="QQI8"/>
      <c r="QQK8"/>
      <c r="QQM8"/>
      <c r="QQO8"/>
      <c r="QQQ8"/>
      <c r="QQS8"/>
      <c r="QQU8"/>
      <c r="QQW8"/>
      <c r="QQY8"/>
      <c r="QRA8"/>
      <c r="QRC8"/>
      <c r="QRE8"/>
      <c r="QRG8"/>
      <c r="QRI8"/>
      <c r="QRK8"/>
      <c r="QRM8"/>
      <c r="QRO8"/>
      <c r="QRQ8"/>
      <c r="QRS8"/>
      <c r="QRU8"/>
      <c r="QRW8"/>
      <c r="QRY8"/>
      <c r="QSA8"/>
      <c r="QSC8"/>
      <c r="QSE8"/>
      <c r="QSG8"/>
      <c r="QSI8"/>
      <c r="QSK8"/>
      <c r="QSM8"/>
      <c r="QSO8"/>
      <c r="QSQ8"/>
      <c r="QSS8"/>
      <c r="QSU8"/>
      <c r="QSW8"/>
      <c r="QSY8"/>
      <c r="QTA8"/>
      <c r="QTC8"/>
      <c r="QTE8"/>
      <c r="QTG8"/>
      <c r="QTI8"/>
      <c r="QTK8"/>
      <c r="QTM8"/>
      <c r="QTO8"/>
      <c r="QTQ8"/>
      <c r="QTS8"/>
      <c r="QTU8"/>
      <c r="QTW8"/>
      <c r="QTY8"/>
      <c r="QUA8"/>
      <c r="QUC8"/>
      <c r="QUE8"/>
      <c r="QUG8"/>
      <c r="QUI8"/>
      <c r="QUK8"/>
      <c r="QUM8"/>
      <c r="QUO8"/>
      <c r="QUQ8"/>
      <c r="QUS8"/>
      <c r="QUU8"/>
      <c r="QUW8"/>
      <c r="QUY8"/>
      <c r="QVA8"/>
      <c r="QVC8"/>
      <c r="QVE8"/>
      <c r="QVG8"/>
      <c r="QVI8"/>
      <c r="QVK8"/>
      <c r="QVM8"/>
      <c r="QVO8"/>
      <c r="QVQ8"/>
      <c r="QVS8"/>
      <c r="QVU8"/>
      <c r="QVW8"/>
      <c r="QVY8"/>
      <c r="QWA8"/>
      <c r="QWC8"/>
      <c r="QWE8"/>
      <c r="QWG8"/>
      <c r="QWI8"/>
      <c r="QWK8"/>
      <c r="QWM8"/>
      <c r="QWO8"/>
      <c r="QWQ8"/>
      <c r="QWS8"/>
      <c r="QWU8"/>
      <c r="QWW8"/>
      <c r="QWY8"/>
      <c r="QXA8"/>
      <c r="QXC8"/>
      <c r="QXE8"/>
      <c r="QXG8"/>
      <c r="QXI8"/>
      <c r="QXK8"/>
      <c r="QXM8"/>
      <c r="QXO8"/>
      <c r="QXQ8"/>
      <c r="QXS8"/>
      <c r="QXU8"/>
      <c r="QXW8"/>
      <c r="QXY8"/>
      <c r="QYA8"/>
      <c r="QYC8"/>
      <c r="QYE8"/>
      <c r="QYG8"/>
      <c r="QYI8"/>
      <c r="QYK8"/>
      <c r="QYM8"/>
      <c r="QYO8"/>
      <c r="QYQ8"/>
      <c r="QYS8"/>
      <c r="QYU8"/>
      <c r="QYW8"/>
      <c r="QYY8"/>
      <c r="QZA8"/>
      <c r="QZC8"/>
      <c r="QZE8"/>
      <c r="QZG8"/>
      <c r="QZI8"/>
      <c r="QZK8"/>
      <c r="QZM8"/>
      <c r="QZO8"/>
      <c r="QZQ8"/>
      <c r="QZS8"/>
      <c r="QZU8"/>
      <c r="QZW8"/>
      <c r="QZY8"/>
      <c r="RAA8"/>
      <c r="RAC8"/>
      <c r="RAE8"/>
      <c r="RAG8"/>
      <c r="RAI8"/>
      <c r="RAK8"/>
      <c r="RAM8"/>
      <c r="RAO8"/>
      <c r="RAQ8"/>
      <c r="RAS8"/>
      <c r="RAU8"/>
      <c r="RAW8"/>
      <c r="RAY8"/>
      <c r="RBA8"/>
      <c r="RBC8"/>
      <c r="RBE8"/>
      <c r="RBG8"/>
      <c r="RBI8"/>
      <c r="RBK8"/>
      <c r="RBM8"/>
      <c r="RBO8"/>
      <c r="RBQ8"/>
      <c r="RBS8"/>
      <c r="RBU8"/>
      <c r="RBW8"/>
      <c r="RBY8"/>
      <c r="RCA8"/>
      <c r="RCC8"/>
      <c r="RCE8"/>
      <c r="RCG8"/>
      <c r="RCI8"/>
      <c r="RCK8"/>
      <c r="RCM8"/>
      <c r="RCO8"/>
      <c r="RCQ8"/>
      <c r="RCS8"/>
      <c r="RCU8"/>
      <c r="RCW8"/>
      <c r="RCY8"/>
      <c r="RDA8"/>
      <c r="RDC8"/>
      <c r="RDE8"/>
      <c r="RDG8"/>
      <c r="RDI8"/>
      <c r="RDK8"/>
      <c r="RDM8"/>
      <c r="RDO8"/>
      <c r="RDQ8"/>
      <c r="RDS8"/>
      <c r="RDU8"/>
      <c r="RDW8"/>
      <c r="RDY8"/>
      <c r="REA8"/>
      <c r="REC8"/>
      <c r="REE8"/>
      <c r="REG8"/>
      <c r="REI8"/>
      <c r="REK8"/>
      <c r="REM8"/>
      <c r="REO8"/>
      <c r="REQ8"/>
      <c r="RES8"/>
      <c r="REU8"/>
      <c r="REW8"/>
      <c r="REY8"/>
      <c r="RFA8"/>
      <c r="RFC8"/>
      <c r="RFE8"/>
      <c r="RFG8"/>
      <c r="RFI8"/>
      <c r="RFK8"/>
      <c r="RFM8"/>
      <c r="RFO8"/>
      <c r="RFQ8"/>
      <c r="RFS8"/>
      <c r="RFU8"/>
      <c r="RFW8"/>
      <c r="RFY8"/>
      <c r="RGA8"/>
      <c r="RGC8"/>
      <c r="RGE8"/>
      <c r="RGG8"/>
      <c r="RGI8"/>
      <c r="RGK8"/>
      <c r="RGM8"/>
      <c r="RGO8"/>
      <c r="RGQ8"/>
      <c r="RGS8"/>
      <c r="RGU8"/>
      <c r="RGW8"/>
      <c r="RGY8"/>
      <c r="RHA8"/>
      <c r="RHC8"/>
      <c r="RHE8"/>
      <c r="RHG8"/>
      <c r="RHI8"/>
      <c r="RHK8"/>
      <c r="RHM8"/>
      <c r="RHO8"/>
      <c r="RHQ8"/>
      <c r="RHS8"/>
      <c r="RHU8"/>
      <c r="RHW8"/>
      <c r="RHY8"/>
      <c r="RIA8"/>
      <c r="RIC8"/>
      <c r="RIE8"/>
      <c r="RIG8"/>
      <c r="RII8"/>
      <c r="RIK8"/>
      <c r="RIM8"/>
      <c r="RIO8"/>
      <c r="RIQ8"/>
      <c r="RIS8"/>
      <c r="RIU8"/>
      <c r="RIW8"/>
      <c r="RIY8"/>
      <c r="RJA8"/>
      <c r="RJC8"/>
      <c r="RJE8"/>
      <c r="RJG8"/>
      <c r="RJI8"/>
      <c r="RJK8"/>
      <c r="RJM8"/>
      <c r="RJO8"/>
      <c r="RJQ8"/>
      <c r="RJS8"/>
      <c r="RJU8"/>
      <c r="RJW8"/>
      <c r="RJY8"/>
      <c r="RKA8"/>
      <c r="RKC8"/>
      <c r="RKE8"/>
      <c r="RKG8"/>
      <c r="RKI8"/>
      <c r="RKK8"/>
      <c r="RKM8"/>
      <c r="RKO8"/>
      <c r="RKQ8"/>
      <c r="RKS8"/>
      <c r="RKU8"/>
      <c r="RKW8"/>
      <c r="RKY8"/>
      <c r="RLA8"/>
      <c r="RLC8"/>
      <c r="RLE8"/>
      <c r="RLG8"/>
      <c r="RLI8"/>
      <c r="RLK8"/>
      <c r="RLM8"/>
      <c r="RLO8"/>
      <c r="RLQ8"/>
      <c r="RLS8"/>
      <c r="RLU8"/>
      <c r="RLW8"/>
      <c r="RLY8"/>
      <c r="RMA8"/>
      <c r="RMC8"/>
      <c r="RME8"/>
      <c r="RMG8"/>
      <c r="RMI8"/>
      <c r="RMK8"/>
      <c r="RMM8"/>
      <c r="RMO8"/>
      <c r="RMQ8"/>
      <c r="RMS8"/>
      <c r="RMU8"/>
      <c r="RMW8"/>
      <c r="RMY8"/>
      <c r="RNA8"/>
      <c r="RNC8"/>
      <c r="RNE8"/>
      <c r="RNG8"/>
      <c r="RNI8"/>
      <c r="RNK8"/>
      <c r="RNM8"/>
      <c r="RNO8"/>
      <c r="RNQ8"/>
      <c r="RNS8"/>
      <c r="RNU8"/>
      <c r="RNW8"/>
      <c r="RNY8"/>
      <c r="ROA8"/>
      <c r="ROC8"/>
      <c r="ROE8"/>
      <c r="ROG8"/>
      <c r="ROI8"/>
      <c r="ROK8"/>
      <c r="ROM8"/>
      <c r="ROO8"/>
      <c r="ROQ8"/>
      <c r="ROS8"/>
      <c r="ROU8"/>
      <c r="ROW8"/>
      <c r="ROY8"/>
      <c r="RPA8"/>
      <c r="RPC8"/>
      <c r="RPE8"/>
      <c r="RPG8"/>
      <c r="RPI8"/>
      <c r="RPK8"/>
      <c r="RPM8"/>
      <c r="RPO8"/>
      <c r="RPQ8"/>
      <c r="RPS8"/>
      <c r="RPU8"/>
      <c r="RPW8"/>
      <c r="RPY8"/>
      <c r="RQA8"/>
      <c r="RQC8"/>
      <c r="RQE8"/>
      <c r="RQG8"/>
      <c r="RQI8"/>
      <c r="RQK8"/>
      <c r="RQM8"/>
      <c r="RQO8"/>
      <c r="RQQ8"/>
      <c r="RQS8"/>
      <c r="RQU8"/>
      <c r="RQW8"/>
      <c r="RQY8"/>
      <c r="RRA8"/>
      <c r="RRC8"/>
      <c r="RRE8"/>
      <c r="RRG8"/>
      <c r="RRI8"/>
      <c r="RRK8"/>
      <c r="RRM8"/>
      <c r="RRO8"/>
      <c r="RRQ8"/>
      <c r="RRS8"/>
      <c r="RRU8"/>
      <c r="RRW8"/>
      <c r="RRY8"/>
      <c r="RSA8"/>
      <c r="RSC8"/>
      <c r="RSE8"/>
      <c r="RSG8"/>
      <c r="RSI8"/>
      <c r="RSK8"/>
      <c r="RSM8"/>
      <c r="RSO8"/>
      <c r="RSQ8"/>
      <c r="RSS8"/>
      <c r="RSU8"/>
      <c r="RSW8"/>
      <c r="RSY8"/>
      <c r="RTA8"/>
      <c r="RTC8"/>
      <c r="RTE8"/>
      <c r="RTG8"/>
      <c r="RTI8"/>
      <c r="RTK8"/>
      <c r="RTM8"/>
      <c r="RTO8"/>
      <c r="RTQ8"/>
      <c r="RTS8"/>
      <c r="RTU8"/>
      <c r="RTW8"/>
      <c r="RTY8"/>
      <c r="RUA8"/>
      <c r="RUC8"/>
      <c r="RUE8"/>
      <c r="RUG8"/>
      <c r="RUI8"/>
      <c r="RUK8"/>
      <c r="RUM8"/>
      <c r="RUO8"/>
      <c r="RUQ8"/>
      <c r="RUS8"/>
      <c r="RUU8"/>
      <c r="RUW8"/>
      <c r="RUY8"/>
      <c r="RVA8"/>
      <c r="RVC8"/>
      <c r="RVE8"/>
      <c r="RVG8"/>
      <c r="RVI8"/>
      <c r="RVK8"/>
      <c r="RVM8"/>
      <c r="RVO8"/>
      <c r="RVQ8"/>
      <c r="RVS8"/>
      <c r="RVU8"/>
      <c r="RVW8"/>
      <c r="RVY8"/>
      <c r="RWA8"/>
      <c r="RWC8"/>
      <c r="RWE8"/>
      <c r="RWG8"/>
      <c r="RWI8"/>
      <c r="RWK8"/>
      <c r="RWM8"/>
      <c r="RWO8"/>
      <c r="RWQ8"/>
      <c r="RWS8"/>
      <c r="RWU8"/>
      <c r="RWW8"/>
      <c r="RWY8"/>
      <c r="RXA8"/>
      <c r="RXC8"/>
      <c r="RXE8"/>
      <c r="RXG8"/>
      <c r="RXI8"/>
      <c r="RXK8"/>
      <c r="RXM8"/>
      <c r="RXO8"/>
      <c r="RXQ8"/>
      <c r="RXS8"/>
      <c r="RXU8"/>
      <c r="RXW8"/>
      <c r="RXY8"/>
      <c r="RYA8"/>
      <c r="RYC8"/>
      <c r="RYE8"/>
      <c r="RYG8"/>
      <c r="RYI8"/>
      <c r="RYK8"/>
      <c r="RYM8"/>
      <c r="RYO8"/>
      <c r="RYQ8"/>
      <c r="RYS8"/>
      <c r="RYU8"/>
      <c r="RYW8"/>
      <c r="RYY8"/>
      <c r="RZA8"/>
      <c r="RZC8"/>
      <c r="RZE8"/>
      <c r="RZG8"/>
      <c r="RZI8"/>
      <c r="RZK8"/>
      <c r="RZM8"/>
      <c r="RZO8"/>
      <c r="RZQ8"/>
      <c r="RZS8"/>
      <c r="RZU8"/>
      <c r="RZW8"/>
      <c r="RZY8"/>
      <c r="SAA8"/>
      <c r="SAC8"/>
      <c r="SAE8"/>
      <c r="SAG8"/>
      <c r="SAI8"/>
      <c r="SAK8"/>
      <c r="SAM8"/>
      <c r="SAO8"/>
      <c r="SAQ8"/>
      <c r="SAS8"/>
      <c r="SAU8"/>
      <c r="SAW8"/>
      <c r="SAY8"/>
      <c r="SBA8"/>
      <c r="SBC8"/>
      <c r="SBE8"/>
      <c r="SBG8"/>
      <c r="SBI8"/>
      <c r="SBK8"/>
      <c r="SBM8"/>
      <c r="SBO8"/>
      <c r="SBQ8"/>
      <c r="SBS8"/>
      <c r="SBU8"/>
      <c r="SBW8"/>
      <c r="SBY8"/>
      <c r="SCA8"/>
      <c r="SCC8"/>
      <c r="SCE8"/>
      <c r="SCG8"/>
      <c r="SCI8"/>
      <c r="SCK8"/>
      <c r="SCM8"/>
      <c r="SCO8"/>
      <c r="SCQ8"/>
      <c r="SCS8"/>
      <c r="SCU8"/>
      <c r="SCW8"/>
      <c r="SCY8"/>
      <c r="SDA8"/>
      <c r="SDC8"/>
      <c r="SDE8"/>
      <c r="SDG8"/>
      <c r="SDI8"/>
      <c r="SDK8"/>
      <c r="SDM8"/>
      <c r="SDO8"/>
      <c r="SDQ8"/>
      <c r="SDS8"/>
      <c r="SDU8"/>
      <c r="SDW8"/>
      <c r="SDY8"/>
      <c r="SEA8"/>
      <c r="SEC8"/>
      <c r="SEE8"/>
      <c r="SEG8"/>
      <c r="SEI8"/>
      <c r="SEK8"/>
      <c r="SEM8"/>
      <c r="SEO8"/>
      <c r="SEQ8"/>
      <c r="SES8"/>
      <c r="SEU8"/>
      <c r="SEW8"/>
      <c r="SEY8"/>
      <c r="SFA8"/>
      <c r="SFC8"/>
      <c r="SFE8"/>
      <c r="SFG8"/>
      <c r="SFI8"/>
      <c r="SFK8"/>
      <c r="SFM8"/>
      <c r="SFO8"/>
      <c r="SFQ8"/>
      <c r="SFS8"/>
      <c r="SFU8"/>
      <c r="SFW8"/>
      <c r="SFY8"/>
      <c r="SGA8"/>
      <c r="SGC8"/>
      <c r="SGE8"/>
      <c r="SGG8"/>
      <c r="SGI8"/>
      <c r="SGK8"/>
      <c r="SGM8"/>
      <c r="SGO8"/>
      <c r="SGQ8"/>
      <c r="SGS8"/>
      <c r="SGU8"/>
      <c r="SGW8"/>
      <c r="SGY8"/>
      <c r="SHA8"/>
      <c r="SHC8"/>
      <c r="SHE8"/>
      <c r="SHG8"/>
      <c r="SHI8"/>
      <c r="SHK8"/>
      <c r="SHM8"/>
      <c r="SHO8"/>
      <c r="SHQ8"/>
      <c r="SHS8"/>
      <c r="SHU8"/>
      <c r="SHW8"/>
      <c r="SHY8"/>
      <c r="SIA8"/>
      <c r="SIC8"/>
      <c r="SIE8"/>
      <c r="SIG8"/>
      <c r="SII8"/>
      <c r="SIK8"/>
      <c r="SIM8"/>
      <c r="SIO8"/>
      <c r="SIQ8"/>
      <c r="SIS8"/>
      <c r="SIU8"/>
      <c r="SIW8"/>
      <c r="SIY8"/>
      <c r="SJA8"/>
      <c r="SJC8"/>
      <c r="SJE8"/>
      <c r="SJG8"/>
      <c r="SJI8"/>
      <c r="SJK8"/>
      <c r="SJM8"/>
      <c r="SJO8"/>
      <c r="SJQ8"/>
      <c r="SJS8"/>
      <c r="SJU8"/>
      <c r="SJW8"/>
      <c r="SJY8"/>
      <c r="SKA8"/>
      <c r="SKC8"/>
      <c r="SKE8"/>
      <c r="SKG8"/>
      <c r="SKI8"/>
      <c r="SKK8"/>
      <c r="SKM8"/>
      <c r="SKO8"/>
      <c r="SKQ8"/>
      <c r="SKS8"/>
      <c r="SKU8"/>
      <c r="SKW8"/>
      <c r="SKY8"/>
      <c r="SLA8"/>
      <c r="SLC8"/>
      <c r="SLE8"/>
      <c r="SLG8"/>
      <c r="SLI8"/>
      <c r="SLK8"/>
      <c r="SLM8"/>
      <c r="SLO8"/>
      <c r="SLQ8"/>
      <c r="SLS8"/>
      <c r="SLU8"/>
      <c r="SLW8"/>
      <c r="SLY8"/>
      <c r="SMA8"/>
      <c r="SMC8"/>
      <c r="SME8"/>
      <c r="SMG8"/>
      <c r="SMI8"/>
      <c r="SMK8"/>
      <c r="SMM8"/>
      <c r="SMO8"/>
      <c r="SMQ8"/>
      <c r="SMS8"/>
      <c r="SMU8"/>
      <c r="SMW8"/>
      <c r="SMY8"/>
      <c r="SNA8"/>
      <c r="SNC8"/>
      <c r="SNE8"/>
      <c r="SNG8"/>
      <c r="SNI8"/>
      <c r="SNK8"/>
      <c r="SNM8"/>
      <c r="SNO8"/>
      <c r="SNQ8"/>
      <c r="SNS8"/>
      <c r="SNU8"/>
      <c r="SNW8"/>
      <c r="SNY8"/>
      <c r="SOA8"/>
      <c r="SOC8"/>
      <c r="SOE8"/>
      <c r="SOG8"/>
      <c r="SOI8"/>
      <c r="SOK8"/>
      <c r="SOM8"/>
      <c r="SOO8"/>
      <c r="SOQ8"/>
      <c r="SOS8"/>
      <c r="SOU8"/>
      <c r="SOW8"/>
      <c r="SOY8"/>
      <c r="SPA8"/>
      <c r="SPC8"/>
      <c r="SPE8"/>
      <c r="SPG8"/>
      <c r="SPI8"/>
      <c r="SPK8"/>
      <c r="SPM8"/>
      <c r="SPO8"/>
      <c r="SPQ8"/>
      <c r="SPS8"/>
      <c r="SPU8"/>
      <c r="SPW8"/>
      <c r="SPY8"/>
      <c r="SQA8"/>
      <c r="SQC8"/>
      <c r="SQE8"/>
      <c r="SQG8"/>
      <c r="SQI8"/>
      <c r="SQK8"/>
      <c r="SQM8"/>
      <c r="SQO8"/>
      <c r="SQQ8"/>
      <c r="SQS8"/>
      <c r="SQU8"/>
      <c r="SQW8"/>
      <c r="SQY8"/>
      <c r="SRA8"/>
      <c r="SRC8"/>
      <c r="SRE8"/>
      <c r="SRG8"/>
      <c r="SRI8"/>
      <c r="SRK8"/>
      <c r="SRM8"/>
      <c r="SRO8"/>
      <c r="SRQ8"/>
      <c r="SRS8"/>
      <c r="SRU8"/>
      <c r="SRW8"/>
      <c r="SRY8"/>
      <c r="SSA8"/>
      <c r="SSC8"/>
      <c r="SSE8"/>
      <c r="SSG8"/>
      <c r="SSI8"/>
      <c r="SSK8"/>
      <c r="SSM8"/>
      <c r="SSO8"/>
      <c r="SSQ8"/>
      <c r="SSS8"/>
      <c r="SSU8"/>
      <c r="SSW8"/>
      <c r="SSY8"/>
      <c r="STA8"/>
      <c r="STC8"/>
      <c r="STE8"/>
      <c r="STG8"/>
      <c r="STI8"/>
      <c r="STK8"/>
      <c r="STM8"/>
      <c r="STO8"/>
      <c r="STQ8"/>
      <c r="STS8"/>
      <c r="STU8"/>
      <c r="STW8"/>
      <c r="STY8"/>
      <c r="SUA8"/>
      <c r="SUC8"/>
      <c r="SUE8"/>
      <c r="SUG8"/>
      <c r="SUI8"/>
      <c r="SUK8"/>
      <c r="SUM8"/>
      <c r="SUO8"/>
      <c r="SUQ8"/>
      <c r="SUS8"/>
      <c r="SUU8"/>
      <c r="SUW8"/>
      <c r="SUY8"/>
      <c r="SVA8"/>
      <c r="SVC8"/>
      <c r="SVE8"/>
      <c r="SVG8"/>
      <c r="SVI8"/>
      <c r="SVK8"/>
      <c r="SVM8"/>
      <c r="SVO8"/>
      <c r="SVQ8"/>
      <c r="SVS8"/>
      <c r="SVU8"/>
      <c r="SVW8"/>
      <c r="SVY8"/>
      <c r="SWA8"/>
      <c r="SWC8"/>
      <c r="SWE8"/>
      <c r="SWG8"/>
      <c r="SWI8"/>
      <c r="SWK8"/>
      <c r="SWM8"/>
      <c r="SWO8"/>
      <c r="SWQ8"/>
      <c r="SWS8"/>
      <c r="SWU8"/>
      <c r="SWW8"/>
      <c r="SWY8"/>
      <c r="SXA8"/>
      <c r="SXC8"/>
      <c r="SXE8"/>
      <c r="SXG8"/>
      <c r="SXI8"/>
      <c r="SXK8"/>
      <c r="SXM8"/>
      <c r="SXO8"/>
      <c r="SXQ8"/>
      <c r="SXS8"/>
      <c r="SXU8"/>
      <c r="SXW8"/>
      <c r="SXY8"/>
      <c r="SYA8"/>
      <c r="SYC8"/>
      <c r="SYE8"/>
      <c r="SYG8"/>
      <c r="SYI8"/>
      <c r="SYK8"/>
      <c r="SYM8"/>
      <c r="SYO8"/>
      <c r="SYQ8"/>
      <c r="SYS8"/>
      <c r="SYU8"/>
      <c r="SYW8"/>
      <c r="SYY8"/>
      <c r="SZA8"/>
      <c r="SZC8"/>
      <c r="SZE8"/>
      <c r="SZG8"/>
      <c r="SZI8"/>
      <c r="SZK8"/>
      <c r="SZM8"/>
      <c r="SZO8"/>
      <c r="SZQ8"/>
      <c r="SZS8"/>
      <c r="SZU8"/>
      <c r="SZW8"/>
      <c r="SZY8"/>
      <c r="TAA8"/>
      <c r="TAC8"/>
      <c r="TAE8"/>
      <c r="TAG8"/>
      <c r="TAI8"/>
      <c r="TAK8"/>
      <c r="TAM8"/>
      <c r="TAO8"/>
      <c r="TAQ8"/>
      <c r="TAS8"/>
      <c r="TAU8"/>
      <c r="TAW8"/>
      <c r="TAY8"/>
      <c r="TBA8"/>
      <c r="TBC8"/>
      <c r="TBE8"/>
      <c r="TBG8"/>
      <c r="TBI8"/>
      <c r="TBK8"/>
      <c r="TBM8"/>
      <c r="TBO8"/>
      <c r="TBQ8"/>
      <c r="TBS8"/>
      <c r="TBU8"/>
      <c r="TBW8"/>
      <c r="TBY8"/>
      <c r="TCA8"/>
      <c r="TCC8"/>
      <c r="TCE8"/>
      <c r="TCG8"/>
      <c r="TCI8"/>
      <c r="TCK8"/>
      <c r="TCM8"/>
      <c r="TCO8"/>
      <c r="TCQ8"/>
      <c r="TCS8"/>
      <c r="TCU8"/>
      <c r="TCW8"/>
      <c r="TCY8"/>
      <c r="TDA8"/>
      <c r="TDC8"/>
      <c r="TDE8"/>
      <c r="TDG8"/>
      <c r="TDI8"/>
      <c r="TDK8"/>
      <c r="TDM8"/>
      <c r="TDO8"/>
      <c r="TDQ8"/>
      <c r="TDS8"/>
      <c r="TDU8"/>
      <c r="TDW8"/>
      <c r="TDY8"/>
      <c r="TEA8"/>
      <c r="TEC8"/>
      <c r="TEE8"/>
      <c r="TEG8"/>
      <c r="TEI8"/>
      <c r="TEK8"/>
      <c r="TEM8"/>
      <c r="TEO8"/>
      <c r="TEQ8"/>
      <c r="TES8"/>
      <c r="TEU8"/>
      <c r="TEW8"/>
      <c r="TEY8"/>
      <c r="TFA8"/>
      <c r="TFC8"/>
      <c r="TFE8"/>
      <c r="TFG8"/>
      <c r="TFI8"/>
      <c r="TFK8"/>
      <c r="TFM8"/>
      <c r="TFO8"/>
      <c r="TFQ8"/>
      <c r="TFS8"/>
      <c r="TFU8"/>
      <c r="TFW8"/>
      <c r="TFY8"/>
      <c r="TGA8"/>
      <c r="TGC8"/>
      <c r="TGE8"/>
      <c r="TGG8"/>
      <c r="TGI8"/>
      <c r="TGK8"/>
      <c r="TGM8"/>
      <c r="TGO8"/>
      <c r="TGQ8"/>
      <c r="TGS8"/>
      <c r="TGU8"/>
      <c r="TGW8"/>
      <c r="TGY8"/>
      <c r="THA8"/>
      <c r="THC8"/>
      <c r="THE8"/>
      <c r="THG8"/>
      <c r="THI8"/>
      <c r="THK8"/>
      <c r="THM8"/>
      <c r="THO8"/>
      <c r="THQ8"/>
      <c r="THS8"/>
      <c r="THU8"/>
      <c r="THW8"/>
      <c r="THY8"/>
      <c r="TIA8"/>
      <c r="TIC8"/>
      <c r="TIE8"/>
      <c r="TIG8"/>
      <c r="TII8"/>
      <c r="TIK8"/>
      <c r="TIM8"/>
      <c r="TIO8"/>
      <c r="TIQ8"/>
      <c r="TIS8"/>
      <c r="TIU8"/>
      <c r="TIW8"/>
      <c r="TIY8"/>
      <c r="TJA8"/>
      <c r="TJC8"/>
      <c r="TJE8"/>
      <c r="TJG8"/>
      <c r="TJI8"/>
      <c r="TJK8"/>
      <c r="TJM8"/>
      <c r="TJO8"/>
      <c r="TJQ8"/>
      <c r="TJS8"/>
      <c r="TJU8"/>
      <c r="TJW8"/>
      <c r="TJY8"/>
      <c r="TKA8"/>
      <c r="TKC8"/>
      <c r="TKE8"/>
      <c r="TKG8"/>
      <c r="TKI8"/>
      <c r="TKK8"/>
      <c r="TKM8"/>
      <c r="TKO8"/>
      <c r="TKQ8"/>
      <c r="TKS8"/>
      <c r="TKU8"/>
      <c r="TKW8"/>
      <c r="TKY8"/>
      <c r="TLA8"/>
      <c r="TLC8"/>
      <c r="TLE8"/>
      <c r="TLG8"/>
      <c r="TLI8"/>
      <c r="TLK8"/>
      <c r="TLM8"/>
      <c r="TLO8"/>
      <c r="TLQ8"/>
      <c r="TLS8"/>
      <c r="TLU8"/>
      <c r="TLW8"/>
      <c r="TLY8"/>
      <c r="TMA8"/>
      <c r="TMC8"/>
      <c r="TME8"/>
      <c r="TMG8"/>
      <c r="TMI8"/>
      <c r="TMK8"/>
      <c r="TMM8"/>
      <c r="TMO8"/>
      <c r="TMQ8"/>
      <c r="TMS8"/>
      <c r="TMU8"/>
      <c r="TMW8"/>
      <c r="TMY8"/>
      <c r="TNA8"/>
      <c r="TNC8"/>
      <c r="TNE8"/>
      <c r="TNG8"/>
      <c r="TNI8"/>
      <c r="TNK8"/>
      <c r="TNM8"/>
      <c r="TNO8"/>
      <c r="TNQ8"/>
      <c r="TNS8"/>
      <c r="TNU8"/>
      <c r="TNW8"/>
      <c r="TNY8"/>
      <c r="TOA8"/>
      <c r="TOC8"/>
      <c r="TOE8"/>
      <c r="TOG8"/>
      <c r="TOI8"/>
      <c r="TOK8"/>
      <c r="TOM8"/>
      <c r="TOO8"/>
      <c r="TOQ8"/>
      <c r="TOS8"/>
      <c r="TOU8"/>
      <c r="TOW8"/>
      <c r="TOY8"/>
      <c r="TPA8"/>
      <c r="TPC8"/>
      <c r="TPE8"/>
      <c r="TPG8"/>
      <c r="TPI8"/>
      <c r="TPK8"/>
      <c r="TPM8"/>
      <c r="TPO8"/>
      <c r="TPQ8"/>
      <c r="TPS8"/>
      <c r="TPU8"/>
      <c r="TPW8"/>
      <c r="TPY8"/>
      <c r="TQA8"/>
      <c r="TQC8"/>
      <c r="TQE8"/>
      <c r="TQG8"/>
      <c r="TQI8"/>
      <c r="TQK8"/>
      <c r="TQM8"/>
      <c r="TQO8"/>
      <c r="TQQ8"/>
      <c r="TQS8"/>
      <c r="TQU8"/>
      <c r="TQW8"/>
      <c r="TQY8"/>
      <c r="TRA8"/>
      <c r="TRC8"/>
      <c r="TRE8"/>
      <c r="TRG8"/>
      <c r="TRI8"/>
      <c r="TRK8"/>
      <c r="TRM8"/>
      <c r="TRO8"/>
      <c r="TRQ8"/>
      <c r="TRS8"/>
      <c r="TRU8"/>
      <c r="TRW8"/>
      <c r="TRY8"/>
      <c r="TSA8"/>
      <c r="TSC8"/>
      <c r="TSE8"/>
      <c r="TSG8"/>
      <c r="TSI8"/>
      <c r="TSK8"/>
      <c r="TSM8"/>
      <c r="TSO8"/>
      <c r="TSQ8"/>
      <c r="TSS8"/>
      <c r="TSU8"/>
      <c r="TSW8"/>
      <c r="TSY8"/>
      <c r="TTA8"/>
      <c r="TTC8"/>
      <c r="TTE8"/>
      <c r="TTG8"/>
      <c r="TTI8"/>
      <c r="TTK8"/>
      <c r="TTM8"/>
      <c r="TTO8"/>
      <c r="TTQ8"/>
      <c r="TTS8"/>
      <c r="TTU8"/>
      <c r="TTW8"/>
      <c r="TTY8"/>
      <c r="TUA8"/>
      <c r="TUC8"/>
      <c r="TUE8"/>
      <c r="TUG8"/>
      <c r="TUI8"/>
      <c r="TUK8"/>
      <c r="TUM8"/>
      <c r="TUO8"/>
      <c r="TUQ8"/>
      <c r="TUS8"/>
      <c r="TUU8"/>
      <c r="TUW8"/>
      <c r="TUY8"/>
      <c r="TVA8"/>
      <c r="TVC8"/>
      <c r="TVE8"/>
      <c r="TVG8"/>
      <c r="TVI8"/>
      <c r="TVK8"/>
      <c r="TVM8"/>
      <c r="TVO8"/>
      <c r="TVQ8"/>
      <c r="TVS8"/>
      <c r="TVU8"/>
      <c r="TVW8"/>
      <c r="TVY8"/>
      <c r="TWA8"/>
      <c r="TWC8"/>
      <c r="TWE8"/>
      <c r="TWG8"/>
      <c r="TWI8"/>
      <c r="TWK8"/>
      <c r="TWM8"/>
      <c r="TWO8"/>
      <c r="TWQ8"/>
      <c r="TWS8"/>
      <c r="TWU8"/>
      <c r="TWW8"/>
      <c r="TWY8"/>
      <c r="TXA8"/>
      <c r="TXC8"/>
      <c r="TXE8"/>
      <c r="TXG8"/>
      <c r="TXI8"/>
      <c r="TXK8"/>
      <c r="TXM8"/>
      <c r="TXO8"/>
      <c r="TXQ8"/>
      <c r="TXS8"/>
      <c r="TXU8"/>
      <c r="TXW8"/>
      <c r="TXY8"/>
      <c r="TYA8"/>
      <c r="TYC8"/>
      <c r="TYE8"/>
      <c r="TYG8"/>
      <c r="TYI8"/>
      <c r="TYK8"/>
      <c r="TYM8"/>
      <c r="TYO8"/>
      <c r="TYQ8"/>
      <c r="TYS8"/>
      <c r="TYU8"/>
      <c r="TYW8"/>
      <c r="TYY8"/>
      <c r="TZA8"/>
      <c r="TZC8"/>
      <c r="TZE8"/>
      <c r="TZG8"/>
      <c r="TZI8"/>
      <c r="TZK8"/>
      <c r="TZM8"/>
      <c r="TZO8"/>
      <c r="TZQ8"/>
      <c r="TZS8"/>
      <c r="TZU8"/>
      <c r="TZW8"/>
      <c r="TZY8"/>
      <c r="UAA8"/>
      <c r="UAC8"/>
      <c r="UAE8"/>
      <c r="UAG8"/>
      <c r="UAI8"/>
      <c r="UAK8"/>
      <c r="UAM8"/>
      <c r="UAO8"/>
      <c r="UAQ8"/>
      <c r="UAS8"/>
      <c r="UAU8"/>
      <c r="UAW8"/>
      <c r="UAY8"/>
      <c r="UBA8"/>
      <c r="UBC8"/>
      <c r="UBE8"/>
      <c r="UBG8"/>
      <c r="UBI8"/>
      <c r="UBK8"/>
      <c r="UBM8"/>
      <c r="UBO8"/>
      <c r="UBQ8"/>
      <c r="UBS8"/>
      <c r="UBU8"/>
      <c r="UBW8"/>
      <c r="UBY8"/>
      <c r="UCA8"/>
      <c r="UCC8"/>
      <c r="UCE8"/>
      <c r="UCG8"/>
      <c r="UCI8"/>
      <c r="UCK8"/>
      <c r="UCM8"/>
      <c r="UCO8"/>
      <c r="UCQ8"/>
      <c r="UCS8"/>
      <c r="UCU8"/>
      <c r="UCW8"/>
      <c r="UCY8"/>
      <c r="UDA8"/>
      <c r="UDC8"/>
      <c r="UDE8"/>
      <c r="UDG8"/>
      <c r="UDI8"/>
      <c r="UDK8"/>
      <c r="UDM8"/>
      <c r="UDO8"/>
      <c r="UDQ8"/>
      <c r="UDS8"/>
      <c r="UDU8"/>
      <c r="UDW8"/>
      <c r="UDY8"/>
      <c r="UEA8"/>
      <c r="UEC8"/>
      <c r="UEE8"/>
      <c r="UEG8"/>
      <c r="UEI8"/>
      <c r="UEK8"/>
      <c r="UEM8"/>
      <c r="UEO8"/>
      <c r="UEQ8"/>
      <c r="UES8"/>
      <c r="UEU8"/>
      <c r="UEW8"/>
      <c r="UEY8"/>
      <c r="UFA8"/>
      <c r="UFC8"/>
      <c r="UFE8"/>
      <c r="UFG8"/>
      <c r="UFI8"/>
      <c r="UFK8"/>
      <c r="UFM8"/>
      <c r="UFO8"/>
      <c r="UFQ8"/>
      <c r="UFS8"/>
      <c r="UFU8"/>
      <c r="UFW8"/>
      <c r="UFY8"/>
      <c r="UGA8"/>
      <c r="UGC8"/>
      <c r="UGE8"/>
      <c r="UGG8"/>
      <c r="UGI8"/>
      <c r="UGK8"/>
      <c r="UGM8"/>
      <c r="UGO8"/>
      <c r="UGQ8"/>
      <c r="UGS8"/>
      <c r="UGU8"/>
      <c r="UGW8"/>
      <c r="UGY8"/>
      <c r="UHA8"/>
      <c r="UHC8"/>
      <c r="UHE8"/>
      <c r="UHG8"/>
      <c r="UHI8"/>
      <c r="UHK8"/>
      <c r="UHM8"/>
      <c r="UHO8"/>
      <c r="UHQ8"/>
      <c r="UHS8"/>
      <c r="UHU8"/>
      <c r="UHW8"/>
      <c r="UHY8"/>
      <c r="UIA8"/>
      <c r="UIC8"/>
      <c r="UIE8"/>
      <c r="UIG8"/>
      <c r="UII8"/>
      <c r="UIK8"/>
      <c r="UIM8"/>
      <c r="UIO8"/>
      <c r="UIQ8"/>
      <c r="UIS8"/>
      <c r="UIU8"/>
      <c r="UIW8"/>
      <c r="UIY8"/>
      <c r="UJA8"/>
      <c r="UJC8"/>
      <c r="UJE8"/>
      <c r="UJG8"/>
      <c r="UJI8"/>
      <c r="UJK8"/>
      <c r="UJM8"/>
      <c r="UJO8"/>
      <c r="UJQ8"/>
      <c r="UJS8"/>
      <c r="UJU8"/>
      <c r="UJW8"/>
      <c r="UJY8"/>
      <c r="UKA8"/>
      <c r="UKC8"/>
      <c r="UKE8"/>
      <c r="UKG8"/>
      <c r="UKI8"/>
      <c r="UKK8"/>
      <c r="UKM8"/>
      <c r="UKO8"/>
      <c r="UKQ8"/>
      <c r="UKS8"/>
      <c r="UKU8"/>
      <c r="UKW8"/>
      <c r="UKY8"/>
      <c r="ULA8"/>
      <c r="ULC8"/>
      <c r="ULE8"/>
      <c r="ULG8"/>
      <c r="ULI8"/>
      <c r="ULK8"/>
      <c r="ULM8"/>
      <c r="ULO8"/>
      <c r="ULQ8"/>
      <c r="ULS8"/>
      <c r="ULU8"/>
      <c r="ULW8"/>
      <c r="ULY8"/>
      <c r="UMA8"/>
      <c r="UMC8"/>
      <c r="UME8"/>
      <c r="UMG8"/>
      <c r="UMI8"/>
      <c r="UMK8"/>
      <c r="UMM8"/>
      <c r="UMO8"/>
      <c r="UMQ8"/>
      <c r="UMS8"/>
      <c r="UMU8"/>
      <c r="UMW8"/>
      <c r="UMY8"/>
      <c r="UNA8"/>
      <c r="UNC8"/>
      <c r="UNE8"/>
      <c r="UNG8"/>
      <c r="UNI8"/>
      <c r="UNK8"/>
      <c r="UNM8"/>
      <c r="UNO8"/>
      <c r="UNQ8"/>
      <c r="UNS8"/>
      <c r="UNU8"/>
      <c r="UNW8"/>
      <c r="UNY8"/>
      <c r="UOA8"/>
      <c r="UOC8"/>
      <c r="UOE8"/>
      <c r="UOG8"/>
      <c r="UOI8"/>
      <c r="UOK8"/>
      <c r="UOM8"/>
      <c r="UOO8"/>
      <c r="UOQ8"/>
      <c r="UOS8"/>
      <c r="UOU8"/>
      <c r="UOW8"/>
      <c r="UOY8"/>
      <c r="UPA8"/>
      <c r="UPC8"/>
      <c r="UPE8"/>
      <c r="UPG8"/>
      <c r="UPI8"/>
      <c r="UPK8"/>
      <c r="UPM8"/>
      <c r="UPO8"/>
      <c r="UPQ8"/>
      <c r="UPS8"/>
      <c r="UPU8"/>
      <c r="UPW8"/>
      <c r="UPY8"/>
      <c r="UQA8"/>
      <c r="UQC8"/>
      <c r="UQE8"/>
      <c r="UQG8"/>
      <c r="UQI8"/>
      <c r="UQK8"/>
      <c r="UQM8"/>
      <c r="UQO8"/>
      <c r="UQQ8"/>
      <c r="UQS8"/>
      <c r="UQU8"/>
      <c r="UQW8"/>
      <c r="UQY8"/>
      <c r="URA8"/>
      <c r="URC8"/>
      <c r="URE8"/>
      <c r="URG8"/>
      <c r="URI8"/>
      <c r="URK8"/>
      <c r="URM8"/>
      <c r="URO8"/>
      <c r="URQ8"/>
      <c r="URS8"/>
      <c r="URU8"/>
      <c r="URW8"/>
      <c r="URY8"/>
      <c r="USA8"/>
      <c r="USC8"/>
      <c r="USE8"/>
      <c r="USG8"/>
      <c r="USI8"/>
      <c r="USK8"/>
      <c r="USM8"/>
      <c r="USO8"/>
      <c r="USQ8"/>
      <c r="USS8"/>
      <c r="USU8"/>
      <c r="USW8"/>
      <c r="USY8"/>
      <c r="UTA8"/>
      <c r="UTC8"/>
      <c r="UTE8"/>
      <c r="UTG8"/>
      <c r="UTI8"/>
      <c r="UTK8"/>
      <c r="UTM8"/>
      <c r="UTO8"/>
      <c r="UTQ8"/>
      <c r="UTS8"/>
      <c r="UTU8"/>
      <c r="UTW8"/>
      <c r="UTY8"/>
      <c r="UUA8"/>
      <c r="UUC8"/>
      <c r="UUE8"/>
      <c r="UUG8"/>
      <c r="UUI8"/>
      <c r="UUK8"/>
      <c r="UUM8"/>
      <c r="UUO8"/>
      <c r="UUQ8"/>
      <c r="UUS8"/>
      <c r="UUU8"/>
      <c r="UUW8"/>
      <c r="UUY8"/>
      <c r="UVA8"/>
      <c r="UVC8"/>
      <c r="UVE8"/>
      <c r="UVG8"/>
      <c r="UVI8"/>
      <c r="UVK8"/>
      <c r="UVM8"/>
      <c r="UVO8"/>
      <c r="UVQ8"/>
      <c r="UVS8"/>
      <c r="UVU8"/>
      <c r="UVW8"/>
      <c r="UVY8"/>
      <c r="UWA8"/>
      <c r="UWC8"/>
      <c r="UWE8"/>
      <c r="UWG8"/>
      <c r="UWI8"/>
      <c r="UWK8"/>
      <c r="UWM8"/>
      <c r="UWO8"/>
      <c r="UWQ8"/>
      <c r="UWS8"/>
      <c r="UWU8"/>
      <c r="UWW8"/>
      <c r="UWY8"/>
      <c r="UXA8"/>
      <c r="UXC8"/>
      <c r="UXE8"/>
      <c r="UXG8"/>
      <c r="UXI8"/>
      <c r="UXK8"/>
      <c r="UXM8"/>
      <c r="UXO8"/>
      <c r="UXQ8"/>
      <c r="UXS8"/>
      <c r="UXU8"/>
      <c r="UXW8"/>
      <c r="UXY8"/>
      <c r="UYA8"/>
      <c r="UYC8"/>
      <c r="UYE8"/>
      <c r="UYG8"/>
      <c r="UYI8"/>
      <c r="UYK8"/>
      <c r="UYM8"/>
      <c r="UYO8"/>
      <c r="UYQ8"/>
      <c r="UYS8"/>
      <c r="UYU8"/>
      <c r="UYW8"/>
      <c r="UYY8"/>
      <c r="UZA8"/>
      <c r="UZC8"/>
      <c r="UZE8"/>
      <c r="UZG8"/>
      <c r="UZI8"/>
      <c r="UZK8"/>
      <c r="UZM8"/>
      <c r="UZO8"/>
      <c r="UZQ8"/>
      <c r="UZS8"/>
      <c r="UZU8"/>
      <c r="UZW8"/>
      <c r="UZY8"/>
      <c r="VAA8"/>
      <c r="VAC8"/>
      <c r="VAE8"/>
      <c r="VAG8"/>
      <c r="VAI8"/>
      <c r="VAK8"/>
      <c r="VAM8"/>
      <c r="VAO8"/>
      <c r="VAQ8"/>
      <c r="VAS8"/>
      <c r="VAU8"/>
      <c r="VAW8"/>
      <c r="VAY8"/>
      <c r="VBA8"/>
      <c r="VBC8"/>
      <c r="VBE8"/>
      <c r="VBG8"/>
      <c r="VBI8"/>
      <c r="VBK8"/>
      <c r="VBM8"/>
      <c r="VBO8"/>
      <c r="VBQ8"/>
      <c r="VBS8"/>
      <c r="VBU8"/>
      <c r="VBW8"/>
      <c r="VBY8"/>
      <c r="VCA8"/>
      <c r="VCC8"/>
      <c r="VCE8"/>
      <c r="VCG8"/>
      <c r="VCI8"/>
      <c r="VCK8"/>
      <c r="VCM8"/>
      <c r="VCO8"/>
      <c r="VCQ8"/>
      <c r="VCS8"/>
      <c r="VCU8"/>
      <c r="VCW8"/>
      <c r="VCY8"/>
      <c r="VDA8"/>
      <c r="VDC8"/>
      <c r="VDE8"/>
      <c r="VDG8"/>
      <c r="VDI8"/>
      <c r="VDK8"/>
      <c r="VDM8"/>
      <c r="VDO8"/>
      <c r="VDQ8"/>
      <c r="VDS8"/>
      <c r="VDU8"/>
      <c r="VDW8"/>
      <c r="VDY8"/>
      <c r="VEA8"/>
      <c r="VEC8"/>
      <c r="VEE8"/>
      <c r="VEG8"/>
      <c r="VEI8"/>
      <c r="VEK8"/>
      <c r="VEM8"/>
      <c r="VEO8"/>
      <c r="VEQ8"/>
      <c r="VES8"/>
      <c r="VEU8"/>
      <c r="VEW8"/>
      <c r="VEY8"/>
      <c r="VFA8"/>
      <c r="VFC8"/>
      <c r="VFE8"/>
      <c r="VFG8"/>
      <c r="VFI8"/>
      <c r="VFK8"/>
      <c r="VFM8"/>
      <c r="VFO8"/>
      <c r="VFQ8"/>
      <c r="VFS8"/>
      <c r="VFU8"/>
      <c r="VFW8"/>
      <c r="VFY8"/>
      <c r="VGA8"/>
      <c r="VGC8"/>
      <c r="VGE8"/>
      <c r="VGG8"/>
      <c r="VGI8"/>
      <c r="VGK8"/>
      <c r="VGM8"/>
      <c r="VGO8"/>
      <c r="VGQ8"/>
      <c r="VGS8"/>
      <c r="VGU8"/>
      <c r="VGW8"/>
      <c r="VGY8"/>
      <c r="VHA8"/>
      <c r="VHC8"/>
      <c r="VHE8"/>
      <c r="VHG8"/>
      <c r="VHI8"/>
      <c r="VHK8"/>
      <c r="VHM8"/>
      <c r="VHO8"/>
      <c r="VHQ8"/>
      <c r="VHS8"/>
      <c r="VHU8"/>
      <c r="VHW8"/>
      <c r="VHY8"/>
      <c r="VIA8"/>
      <c r="VIC8"/>
      <c r="VIE8"/>
      <c r="VIG8"/>
      <c r="VII8"/>
      <c r="VIK8"/>
      <c r="VIM8"/>
      <c r="VIO8"/>
      <c r="VIQ8"/>
      <c r="VIS8"/>
      <c r="VIU8"/>
      <c r="VIW8"/>
      <c r="VIY8"/>
      <c r="VJA8"/>
      <c r="VJC8"/>
      <c r="VJE8"/>
      <c r="VJG8"/>
      <c r="VJI8"/>
      <c r="VJK8"/>
      <c r="VJM8"/>
      <c r="VJO8"/>
      <c r="VJQ8"/>
      <c r="VJS8"/>
      <c r="VJU8"/>
      <c r="VJW8"/>
      <c r="VJY8"/>
      <c r="VKA8"/>
      <c r="VKC8"/>
      <c r="VKE8"/>
      <c r="VKG8"/>
      <c r="VKI8"/>
      <c r="VKK8"/>
      <c r="VKM8"/>
      <c r="VKO8"/>
      <c r="VKQ8"/>
      <c r="VKS8"/>
      <c r="VKU8"/>
      <c r="VKW8"/>
      <c r="VKY8"/>
      <c r="VLA8"/>
      <c r="VLC8"/>
      <c r="VLE8"/>
      <c r="VLG8"/>
      <c r="VLI8"/>
      <c r="VLK8"/>
      <c r="VLM8"/>
      <c r="VLO8"/>
      <c r="VLQ8"/>
      <c r="VLS8"/>
      <c r="VLU8"/>
      <c r="VLW8"/>
      <c r="VLY8"/>
      <c r="VMA8"/>
      <c r="VMC8"/>
      <c r="VME8"/>
      <c r="VMG8"/>
      <c r="VMI8"/>
      <c r="VMK8"/>
      <c r="VMM8"/>
      <c r="VMO8"/>
      <c r="VMQ8"/>
      <c r="VMS8"/>
      <c r="VMU8"/>
      <c r="VMW8"/>
      <c r="VMY8"/>
      <c r="VNA8"/>
      <c r="VNC8"/>
      <c r="VNE8"/>
      <c r="VNG8"/>
      <c r="VNI8"/>
      <c r="VNK8"/>
      <c r="VNM8"/>
      <c r="VNO8"/>
      <c r="VNQ8"/>
      <c r="VNS8"/>
      <c r="VNU8"/>
      <c r="VNW8"/>
      <c r="VNY8"/>
      <c r="VOA8"/>
      <c r="VOC8"/>
      <c r="VOE8"/>
      <c r="VOG8"/>
      <c r="VOI8"/>
      <c r="VOK8"/>
      <c r="VOM8"/>
      <c r="VOO8"/>
      <c r="VOQ8"/>
      <c r="VOS8"/>
      <c r="VOU8"/>
      <c r="VOW8"/>
      <c r="VOY8"/>
      <c r="VPA8"/>
      <c r="VPC8"/>
      <c r="VPE8"/>
      <c r="VPG8"/>
      <c r="VPI8"/>
      <c r="VPK8"/>
      <c r="VPM8"/>
      <c r="VPO8"/>
      <c r="VPQ8"/>
      <c r="VPS8"/>
      <c r="VPU8"/>
      <c r="VPW8"/>
      <c r="VPY8"/>
      <c r="VQA8"/>
      <c r="VQC8"/>
      <c r="VQE8"/>
      <c r="VQG8"/>
      <c r="VQI8"/>
      <c r="VQK8"/>
      <c r="VQM8"/>
      <c r="VQO8"/>
      <c r="VQQ8"/>
      <c r="VQS8"/>
      <c r="VQU8"/>
      <c r="VQW8"/>
      <c r="VQY8"/>
      <c r="VRA8"/>
      <c r="VRC8"/>
      <c r="VRE8"/>
      <c r="VRG8"/>
      <c r="VRI8"/>
      <c r="VRK8"/>
      <c r="VRM8"/>
      <c r="VRO8"/>
      <c r="VRQ8"/>
      <c r="VRS8"/>
      <c r="VRU8"/>
      <c r="VRW8"/>
      <c r="VRY8"/>
      <c r="VSA8"/>
      <c r="VSC8"/>
      <c r="VSE8"/>
      <c r="VSG8"/>
      <c r="VSI8"/>
      <c r="VSK8"/>
      <c r="VSM8"/>
      <c r="VSO8"/>
      <c r="VSQ8"/>
      <c r="VSS8"/>
      <c r="VSU8"/>
      <c r="VSW8"/>
      <c r="VSY8"/>
      <c r="VTA8"/>
      <c r="VTC8"/>
      <c r="VTE8"/>
      <c r="VTG8"/>
      <c r="VTI8"/>
      <c r="VTK8"/>
      <c r="VTM8"/>
      <c r="VTO8"/>
      <c r="VTQ8"/>
      <c r="VTS8"/>
      <c r="VTU8"/>
      <c r="VTW8"/>
      <c r="VTY8"/>
      <c r="VUA8"/>
      <c r="VUC8"/>
      <c r="VUE8"/>
      <c r="VUG8"/>
      <c r="VUI8"/>
      <c r="VUK8"/>
      <c r="VUM8"/>
      <c r="VUO8"/>
      <c r="VUQ8"/>
      <c r="VUS8"/>
      <c r="VUU8"/>
      <c r="VUW8"/>
      <c r="VUY8"/>
      <c r="VVA8"/>
      <c r="VVC8"/>
      <c r="VVE8"/>
      <c r="VVG8"/>
      <c r="VVI8"/>
      <c r="VVK8"/>
      <c r="VVM8"/>
      <c r="VVO8"/>
      <c r="VVQ8"/>
      <c r="VVS8"/>
      <c r="VVU8"/>
      <c r="VVW8"/>
      <c r="VVY8"/>
      <c r="VWA8"/>
      <c r="VWC8"/>
      <c r="VWE8"/>
      <c r="VWG8"/>
      <c r="VWI8"/>
      <c r="VWK8"/>
      <c r="VWM8"/>
      <c r="VWO8"/>
      <c r="VWQ8"/>
      <c r="VWS8"/>
      <c r="VWU8"/>
      <c r="VWW8"/>
      <c r="VWY8"/>
      <c r="VXA8"/>
      <c r="VXC8"/>
      <c r="VXE8"/>
      <c r="VXG8"/>
      <c r="VXI8"/>
      <c r="VXK8"/>
      <c r="VXM8"/>
      <c r="VXO8"/>
      <c r="VXQ8"/>
      <c r="VXS8"/>
      <c r="VXU8"/>
      <c r="VXW8"/>
      <c r="VXY8"/>
      <c r="VYA8"/>
      <c r="VYC8"/>
      <c r="VYE8"/>
      <c r="VYG8"/>
      <c r="VYI8"/>
      <c r="VYK8"/>
      <c r="VYM8"/>
      <c r="VYO8"/>
      <c r="VYQ8"/>
      <c r="VYS8"/>
      <c r="VYU8"/>
      <c r="VYW8"/>
      <c r="VYY8"/>
      <c r="VZA8"/>
      <c r="VZC8"/>
      <c r="VZE8"/>
      <c r="VZG8"/>
      <c r="VZI8"/>
      <c r="VZK8"/>
      <c r="VZM8"/>
      <c r="VZO8"/>
      <c r="VZQ8"/>
      <c r="VZS8"/>
      <c r="VZU8"/>
      <c r="VZW8"/>
      <c r="VZY8"/>
      <c r="WAA8"/>
      <c r="WAC8"/>
      <c r="WAE8"/>
      <c r="WAG8"/>
      <c r="WAI8"/>
      <c r="WAK8"/>
      <c r="WAM8"/>
      <c r="WAO8"/>
      <c r="WAQ8"/>
      <c r="WAS8"/>
      <c r="WAU8"/>
      <c r="WAW8"/>
      <c r="WAY8"/>
      <c r="WBA8"/>
      <c r="WBC8"/>
      <c r="WBE8"/>
      <c r="WBG8"/>
      <c r="WBI8"/>
      <c r="WBK8"/>
      <c r="WBM8"/>
      <c r="WBO8"/>
      <c r="WBQ8"/>
      <c r="WBS8"/>
      <c r="WBU8"/>
      <c r="WBW8"/>
      <c r="WBY8"/>
      <c r="WCA8"/>
      <c r="WCC8"/>
      <c r="WCE8"/>
      <c r="WCG8"/>
      <c r="WCI8"/>
      <c r="WCK8"/>
      <c r="WCM8"/>
      <c r="WCO8"/>
      <c r="WCQ8"/>
      <c r="WCS8"/>
      <c r="WCU8"/>
      <c r="WCW8"/>
      <c r="WCY8"/>
      <c r="WDA8"/>
      <c r="WDC8"/>
      <c r="WDE8"/>
      <c r="WDG8"/>
      <c r="WDI8"/>
      <c r="WDK8"/>
      <c r="WDM8"/>
      <c r="WDO8"/>
      <c r="WDQ8"/>
      <c r="WDS8"/>
      <c r="WDU8"/>
      <c r="WDW8"/>
      <c r="WDY8"/>
      <c r="WEA8"/>
      <c r="WEC8"/>
      <c r="WEE8"/>
      <c r="WEG8"/>
      <c r="WEI8"/>
      <c r="WEK8"/>
      <c r="WEM8"/>
      <c r="WEO8"/>
      <c r="WEQ8"/>
      <c r="WES8"/>
      <c r="WEU8"/>
      <c r="WEW8"/>
      <c r="WEY8"/>
      <c r="WFA8"/>
      <c r="WFC8"/>
      <c r="WFE8"/>
      <c r="WFG8"/>
      <c r="WFI8"/>
      <c r="WFK8"/>
      <c r="WFM8"/>
      <c r="WFO8"/>
      <c r="WFQ8"/>
      <c r="WFS8"/>
      <c r="WFU8"/>
      <c r="WFW8"/>
      <c r="WFY8"/>
      <c r="WGA8"/>
      <c r="WGC8"/>
      <c r="WGE8"/>
      <c r="WGG8"/>
      <c r="WGI8"/>
      <c r="WGK8"/>
      <c r="WGM8"/>
      <c r="WGO8"/>
      <c r="WGQ8"/>
      <c r="WGS8"/>
      <c r="WGU8"/>
      <c r="WGW8"/>
      <c r="WGY8"/>
      <c r="WHA8"/>
      <c r="WHC8"/>
      <c r="WHE8"/>
      <c r="WHG8"/>
      <c r="WHI8"/>
      <c r="WHK8"/>
      <c r="WHM8"/>
      <c r="WHO8"/>
      <c r="WHQ8"/>
      <c r="WHS8"/>
      <c r="WHU8"/>
      <c r="WHW8"/>
      <c r="WHY8"/>
      <c r="WIA8"/>
      <c r="WIC8"/>
      <c r="WIE8"/>
      <c r="WIG8"/>
      <c r="WII8"/>
      <c r="WIK8"/>
      <c r="WIM8"/>
      <c r="WIO8"/>
      <c r="WIQ8"/>
      <c r="WIS8"/>
      <c r="WIU8"/>
      <c r="WIW8"/>
      <c r="WIY8"/>
      <c r="WJA8"/>
      <c r="WJC8"/>
      <c r="WJE8"/>
      <c r="WJG8"/>
      <c r="WJI8"/>
      <c r="WJK8"/>
      <c r="WJM8"/>
      <c r="WJO8"/>
      <c r="WJQ8"/>
      <c r="WJS8"/>
      <c r="WJU8"/>
      <c r="WJW8"/>
      <c r="WJY8"/>
      <c r="WKA8"/>
      <c r="WKC8"/>
      <c r="WKE8"/>
      <c r="WKG8"/>
      <c r="WKI8"/>
      <c r="WKK8"/>
      <c r="WKM8"/>
      <c r="WKO8"/>
      <c r="WKQ8"/>
      <c r="WKS8"/>
      <c r="WKU8"/>
      <c r="WKW8"/>
      <c r="WKY8"/>
      <c r="WLA8"/>
      <c r="WLC8"/>
      <c r="WLE8"/>
      <c r="WLG8"/>
      <c r="WLI8"/>
      <c r="WLK8"/>
      <c r="WLM8"/>
      <c r="WLO8"/>
      <c r="WLQ8"/>
      <c r="WLS8"/>
      <c r="WLU8"/>
      <c r="WLW8"/>
      <c r="WLY8"/>
      <c r="WMA8"/>
      <c r="WMC8"/>
      <c r="WME8"/>
      <c r="WMG8"/>
      <c r="WMI8"/>
      <c r="WMK8"/>
      <c r="WMM8"/>
      <c r="WMO8"/>
      <c r="WMQ8"/>
      <c r="WMS8"/>
      <c r="WMU8"/>
      <c r="WMW8"/>
      <c r="WMY8"/>
      <c r="WNA8"/>
      <c r="WNC8"/>
      <c r="WNE8"/>
      <c r="WNG8"/>
      <c r="WNI8"/>
      <c r="WNK8"/>
      <c r="WNM8"/>
      <c r="WNO8"/>
      <c r="WNQ8"/>
      <c r="WNS8"/>
      <c r="WNU8"/>
      <c r="WNW8"/>
      <c r="WNY8"/>
      <c r="WOA8"/>
      <c r="WOC8"/>
      <c r="WOE8"/>
      <c r="WOG8"/>
      <c r="WOI8"/>
      <c r="WOK8"/>
      <c r="WOM8"/>
      <c r="WOO8"/>
      <c r="WOQ8"/>
      <c r="WOS8"/>
      <c r="WOU8"/>
      <c r="WOW8"/>
      <c r="WOY8"/>
      <c r="WPA8"/>
      <c r="WPC8"/>
      <c r="WPE8"/>
      <c r="WPG8"/>
      <c r="WPI8"/>
      <c r="WPK8"/>
      <c r="WPM8"/>
      <c r="WPO8"/>
      <c r="WPQ8"/>
      <c r="WPS8"/>
      <c r="WPU8"/>
      <c r="WPW8"/>
      <c r="WPY8"/>
      <c r="WQA8"/>
      <c r="WQC8"/>
      <c r="WQE8"/>
      <c r="WQG8"/>
      <c r="WQI8"/>
      <c r="WQK8"/>
      <c r="WQM8"/>
      <c r="WQO8"/>
      <c r="WQQ8"/>
      <c r="WQS8"/>
      <c r="WQU8"/>
      <c r="WQW8"/>
      <c r="WQY8"/>
      <c r="WRA8"/>
      <c r="WRC8"/>
      <c r="WRE8"/>
      <c r="WRG8"/>
      <c r="WRI8"/>
      <c r="WRK8"/>
      <c r="WRM8"/>
      <c r="WRO8"/>
      <c r="WRQ8"/>
      <c r="WRS8"/>
      <c r="WRU8"/>
      <c r="WRW8"/>
      <c r="WRY8"/>
      <c r="WSA8"/>
      <c r="WSC8"/>
      <c r="WSE8"/>
      <c r="WSG8"/>
      <c r="WSI8"/>
      <c r="WSK8"/>
      <c r="WSM8"/>
      <c r="WSO8"/>
      <c r="WSQ8"/>
      <c r="WSS8"/>
      <c r="WSU8"/>
      <c r="WSW8"/>
      <c r="WSY8"/>
      <c r="WTA8"/>
      <c r="WTC8"/>
      <c r="WTE8"/>
      <c r="WTG8"/>
      <c r="WTI8"/>
      <c r="WTK8"/>
      <c r="WTM8"/>
      <c r="WTO8"/>
      <c r="WTQ8"/>
      <c r="WTS8"/>
      <c r="WTU8"/>
      <c r="WTW8"/>
      <c r="WTY8"/>
      <c r="WUA8"/>
      <c r="WUC8"/>
      <c r="WUE8"/>
      <c r="WUG8"/>
      <c r="WUI8"/>
      <c r="WUK8"/>
      <c r="WUM8"/>
      <c r="WUO8"/>
      <c r="WUQ8"/>
      <c r="WUS8"/>
      <c r="WUU8"/>
      <c r="WUW8"/>
      <c r="WUY8"/>
      <c r="WVA8"/>
      <c r="WVC8"/>
      <c r="WVE8"/>
      <c r="WVG8"/>
      <c r="WVI8"/>
      <c r="WVK8"/>
      <c r="WVM8"/>
      <c r="WVO8"/>
      <c r="WVQ8"/>
      <c r="WVS8"/>
      <c r="WVU8"/>
      <c r="WVW8"/>
      <c r="WVY8"/>
      <c r="WWA8"/>
      <c r="WWC8"/>
      <c r="WWE8"/>
      <c r="WWG8"/>
      <c r="WWI8"/>
      <c r="WWK8"/>
      <c r="WWM8"/>
      <c r="WWO8"/>
      <c r="WWQ8"/>
      <c r="WWS8"/>
      <c r="WWU8"/>
      <c r="WWW8"/>
      <c r="WWY8"/>
      <c r="WXA8"/>
      <c r="WXC8"/>
      <c r="WXE8"/>
      <c r="WXG8"/>
      <c r="WXI8"/>
      <c r="WXK8"/>
      <c r="WXM8"/>
      <c r="WXO8"/>
      <c r="WXQ8"/>
      <c r="WXS8"/>
      <c r="WXU8"/>
      <c r="WXW8"/>
      <c r="WXY8"/>
      <c r="WYA8"/>
      <c r="WYC8"/>
      <c r="WYE8"/>
      <c r="WYG8"/>
      <c r="WYI8"/>
      <c r="WYK8"/>
      <c r="WYM8"/>
      <c r="WYO8"/>
      <c r="WYQ8"/>
      <c r="WYS8"/>
      <c r="WYU8"/>
      <c r="WYW8"/>
      <c r="WYY8"/>
      <c r="WZA8"/>
      <c r="WZC8"/>
      <c r="WZE8"/>
      <c r="WZG8"/>
      <c r="WZI8"/>
      <c r="WZK8"/>
      <c r="WZM8"/>
      <c r="WZO8"/>
      <c r="WZQ8"/>
      <c r="WZS8"/>
      <c r="WZU8"/>
      <c r="WZW8"/>
      <c r="WZY8"/>
      <c r="XAA8"/>
      <c r="XAC8"/>
      <c r="XAE8"/>
      <c r="XAG8"/>
      <c r="XAI8"/>
      <c r="XAK8"/>
      <c r="XAM8"/>
      <c r="XAO8"/>
      <c r="XAQ8"/>
      <c r="XAS8"/>
      <c r="XAU8"/>
      <c r="XAW8"/>
      <c r="XAY8"/>
      <c r="XBA8"/>
      <c r="XBC8"/>
      <c r="XBE8"/>
      <c r="XBG8"/>
      <c r="XBI8"/>
      <c r="XBK8"/>
      <c r="XBM8"/>
      <c r="XBO8"/>
      <c r="XBQ8"/>
      <c r="XBS8"/>
      <c r="XBU8"/>
      <c r="XBW8"/>
      <c r="XBY8"/>
      <c r="XCA8"/>
      <c r="XCC8"/>
      <c r="XCE8"/>
      <c r="XCG8"/>
      <c r="XCI8"/>
      <c r="XCK8"/>
      <c r="XCM8"/>
      <c r="XCO8"/>
      <c r="XCQ8"/>
      <c r="XCS8"/>
      <c r="XCU8"/>
      <c r="XCW8"/>
      <c r="XCY8"/>
      <c r="XDA8"/>
      <c r="XDC8"/>
      <c r="XDE8"/>
      <c r="XDG8"/>
      <c r="XDI8"/>
      <c r="XDK8"/>
      <c r="XDM8"/>
      <c r="XDO8"/>
      <c r="XDQ8"/>
      <c r="XDS8"/>
      <c r="XDU8"/>
      <c r="XDW8"/>
      <c r="XDY8"/>
      <c r="XEA8"/>
      <c r="XEC8"/>
      <c r="XEE8"/>
      <c r="XEG8"/>
      <c r="XEI8"/>
      <c r="XEK8"/>
      <c r="XEM8"/>
      <c r="XEO8"/>
      <c r="XEQ8"/>
      <c r="XES8"/>
      <c r="XEU8"/>
      <c r="XEW8"/>
      <c r="XEY8"/>
      <c r="XFA8"/>
      <c r="XFC8"/>
    </row>
    <row r="9" spans="1:16384" s="474" customFormat="1" ht="17" thickTop="1" thickBot="1" x14ac:dyDescent="0.25">
      <c r="A9"/>
      <c r="B9" s="513"/>
      <c r="D9" s="511"/>
      <c r="E9" s="478"/>
      <c r="F9" s="512"/>
      <c r="G9" s="510"/>
      <c r="H9" s="124"/>
      <c r="I9"/>
      <c r="J9" s="13"/>
      <c r="K9" s="13"/>
      <c r="L9" s="13"/>
      <c r="M9" s="13"/>
      <c r="N9" s="13"/>
      <c r="O9"/>
      <c r="Q9"/>
      <c r="S9"/>
      <c r="U9"/>
      <c r="W9"/>
      <c r="Y9"/>
      <c r="AA9"/>
      <c r="AC9"/>
      <c r="AE9"/>
      <c r="AG9"/>
      <c r="AI9"/>
      <c r="AK9"/>
      <c r="AM9"/>
      <c r="AO9"/>
      <c r="AQ9"/>
      <c r="AS9"/>
      <c r="AU9"/>
      <c r="AW9"/>
      <c r="AY9"/>
      <c r="BA9"/>
      <c r="BC9"/>
      <c r="BE9"/>
      <c r="BG9"/>
      <c r="BI9"/>
      <c r="BK9"/>
      <c r="BM9"/>
      <c r="BO9"/>
      <c r="BQ9"/>
      <c r="BS9"/>
      <c r="BU9"/>
      <c r="BW9"/>
      <c r="BY9"/>
      <c r="CA9"/>
      <c r="CC9"/>
      <c r="CE9"/>
      <c r="CG9"/>
      <c r="CI9"/>
      <c r="CK9"/>
      <c r="CM9"/>
      <c r="CO9"/>
      <c r="CQ9"/>
      <c r="CS9"/>
      <c r="CU9"/>
      <c r="CW9"/>
      <c r="CY9"/>
      <c r="DA9"/>
      <c r="DC9"/>
      <c r="DE9"/>
      <c r="DG9"/>
      <c r="DI9"/>
      <c r="DK9"/>
      <c r="DM9"/>
      <c r="DO9"/>
      <c r="DQ9"/>
      <c r="DS9"/>
      <c r="DU9"/>
      <c r="DW9"/>
      <c r="DY9"/>
      <c r="EA9"/>
      <c r="EC9"/>
      <c r="EE9"/>
      <c r="EG9"/>
      <c r="EI9"/>
      <c r="EK9"/>
      <c r="EM9"/>
      <c r="EO9"/>
      <c r="EQ9"/>
      <c r="ES9"/>
      <c r="EU9"/>
      <c r="EW9"/>
      <c r="EY9"/>
      <c r="FA9"/>
      <c r="FC9"/>
      <c r="FE9"/>
      <c r="FG9"/>
      <c r="FI9"/>
      <c r="FK9"/>
      <c r="FM9"/>
      <c r="FO9"/>
      <c r="FQ9"/>
      <c r="FS9"/>
      <c r="FU9"/>
      <c r="FW9"/>
      <c r="FY9"/>
      <c r="GA9"/>
      <c r="GC9"/>
      <c r="GE9"/>
      <c r="GG9"/>
      <c r="GI9"/>
      <c r="GK9"/>
      <c r="GM9"/>
      <c r="GO9"/>
      <c r="GQ9"/>
      <c r="GS9"/>
      <c r="GU9"/>
      <c r="GW9"/>
      <c r="GY9"/>
      <c r="HA9"/>
      <c r="HC9"/>
      <c r="HE9"/>
      <c r="HG9"/>
      <c r="HI9"/>
      <c r="HK9"/>
      <c r="HM9"/>
      <c r="HO9"/>
      <c r="HQ9"/>
      <c r="HS9"/>
      <c r="HU9"/>
      <c r="HW9"/>
      <c r="HY9"/>
      <c r="IA9"/>
      <c r="IC9"/>
      <c r="IE9"/>
      <c r="IG9"/>
      <c r="II9"/>
      <c r="IK9"/>
      <c r="IM9"/>
      <c r="IO9"/>
      <c r="IQ9"/>
      <c r="IS9"/>
      <c r="IU9"/>
      <c r="IW9"/>
      <c r="IY9"/>
      <c r="JA9"/>
      <c r="JC9"/>
      <c r="JE9"/>
      <c r="JG9"/>
      <c r="JI9"/>
      <c r="JK9"/>
      <c r="JM9"/>
      <c r="JO9"/>
      <c r="JQ9"/>
      <c r="JS9"/>
      <c r="JU9"/>
      <c r="JW9"/>
      <c r="JY9"/>
      <c r="KA9"/>
      <c r="KC9"/>
      <c r="KE9"/>
      <c r="KG9"/>
      <c r="KI9"/>
      <c r="KK9"/>
      <c r="KM9"/>
      <c r="KO9"/>
      <c r="KQ9"/>
      <c r="KS9"/>
      <c r="KU9"/>
      <c r="KW9"/>
      <c r="KY9"/>
      <c r="LA9"/>
      <c r="LC9"/>
      <c r="LE9"/>
      <c r="LG9"/>
      <c r="LI9"/>
      <c r="LK9"/>
      <c r="LM9"/>
      <c r="LO9"/>
      <c r="LQ9"/>
      <c r="LS9"/>
      <c r="LU9"/>
      <c r="LW9"/>
      <c r="LY9"/>
      <c r="MA9"/>
      <c r="MC9"/>
      <c r="ME9"/>
      <c r="MG9"/>
      <c r="MI9"/>
      <c r="MK9"/>
      <c r="MM9"/>
      <c r="MO9"/>
      <c r="MQ9"/>
      <c r="MS9"/>
      <c r="MU9"/>
      <c r="MW9"/>
      <c r="MY9"/>
      <c r="NA9"/>
      <c r="NC9"/>
      <c r="NE9"/>
      <c r="NG9"/>
      <c r="NI9"/>
      <c r="NK9"/>
      <c r="NM9"/>
      <c r="NO9"/>
      <c r="NQ9"/>
      <c r="NS9"/>
      <c r="NU9"/>
      <c r="NW9"/>
      <c r="NY9"/>
      <c r="OA9"/>
      <c r="OC9"/>
      <c r="OE9"/>
      <c r="OG9"/>
      <c r="OI9"/>
      <c r="OK9"/>
      <c r="OM9"/>
      <c r="OO9"/>
      <c r="OQ9"/>
      <c r="OS9"/>
      <c r="OU9"/>
      <c r="OW9"/>
      <c r="OY9"/>
      <c r="PA9"/>
      <c r="PC9"/>
      <c r="PE9"/>
      <c r="PG9"/>
      <c r="PI9"/>
      <c r="PK9"/>
      <c r="PM9"/>
      <c r="PO9"/>
      <c r="PQ9"/>
      <c r="PS9"/>
      <c r="PU9"/>
      <c r="PW9"/>
      <c r="PY9"/>
      <c r="QA9"/>
      <c r="QC9"/>
      <c r="QE9"/>
      <c r="QG9"/>
      <c r="QI9"/>
      <c r="QK9"/>
      <c r="QM9"/>
      <c r="QO9"/>
      <c r="QQ9"/>
      <c r="QS9"/>
      <c r="QU9"/>
      <c r="QW9"/>
      <c r="QY9"/>
      <c r="RA9"/>
      <c r="RC9"/>
      <c r="RE9"/>
      <c r="RG9"/>
      <c r="RI9"/>
      <c r="RK9"/>
      <c r="RM9"/>
      <c r="RO9"/>
      <c r="RQ9"/>
      <c r="RS9"/>
      <c r="RU9"/>
      <c r="RW9"/>
      <c r="RY9"/>
      <c r="SA9"/>
      <c r="SC9"/>
      <c r="SE9"/>
      <c r="SG9"/>
      <c r="SI9"/>
      <c r="SK9"/>
      <c r="SM9"/>
      <c r="SO9"/>
      <c r="SQ9"/>
      <c r="SS9"/>
      <c r="SU9"/>
      <c r="SW9"/>
      <c r="SY9"/>
      <c r="TA9"/>
      <c r="TC9"/>
      <c r="TE9"/>
      <c r="TG9"/>
      <c r="TI9"/>
      <c r="TK9"/>
      <c r="TM9"/>
      <c r="TO9"/>
      <c r="TQ9"/>
      <c r="TS9"/>
      <c r="TU9"/>
      <c r="TW9"/>
      <c r="TY9"/>
      <c r="UA9"/>
      <c r="UC9"/>
      <c r="UE9"/>
      <c r="UG9"/>
      <c r="UI9"/>
      <c r="UK9"/>
      <c r="UM9"/>
      <c r="UO9"/>
      <c r="UQ9"/>
      <c r="US9"/>
      <c r="UU9"/>
      <c r="UW9"/>
      <c r="UY9"/>
      <c r="VA9"/>
      <c r="VC9"/>
      <c r="VE9"/>
      <c r="VG9"/>
      <c r="VI9"/>
      <c r="VK9"/>
      <c r="VM9"/>
      <c r="VO9"/>
      <c r="VQ9"/>
      <c r="VS9"/>
      <c r="VU9"/>
      <c r="VW9"/>
      <c r="VY9"/>
      <c r="WA9"/>
      <c r="WC9"/>
      <c r="WE9"/>
      <c r="WG9"/>
      <c r="WI9"/>
      <c r="WK9"/>
      <c r="WM9"/>
      <c r="WO9"/>
      <c r="WQ9"/>
      <c r="WS9"/>
      <c r="WU9"/>
      <c r="WW9"/>
      <c r="WY9"/>
      <c r="XA9"/>
      <c r="XC9"/>
      <c r="XE9"/>
      <c r="XG9"/>
      <c r="XI9"/>
      <c r="XK9"/>
      <c r="XM9"/>
      <c r="XO9"/>
      <c r="XQ9"/>
      <c r="XS9"/>
      <c r="XU9"/>
      <c r="XW9"/>
      <c r="XY9"/>
      <c r="YA9"/>
      <c r="YC9"/>
      <c r="YE9"/>
      <c r="YG9"/>
      <c r="YI9"/>
      <c r="YK9"/>
      <c r="YM9"/>
      <c r="YO9"/>
      <c r="YQ9"/>
      <c r="YS9"/>
      <c r="YU9"/>
      <c r="YW9"/>
      <c r="YY9"/>
      <c r="ZA9"/>
      <c r="ZC9"/>
      <c r="ZE9"/>
      <c r="ZG9"/>
      <c r="ZI9"/>
      <c r="ZK9"/>
      <c r="ZM9"/>
      <c r="ZO9"/>
      <c r="ZQ9"/>
      <c r="ZS9"/>
      <c r="ZU9"/>
      <c r="ZW9"/>
      <c r="ZY9"/>
      <c r="AAA9"/>
      <c r="AAC9"/>
      <c r="AAE9"/>
      <c r="AAG9"/>
      <c r="AAI9"/>
      <c r="AAK9"/>
      <c r="AAM9"/>
      <c r="AAO9"/>
      <c r="AAQ9"/>
      <c r="AAS9"/>
      <c r="AAU9"/>
      <c r="AAW9"/>
      <c r="AAY9"/>
      <c r="ABA9"/>
      <c r="ABC9"/>
      <c r="ABE9"/>
      <c r="ABG9"/>
      <c r="ABI9"/>
      <c r="ABK9"/>
      <c r="ABM9"/>
      <c r="ABO9"/>
      <c r="ABQ9"/>
      <c r="ABS9"/>
      <c r="ABU9"/>
      <c r="ABW9"/>
      <c r="ABY9"/>
      <c r="ACA9"/>
      <c r="ACC9"/>
      <c r="ACE9"/>
      <c r="ACG9"/>
      <c r="ACI9"/>
      <c r="ACK9"/>
      <c r="ACM9"/>
      <c r="ACO9"/>
      <c r="ACQ9"/>
      <c r="ACS9"/>
      <c r="ACU9"/>
      <c r="ACW9"/>
      <c r="ACY9"/>
      <c r="ADA9"/>
      <c r="ADC9"/>
      <c r="ADE9"/>
      <c r="ADG9"/>
      <c r="ADI9"/>
      <c r="ADK9"/>
      <c r="ADM9"/>
      <c r="ADO9"/>
      <c r="ADQ9"/>
      <c r="ADS9"/>
      <c r="ADU9"/>
      <c r="ADW9"/>
      <c r="ADY9"/>
      <c r="AEA9"/>
      <c r="AEC9"/>
      <c r="AEE9"/>
      <c r="AEG9"/>
      <c r="AEI9"/>
      <c r="AEK9"/>
      <c r="AEM9"/>
      <c r="AEO9"/>
      <c r="AEQ9"/>
      <c r="AES9"/>
      <c r="AEU9"/>
      <c r="AEW9"/>
      <c r="AEY9"/>
      <c r="AFA9"/>
      <c r="AFC9"/>
      <c r="AFE9"/>
      <c r="AFG9"/>
      <c r="AFI9"/>
      <c r="AFK9"/>
      <c r="AFM9"/>
      <c r="AFO9"/>
      <c r="AFQ9"/>
      <c r="AFS9"/>
      <c r="AFU9"/>
      <c r="AFW9"/>
      <c r="AFY9"/>
      <c r="AGA9"/>
      <c r="AGC9"/>
      <c r="AGE9"/>
      <c r="AGG9"/>
      <c r="AGI9"/>
      <c r="AGK9"/>
      <c r="AGM9"/>
      <c r="AGO9"/>
      <c r="AGQ9"/>
      <c r="AGS9"/>
      <c r="AGU9"/>
      <c r="AGW9"/>
      <c r="AGY9"/>
      <c r="AHA9"/>
      <c r="AHC9"/>
      <c r="AHE9"/>
      <c r="AHG9"/>
      <c r="AHI9"/>
      <c r="AHK9"/>
      <c r="AHM9"/>
      <c r="AHO9"/>
      <c r="AHQ9"/>
      <c r="AHS9"/>
      <c r="AHU9"/>
      <c r="AHW9"/>
      <c r="AHY9"/>
      <c r="AIA9"/>
      <c r="AIC9"/>
      <c r="AIE9"/>
      <c r="AIG9"/>
      <c r="AII9"/>
      <c r="AIK9"/>
      <c r="AIM9"/>
      <c r="AIO9"/>
      <c r="AIQ9"/>
      <c r="AIS9"/>
      <c r="AIU9"/>
      <c r="AIW9"/>
      <c r="AIY9"/>
      <c r="AJA9"/>
      <c r="AJC9"/>
      <c r="AJE9"/>
      <c r="AJG9"/>
      <c r="AJI9"/>
      <c r="AJK9"/>
      <c r="AJM9"/>
      <c r="AJO9"/>
      <c r="AJQ9"/>
      <c r="AJS9"/>
      <c r="AJU9"/>
      <c r="AJW9"/>
      <c r="AJY9"/>
      <c r="AKA9"/>
      <c r="AKC9"/>
      <c r="AKE9"/>
      <c r="AKG9"/>
      <c r="AKI9"/>
      <c r="AKK9"/>
      <c r="AKM9"/>
      <c r="AKO9"/>
      <c r="AKQ9"/>
      <c r="AKS9"/>
      <c r="AKU9"/>
      <c r="AKW9"/>
      <c r="AKY9"/>
      <c r="ALA9"/>
      <c r="ALC9"/>
      <c r="ALE9"/>
      <c r="ALG9"/>
      <c r="ALI9"/>
      <c r="ALK9"/>
      <c r="ALM9"/>
      <c r="ALO9"/>
      <c r="ALQ9"/>
      <c r="ALS9"/>
      <c r="ALU9"/>
      <c r="ALW9"/>
      <c r="ALY9"/>
      <c r="AMA9"/>
      <c r="AMC9"/>
      <c r="AME9"/>
      <c r="AMG9"/>
      <c r="AMI9"/>
      <c r="AMK9"/>
      <c r="AMM9"/>
      <c r="AMO9"/>
      <c r="AMQ9"/>
      <c r="AMS9"/>
      <c r="AMU9"/>
      <c r="AMW9"/>
      <c r="AMY9"/>
      <c r="ANA9"/>
      <c r="ANC9"/>
      <c r="ANE9"/>
      <c r="ANG9"/>
      <c r="ANI9"/>
      <c r="ANK9"/>
      <c r="ANM9"/>
      <c r="ANO9"/>
      <c r="ANQ9"/>
      <c r="ANS9"/>
      <c r="ANU9"/>
      <c r="ANW9"/>
      <c r="ANY9"/>
      <c r="AOA9"/>
      <c r="AOC9"/>
      <c r="AOE9"/>
      <c r="AOG9"/>
      <c r="AOI9"/>
      <c r="AOK9"/>
      <c r="AOM9"/>
      <c r="AOO9"/>
      <c r="AOQ9"/>
      <c r="AOS9"/>
      <c r="AOU9"/>
      <c r="AOW9"/>
      <c r="AOY9"/>
      <c r="APA9"/>
      <c r="APC9"/>
      <c r="APE9"/>
      <c r="APG9"/>
      <c r="API9"/>
      <c r="APK9"/>
      <c r="APM9"/>
      <c r="APO9"/>
      <c r="APQ9"/>
      <c r="APS9"/>
      <c r="APU9"/>
      <c r="APW9"/>
      <c r="APY9"/>
      <c r="AQA9"/>
      <c r="AQC9"/>
      <c r="AQE9"/>
      <c r="AQG9"/>
      <c r="AQI9"/>
      <c r="AQK9"/>
      <c r="AQM9"/>
      <c r="AQO9"/>
      <c r="AQQ9"/>
      <c r="AQS9"/>
      <c r="AQU9"/>
      <c r="AQW9"/>
      <c r="AQY9"/>
      <c r="ARA9"/>
      <c r="ARC9"/>
      <c r="ARE9"/>
      <c r="ARG9"/>
      <c r="ARI9"/>
      <c r="ARK9"/>
      <c r="ARM9"/>
      <c r="ARO9"/>
      <c r="ARQ9"/>
      <c r="ARS9"/>
      <c r="ARU9"/>
      <c r="ARW9"/>
      <c r="ARY9"/>
      <c r="ASA9"/>
      <c r="ASC9"/>
      <c r="ASE9"/>
      <c r="ASG9"/>
      <c r="ASI9"/>
      <c r="ASK9"/>
      <c r="ASM9"/>
      <c r="ASO9"/>
      <c r="ASQ9"/>
      <c r="ASS9"/>
      <c r="ASU9"/>
      <c r="ASW9"/>
      <c r="ASY9"/>
      <c r="ATA9"/>
      <c r="ATC9"/>
      <c r="ATE9"/>
      <c r="ATG9"/>
      <c r="ATI9"/>
      <c r="ATK9"/>
      <c r="ATM9"/>
      <c r="ATO9"/>
      <c r="ATQ9"/>
      <c r="ATS9"/>
      <c r="ATU9"/>
      <c r="ATW9"/>
      <c r="ATY9"/>
      <c r="AUA9"/>
      <c r="AUC9"/>
      <c r="AUE9"/>
      <c r="AUG9"/>
      <c r="AUI9"/>
      <c r="AUK9"/>
      <c r="AUM9"/>
      <c r="AUO9"/>
      <c r="AUQ9"/>
      <c r="AUS9"/>
      <c r="AUU9"/>
      <c r="AUW9"/>
      <c r="AUY9"/>
      <c r="AVA9"/>
      <c r="AVC9"/>
      <c r="AVE9"/>
      <c r="AVG9"/>
      <c r="AVI9"/>
      <c r="AVK9"/>
      <c r="AVM9"/>
      <c r="AVO9"/>
      <c r="AVQ9"/>
      <c r="AVS9"/>
      <c r="AVU9"/>
      <c r="AVW9"/>
      <c r="AVY9"/>
      <c r="AWA9"/>
      <c r="AWC9"/>
      <c r="AWE9"/>
      <c r="AWG9"/>
      <c r="AWI9"/>
      <c r="AWK9"/>
      <c r="AWM9"/>
      <c r="AWO9"/>
      <c r="AWQ9"/>
      <c r="AWS9"/>
      <c r="AWU9"/>
      <c r="AWW9"/>
      <c r="AWY9"/>
      <c r="AXA9"/>
      <c r="AXC9"/>
      <c r="AXE9"/>
      <c r="AXG9"/>
      <c r="AXI9"/>
      <c r="AXK9"/>
      <c r="AXM9"/>
      <c r="AXO9"/>
      <c r="AXQ9"/>
      <c r="AXS9"/>
      <c r="AXU9"/>
      <c r="AXW9"/>
      <c r="AXY9"/>
      <c r="AYA9"/>
      <c r="AYC9"/>
      <c r="AYE9"/>
      <c r="AYG9"/>
      <c r="AYI9"/>
      <c r="AYK9"/>
      <c r="AYM9"/>
      <c r="AYO9"/>
      <c r="AYQ9"/>
      <c r="AYS9"/>
      <c r="AYU9"/>
      <c r="AYW9"/>
      <c r="AYY9"/>
      <c r="AZA9"/>
      <c r="AZC9"/>
      <c r="AZE9"/>
      <c r="AZG9"/>
      <c r="AZI9"/>
      <c r="AZK9"/>
      <c r="AZM9"/>
      <c r="AZO9"/>
      <c r="AZQ9"/>
      <c r="AZS9"/>
      <c r="AZU9"/>
      <c r="AZW9"/>
      <c r="AZY9"/>
      <c r="BAA9"/>
      <c r="BAC9"/>
      <c r="BAE9"/>
      <c r="BAG9"/>
      <c r="BAI9"/>
      <c r="BAK9"/>
      <c r="BAM9"/>
      <c r="BAO9"/>
      <c r="BAQ9"/>
      <c r="BAS9"/>
      <c r="BAU9"/>
      <c r="BAW9"/>
      <c r="BAY9"/>
      <c r="BBA9"/>
      <c r="BBC9"/>
      <c r="BBE9"/>
      <c r="BBG9"/>
      <c r="BBI9"/>
      <c r="BBK9"/>
      <c r="BBM9"/>
      <c r="BBO9"/>
      <c r="BBQ9"/>
      <c r="BBS9"/>
      <c r="BBU9"/>
      <c r="BBW9"/>
      <c r="BBY9"/>
      <c r="BCA9"/>
      <c r="BCC9"/>
      <c r="BCE9"/>
      <c r="BCG9"/>
      <c r="BCI9"/>
      <c r="BCK9"/>
      <c r="BCM9"/>
      <c r="BCO9"/>
      <c r="BCQ9"/>
      <c r="BCS9"/>
      <c r="BCU9"/>
      <c r="BCW9"/>
      <c r="BCY9"/>
      <c r="BDA9"/>
      <c r="BDC9"/>
      <c r="BDE9"/>
      <c r="BDG9"/>
      <c r="BDI9"/>
      <c r="BDK9"/>
      <c r="BDM9"/>
      <c r="BDO9"/>
      <c r="BDQ9"/>
      <c r="BDS9"/>
      <c r="BDU9"/>
      <c r="BDW9"/>
      <c r="BDY9"/>
      <c r="BEA9"/>
      <c r="BEC9"/>
      <c r="BEE9"/>
      <c r="BEG9"/>
      <c r="BEI9"/>
      <c r="BEK9"/>
      <c r="BEM9"/>
      <c r="BEO9"/>
      <c r="BEQ9"/>
      <c r="BES9"/>
      <c r="BEU9"/>
      <c r="BEW9"/>
      <c r="BEY9"/>
      <c r="BFA9"/>
      <c r="BFC9"/>
      <c r="BFE9"/>
      <c r="BFG9"/>
      <c r="BFI9"/>
      <c r="BFK9"/>
      <c r="BFM9"/>
      <c r="BFO9"/>
      <c r="BFQ9"/>
      <c r="BFS9"/>
      <c r="BFU9"/>
      <c r="BFW9"/>
      <c r="BFY9"/>
      <c r="BGA9"/>
      <c r="BGC9"/>
      <c r="BGE9"/>
      <c r="BGG9"/>
      <c r="BGI9"/>
      <c r="BGK9"/>
      <c r="BGM9"/>
      <c r="BGO9"/>
      <c r="BGQ9"/>
      <c r="BGS9"/>
      <c r="BGU9"/>
      <c r="BGW9"/>
      <c r="BGY9"/>
      <c r="BHA9"/>
      <c r="BHC9"/>
      <c r="BHE9"/>
      <c r="BHG9"/>
      <c r="BHI9"/>
      <c r="BHK9"/>
      <c r="BHM9"/>
      <c r="BHO9"/>
      <c r="BHQ9"/>
      <c r="BHS9"/>
      <c r="BHU9"/>
      <c r="BHW9"/>
      <c r="BHY9"/>
      <c r="BIA9"/>
      <c r="BIC9"/>
      <c r="BIE9"/>
      <c r="BIG9"/>
      <c r="BII9"/>
      <c r="BIK9"/>
      <c r="BIM9"/>
      <c r="BIO9"/>
      <c r="BIQ9"/>
      <c r="BIS9"/>
      <c r="BIU9"/>
      <c r="BIW9"/>
      <c r="BIY9"/>
      <c r="BJA9"/>
      <c r="BJC9"/>
      <c r="BJE9"/>
      <c r="BJG9"/>
      <c r="BJI9"/>
      <c r="BJK9"/>
      <c r="BJM9"/>
      <c r="BJO9"/>
      <c r="BJQ9"/>
      <c r="BJS9"/>
      <c r="BJU9"/>
      <c r="BJW9"/>
      <c r="BJY9"/>
      <c r="BKA9"/>
      <c r="BKC9"/>
      <c r="BKE9"/>
      <c r="BKG9"/>
      <c r="BKI9"/>
      <c r="BKK9"/>
      <c r="BKM9"/>
      <c r="BKO9"/>
      <c r="BKQ9"/>
      <c r="BKS9"/>
      <c r="BKU9"/>
      <c r="BKW9"/>
      <c r="BKY9"/>
      <c r="BLA9"/>
      <c r="BLC9"/>
      <c r="BLE9"/>
      <c r="BLG9"/>
      <c r="BLI9"/>
      <c r="BLK9"/>
      <c r="BLM9"/>
      <c r="BLO9"/>
      <c r="BLQ9"/>
      <c r="BLS9"/>
      <c r="BLU9"/>
      <c r="BLW9"/>
      <c r="BLY9"/>
      <c r="BMA9"/>
      <c r="BMC9"/>
      <c r="BME9"/>
      <c r="BMG9"/>
      <c r="BMI9"/>
      <c r="BMK9"/>
      <c r="BMM9"/>
      <c r="BMO9"/>
      <c r="BMQ9"/>
      <c r="BMS9"/>
      <c r="BMU9"/>
      <c r="BMW9"/>
      <c r="BMY9"/>
      <c r="BNA9"/>
      <c r="BNC9"/>
      <c r="BNE9"/>
      <c r="BNG9"/>
      <c r="BNI9"/>
      <c r="BNK9"/>
      <c r="BNM9"/>
      <c r="BNO9"/>
      <c r="BNQ9"/>
      <c r="BNS9"/>
      <c r="BNU9"/>
      <c r="BNW9"/>
      <c r="BNY9"/>
      <c r="BOA9"/>
      <c r="BOC9"/>
      <c r="BOE9"/>
      <c r="BOG9"/>
      <c r="BOI9"/>
      <c r="BOK9"/>
      <c r="BOM9"/>
      <c r="BOO9"/>
      <c r="BOQ9"/>
      <c r="BOS9"/>
      <c r="BOU9"/>
      <c r="BOW9"/>
      <c r="BOY9"/>
      <c r="BPA9"/>
      <c r="BPC9"/>
      <c r="BPE9"/>
      <c r="BPG9"/>
      <c r="BPI9"/>
      <c r="BPK9"/>
      <c r="BPM9"/>
      <c r="BPO9"/>
      <c r="BPQ9"/>
      <c r="BPS9"/>
      <c r="BPU9"/>
      <c r="BPW9"/>
      <c r="BPY9"/>
      <c r="BQA9"/>
      <c r="BQC9"/>
      <c r="BQE9"/>
      <c r="BQG9"/>
      <c r="BQI9"/>
      <c r="BQK9"/>
      <c r="BQM9"/>
      <c r="BQO9"/>
      <c r="BQQ9"/>
      <c r="BQS9"/>
      <c r="BQU9"/>
      <c r="BQW9"/>
      <c r="BQY9"/>
      <c r="BRA9"/>
      <c r="BRC9"/>
      <c r="BRE9"/>
      <c r="BRG9"/>
      <c r="BRI9"/>
      <c r="BRK9"/>
      <c r="BRM9"/>
      <c r="BRO9"/>
      <c r="BRQ9"/>
      <c r="BRS9"/>
      <c r="BRU9"/>
      <c r="BRW9"/>
      <c r="BRY9"/>
      <c r="BSA9"/>
      <c r="BSC9"/>
      <c r="BSE9"/>
      <c r="BSG9"/>
      <c r="BSI9"/>
      <c r="BSK9"/>
      <c r="BSM9"/>
      <c r="BSO9"/>
      <c r="BSQ9"/>
      <c r="BSS9"/>
      <c r="BSU9"/>
      <c r="BSW9"/>
      <c r="BSY9"/>
      <c r="BTA9"/>
      <c r="BTC9"/>
      <c r="BTE9"/>
      <c r="BTG9"/>
      <c r="BTI9"/>
      <c r="BTK9"/>
      <c r="BTM9"/>
      <c r="BTO9"/>
      <c r="BTQ9"/>
      <c r="BTS9"/>
      <c r="BTU9"/>
      <c r="BTW9"/>
      <c r="BTY9"/>
      <c r="BUA9"/>
      <c r="BUC9"/>
      <c r="BUE9"/>
      <c r="BUG9"/>
      <c r="BUI9"/>
      <c r="BUK9"/>
      <c r="BUM9"/>
      <c r="BUO9"/>
      <c r="BUQ9"/>
      <c r="BUS9"/>
      <c r="BUU9"/>
      <c r="BUW9"/>
      <c r="BUY9"/>
      <c r="BVA9"/>
      <c r="BVC9"/>
      <c r="BVE9"/>
      <c r="BVG9"/>
      <c r="BVI9"/>
      <c r="BVK9"/>
      <c r="BVM9"/>
      <c r="BVO9"/>
      <c r="BVQ9"/>
      <c r="BVS9"/>
      <c r="BVU9"/>
      <c r="BVW9"/>
      <c r="BVY9"/>
      <c r="BWA9"/>
      <c r="BWC9"/>
      <c r="BWE9"/>
      <c r="BWG9"/>
      <c r="BWI9"/>
      <c r="BWK9"/>
      <c r="BWM9"/>
      <c r="BWO9"/>
      <c r="BWQ9"/>
      <c r="BWS9"/>
      <c r="BWU9"/>
      <c r="BWW9"/>
      <c r="BWY9"/>
      <c r="BXA9"/>
      <c r="BXC9"/>
      <c r="BXE9"/>
      <c r="BXG9"/>
      <c r="BXI9"/>
      <c r="BXK9"/>
      <c r="BXM9"/>
      <c r="BXO9"/>
      <c r="BXQ9"/>
      <c r="BXS9"/>
      <c r="BXU9"/>
      <c r="BXW9"/>
      <c r="BXY9"/>
      <c r="BYA9"/>
      <c r="BYC9"/>
      <c r="BYE9"/>
      <c r="BYG9"/>
      <c r="BYI9"/>
      <c r="BYK9"/>
      <c r="BYM9"/>
      <c r="BYO9"/>
      <c r="BYQ9"/>
      <c r="BYS9"/>
      <c r="BYU9"/>
      <c r="BYW9"/>
      <c r="BYY9"/>
      <c r="BZA9"/>
      <c r="BZC9"/>
      <c r="BZE9"/>
      <c r="BZG9"/>
      <c r="BZI9"/>
      <c r="BZK9"/>
      <c r="BZM9"/>
      <c r="BZO9"/>
      <c r="BZQ9"/>
      <c r="BZS9"/>
      <c r="BZU9"/>
      <c r="BZW9"/>
      <c r="BZY9"/>
      <c r="CAA9"/>
      <c r="CAC9"/>
      <c r="CAE9"/>
      <c r="CAG9"/>
      <c r="CAI9"/>
      <c r="CAK9"/>
      <c r="CAM9"/>
      <c r="CAO9"/>
      <c r="CAQ9"/>
      <c r="CAS9"/>
      <c r="CAU9"/>
      <c r="CAW9"/>
      <c r="CAY9"/>
      <c r="CBA9"/>
      <c r="CBC9"/>
      <c r="CBE9"/>
      <c r="CBG9"/>
      <c r="CBI9"/>
      <c r="CBK9"/>
      <c r="CBM9"/>
      <c r="CBO9"/>
      <c r="CBQ9"/>
      <c r="CBS9"/>
      <c r="CBU9"/>
      <c r="CBW9"/>
      <c r="CBY9"/>
      <c r="CCA9"/>
      <c r="CCC9"/>
      <c r="CCE9"/>
      <c r="CCG9"/>
      <c r="CCI9"/>
      <c r="CCK9"/>
      <c r="CCM9"/>
      <c r="CCO9"/>
      <c r="CCQ9"/>
      <c r="CCS9"/>
      <c r="CCU9"/>
      <c r="CCW9"/>
      <c r="CCY9"/>
      <c r="CDA9"/>
      <c r="CDC9"/>
      <c r="CDE9"/>
      <c r="CDG9"/>
      <c r="CDI9"/>
      <c r="CDK9"/>
      <c r="CDM9"/>
      <c r="CDO9"/>
      <c r="CDQ9"/>
      <c r="CDS9"/>
      <c r="CDU9"/>
      <c r="CDW9"/>
      <c r="CDY9"/>
      <c r="CEA9"/>
      <c r="CEC9"/>
      <c r="CEE9"/>
      <c r="CEG9"/>
      <c r="CEI9"/>
      <c r="CEK9"/>
      <c r="CEM9"/>
      <c r="CEO9"/>
      <c r="CEQ9"/>
      <c r="CES9"/>
      <c r="CEU9"/>
      <c r="CEW9"/>
      <c r="CEY9"/>
      <c r="CFA9"/>
      <c r="CFC9"/>
      <c r="CFE9"/>
      <c r="CFG9"/>
      <c r="CFI9"/>
      <c r="CFK9"/>
      <c r="CFM9"/>
      <c r="CFO9"/>
      <c r="CFQ9"/>
      <c r="CFS9"/>
      <c r="CFU9"/>
      <c r="CFW9"/>
      <c r="CFY9"/>
      <c r="CGA9"/>
      <c r="CGC9"/>
      <c r="CGE9"/>
      <c r="CGG9"/>
      <c r="CGI9"/>
      <c r="CGK9"/>
      <c r="CGM9"/>
      <c r="CGO9"/>
      <c r="CGQ9"/>
      <c r="CGS9"/>
      <c r="CGU9"/>
      <c r="CGW9"/>
      <c r="CGY9"/>
      <c r="CHA9"/>
      <c r="CHC9"/>
      <c r="CHE9"/>
      <c r="CHG9"/>
      <c r="CHI9"/>
      <c r="CHK9"/>
      <c r="CHM9"/>
      <c r="CHO9"/>
      <c r="CHQ9"/>
      <c r="CHS9"/>
      <c r="CHU9"/>
      <c r="CHW9"/>
      <c r="CHY9"/>
      <c r="CIA9"/>
      <c r="CIC9"/>
      <c r="CIE9"/>
      <c r="CIG9"/>
      <c r="CII9"/>
      <c r="CIK9"/>
      <c r="CIM9"/>
      <c r="CIO9"/>
      <c r="CIQ9"/>
      <c r="CIS9"/>
      <c r="CIU9"/>
      <c r="CIW9"/>
      <c r="CIY9"/>
      <c r="CJA9"/>
      <c r="CJC9"/>
      <c r="CJE9"/>
      <c r="CJG9"/>
      <c r="CJI9"/>
      <c r="CJK9"/>
      <c r="CJM9"/>
      <c r="CJO9"/>
      <c r="CJQ9"/>
      <c r="CJS9"/>
      <c r="CJU9"/>
      <c r="CJW9"/>
      <c r="CJY9"/>
      <c r="CKA9"/>
      <c r="CKC9"/>
      <c r="CKE9"/>
      <c r="CKG9"/>
      <c r="CKI9"/>
      <c r="CKK9"/>
      <c r="CKM9"/>
      <c r="CKO9"/>
      <c r="CKQ9"/>
      <c r="CKS9"/>
      <c r="CKU9"/>
      <c r="CKW9"/>
      <c r="CKY9"/>
      <c r="CLA9"/>
      <c r="CLC9"/>
      <c r="CLE9"/>
      <c r="CLG9"/>
      <c r="CLI9"/>
      <c r="CLK9"/>
      <c r="CLM9"/>
      <c r="CLO9"/>
      <c r="CLQ9"/>
      <c r="CLS9"/>
      <c r="CLU9"/>
      <c r="CLW9"/>
      <c r="CLY9"/>
      <c r="CMA9"/>
      <c r="CMC9"/>
      <c r="CME9"/>
      <c r="CMG9"/>
      <c r="CMI9"/>
      <c r="CMK9"/>
      <c r="CMM9"/>
      <c r="CMO9"/>
      <c r="CMQ9"/>
      <c r="CMS9"/>
      <c r="CMU9"/>
      <c r="CMW9"/>
      <c r="CMY9"/>
      <c r="CNA9"/>
      <c r="CNC9"/>
      <c r="CNE9"/>
      <c r="CNG9"/>
      <c r="CNI9"/>
      <c r="CNK9"/>
      <c r="CNM9"/>
      <c r="CNO9"/>
      <c r="CNQ9"/>
      <c r="CNS9"/>
      <c r="CNU9"/>
      <c r="CNW9"/>
      <c r="CNY9"/>
      <c r="COA9"/>
      <c r="COC9"/>
      <c r="COE9"/>
      <c r="COG9"/>
      <c r="COI9"/>
      <c r="COK9"/>
      <c r="COM9"/>
      <c r="COO9"/>
      <c r="COQ9"/>
      <c r="COS9"/>
      <c r="COU9"/>
      <c r="COW9"/>
      <c r="COY9"/>
      <c r="CPA9"/>
      <c r="CPC9"/>
      <c r="CPE9"/>
      <c r="CPG9"/>
      <c r="CPI9"/>
      <c r="CPK9"/>
      <c r="CPM9"/>
      <c r="CPO9"/>
      <c r="CPQ9"/>
      <c r="CPS9"/>
      <c r="CPU9"/>
      <c r="CPW9"/>
      <c r="CPY9"/>
      <c r="CQA9"/>
      <c r="CQC9"/>
      <c r="CQE9"/>
      <c r="CQG9"/>
      <c r="CQI9"/>
      <c r="CQK9"/>
      <c r="CQM9"/>
      <c r="CQO9"/>
      <c r="CQQ9"/>
      <c r="CQS9"/>
      <c r="CQU9"/>
      <c r="CQW9"/>
      <c r="CQY9"/>
      <c r="CRA9"/>
      <c r="CRC9"/>
      <c r="CRE9"/>
      <c r="CRG9"/>
      <c r="CRI9"/>
      <c r="CRK9"/>
      <c r="CRM9"/>
      <c r="CRO9"/>
      <c r="CRQ9"/>
      <c r="CRS9"/>
      <c r="CRU9"/>
      <c r="CRW9"/>
      <c r="CRY9"/>
      <c r="CSA9"/>
      <c r="CSC9"/>
      <c r="CSE9"/>
      <c r="CSG9"/>
      <c r="CSI9"/>
      <c r="CSK9"/>
      <c r="CSM9"/>
      <c r="CSO9"/>
      <c r="CSQ9"/>
      <c r="CSS9"/>
      <c r="CSU9"/>
      <c r="CSW9"/>
      <c r="CSY9"/>
      <c r="CTA9"/>
      <c r="CTC9"/>
      <c r="CTE9"/>
      <c r="CTG9"/>
      <c r="CTI9"/>
      <c r="CTK9"/>
      <c r="CTM9"/>
      <c r="CTO9"/>
      <c r="CTQ9"/>
      <c r="CTS9"/>
      <c r="CTU9"/>
      <c r="CTW9"/>
      <c r="CTY9"/>
      <c r="CUA9"/>
      <c r="CUC9"/>
      <c r="CUE9"/>
      <c r="CUG9"/>
      <c r="CUI9"/>
      <c r="CUK9"/>
      <c r="CUM9"/>
      <c r="CUO9"/>
      <c r="CUQ9"/>
      <c r="CUS9"/>
      <c r="CUU9"/>
      <c r="CUW9"/>
      <c r="CUY9"/>
      <c r="CVA9"/>
      <c r="CVC9"/>
      <c r="CVE9"/>
      <c r="CVG9"/>
      <c r="CVI9"/>
      <c r="CVK9"/>
      <c r="CVM9"/>
      <c r="CVO9"/>
      <c r="CVQ9"/>
      <c r="CVS9"/>
      <c r="CVU9"/>
      <c r="CVW9"/>
      <c r="CVY9"/>
      <c r="CWA9"/>
      <c r="CWC9"/>
      <c r="CWE9"/>
      <c r="CWG9"/>
      <c r="CWI9"/>
      <c r="CWK9"/>
      <c r="CWM9"/>
      <c r="CWO9"/>
      <c r="CWQ9"/>
      <c r="CWS9"/>
      <c r="CWU9"/>
      <c r="CWW9"/>
      <c r="CWY9"/>
      <c r="CXA9"/>
      <c r="CXC9"/>
      <c r="CXE9"/>
      <c r="CXG9"/>
      <c r="CXI9"/>
      <c r="CXK9"/>
      <c r="CXM9"/>
      <c r="CXO9"/>
      <c r="CXQ9"/>
      <c r="CXS9"/>
      <c r="CXU9"/>
      <c r="CXW9"/>
      <c r="CXY9"/>
      <c r="CYA9"/>
      <c r="CYC9"/>
      <c r="CYE9"/>
      <c r="CYG9"/>
      <c r="CYI9"/>
      <c r="CYK9"/>
      <c r="CYM9"/>
      <c r="CYO9"/>
      <c r="CYQ9"/>
      <c r="CYS9"/>
      <c r="CYU9"/>
      <c r="CYW9"/>
      <c r="CYY9"/>
      <c r="CZA9"/>
      <c r="CZC9"/>
      <c r="CZE9"/>
      <c r="CZG9"/>
      <c r="CZI9"/>
      <c r="CZK9"/>
      <c r="CZM9"/>
      <c r="CZO9"/>
      <c r="CZQ9"/>
      <c r="CZS9"/>
      <c r="CZU9"/>
      <c r="CZW9"/>
      <c r="CZY9"/>
      <c r="DAA9"/>
      <c r="DAC9"/>
      <c r="DAE9"/>
      <c r="DAG9"/>
      <c r="DAI9"/>
      <c r="DAK9"/>
      <c r="DAM9"/>
      <c r="DAO9"/>
      <c r="DAQ9"/>
      <c r="DAS9"/>
      <c r="DAU9"/>
      <c r="DAW9"/>
      <c r="DAY9"/>
      <c r="DBA9"/>
      <c r="DBC9"/>
      <c r="DBE9"/>
      <c r="DBG9"/>
      <c r="DBI9"/>
      <c r="DBK9"/>
      <c r="DBM9"/>
      <c r="DBO9"/>
      <c r="DBQ9"/>
      <c r="DBS9"/>
      <c r="DBU9"/>
      <c r="DBW9"/>
      <c r="DBY9"/>
      <c r="DCA9"/>
      <c r="DCC9"/>
      <c r="DCE9"/>
      <c r="DCG9"/>
      <c r="DCI9"/>
      <c r="DCK9"/>
      <c r="DCM9"/>
      <c r="DCO9"/>
      <c r="DCQ9"/>
      <c r="DCS9"/>
      <c r="DCU9"/>
      <c r="DCW9"/>
      <c r="DCY9"/>
      <c r="DDA9"/>
      <c r="DDC9"/>
      <c r="DDE9"/>
      <c r="DDG9"/>
      <c r="DDI9"/>
      <c r="DDK9"/>
      <c r="DDM9"/>
      <c r="DDO9"/>
      <c r="DDQ9"/>
      <c r="DDS9"/>
      <c r="DDU9"/>
      <c r="DDW9"/>
      <c r="DDY9"/>
      <c r="DEA9"/>
      <c r="DEC9"/>
      <c r="DEE9"/>
      <c r="DEG9"/>
      <c r="DEI9"/>
      <c r="DEK9"/>
      <c r="DEM9"/>
      <c r="DEO9"/>
      <c r="DEQ9"/>
      <c r="DES9"/>
      <c r="DEU9"/>
      <c r="DEW9"/>
      <c r="DEY9"/>
      <c r="DFA9"/>
      <c r="DFC9"/>
      <c r="DFE9"/>
      <c r="DFG9"/>
      <c r="DFI9"/>
      <c r="DFK9"/>
      <c r="DFM9"/>
      <c r="DFO9"/>
      <c r="DFQ9"/>
      <c r="DFS9"/>
      <c r="DFU9"/>
      <c r="DFW9"/>
      <c r="DFY9"/>
      <c r="DGA9"/>
      <c r="DGC9"/>
      <c r="DGE9"/>
      <c r="DGG9"/>
      <c r="DGI9"/>
      <c r="DGK9"/>
      <c r="DGM9"/>
      <c r="DGO9"/>
      <c r="DGQ9"/>
      <c r="DGS9"/>
      <c r="DGU9"/>
      <c r="DGW9"/>
      <c r="DGY9"/>
      <c r="DHA9"/>
      <c r="DHC9"/>
      <c r="DHE9"/>
      <c r="DHG9"/>
      <c r="DHI9"/>
      <c r="DHK9"/>
      <c r="DHM9"/>
      <c r="DHO9"/>
      <c r="DHQ9"/>
      <c r="DHS9"/>
      <c r="DHU9"/>
      <c r="DHW9"/>
      <c r="DHY9"/>
      <c r="DIA9"/>
      <c r="DIC9"/>
      <c r="DIE9"/>
      <c r="DIG9"/>
      <c r="DII9"/>
      <c r="DIK9"/>
      <c r="DIM9"/>
      <c r="DIO9"/>
      <c r="DIQ9"/>
      <c r="DIS9"/>
      <c r="DIU9"/>
      <c r="DIW9"/>
      <c r="DIY9"/>
      <c r="DJA9"/>
      <c r="DJC9"/>
      <c r="DJE9"/>
      <c r="DJG9"/>
      <c r="DJI9"/>
      <c r="DJK9"/>
      <c r="DJM9"/>
      <c r="DJO9"/>
      <c r="DJQ9"/>
      <c r="DJS9"/>
      <c r="DJU9"/>
      <c r="DJW9"/>
      <c r="DJY9"/>
      <c r="DKA9"/>
      <c r="DKC9"/>
      <c r="DKE9"/>
      <c r="DKG9"/>
      <c r="DKI9"/>
      <c r="DKK9"/>
      <c r="DKM9"/>
      <c r="DKO9"/>
      <c r="DKQ9"/>
      <c r="DKS9"/>
      <c r="DKU9"/>
      <c r="DKW9"/>
      <c r="DKY9"/>
      <c r="DLA9"/>
      <c r="DLC9"/>
      <c r="DLE9"/>
      <c r="DLG9"/>
      <c r="DLI9"/>
      <c r="DLK9"/>
      <c r="DLM9"/>
      <c r="DLO9"/>
      <c r="DLQ9"/>
      <c r="DLS9"/>
      <c r="DLU9"/>
      <c r="DLW9"/>
      <c r="DLY9"/>
      <c r="DMA9"/>
      <c r="DMC9"/>
      <c r="DME9"/>
      <c r="DMG9"/>
      <c r="DMI9"/>
      <c r="DMK9"/>
      <c r="DMM9"/>
      <c r="DMO9"/>
      <c r="DMQ9"/>
      <c r="DMS9"/>
      <c r="DMU9"/>
      <c r="DMW9"/>
      <c r="DMY9"/>
      <c r="DNA9"/>
      <c r="DNC9"/>
      <c r="DNE9"/>
      <c r="DNG9"/>
      <c r="DNI9"/>
      <c r="DNK9"/>
      <c r="DNM9"/>
      <c r="DNO9"/>
      <c r="DNQ9"/>
      <c r="DNS9"/>
      <c r="DNU9"/>
      <c r="DNW9"/>
      <c r="DNY9"/>
      <c r="DOA9"/>
      <c r="DOC9"/>
      <c r="DOE9"/>
      <c r="DOG9"/>
      <c r="DOI9"/>
      <c r="DOK9"/>
      <c r="DOM9"/>
      <c r="DOO9"/>
      <c r="DOQ9"/>
      <c r="DOS9"/>
      <c r="DOU9"/>
      <c r="DOW9"/>
      <c r="DOY9"/>
      <c r="DPA9"/>
      <c r="DPC9"/>
      <c r="DPE9"/>
      <c r="DPG9"/>
      <c r="DPI9"/>
      <c r="DPK9"/>
      <c r="DPM9"/>
      <c r="DPO9"/>
      <c r="DPQ9"/>
      <c r="DPS9"/>
      <c r="DPU9"/>
      <c r="DPW9"/>
      <c r="DPY9"/>
      <c r="DQA9"/>
      <c r="DQC9"/>
      <c r="DQE9"/>
      <c r="DQG9"/>
      <c r="DQI9"/>
      <c r="DQK9"/>
      <c r="DQM9"/>
      <c r="DQO9"/>
      <c r="DQQ9"/>
      <c r="DQS9"/>
      <c r="DQU9"/>
      <c r="DQW9"/>
      <c r="DQY9"/>
      <c r="DRA9"/>
      <c r="DRC9"/>
      <c r="DRE9"/>
      <c r="DRG9"/>
      <c r="DRI9"/>
      <c r="DRK9"/>
      <c r="DRM9"/>
      <c r="DRO9"/>
      <c r="DRQ9"/>
      <c r="DRS9"/>
      <c r="DRU9"/>
      <c r="DRW9"/>
      <c r="DRY9"/>
      <c r="DSA9"/>
      <c r="DSC9"/>
      <c r="DSE9"/>
      <c r="DSG9"/>
      <c r="DSI9"/>
      <c r="DSK9"/>
      <c r="DSM9"/>
      <c r="DSO9"/>
      <c r="DSQ9"/>
      <c r="DSS9"/>
      <c r="DSU9"/>
      <c r="DSW9"/>
      <c r="DSY9"/>
      <c r="DTA9"/>
      <c r="DTC9"/>
      <c r="DTE9"/>
      <c r="DTG9"/>
      <c r="DTI9"/>
      <c r="DTK9"/>
      <c r="DTM9"/>
      <c r="DTO9"/>
      <c r="DTQ9"/>
      <c r="DTS9"/>
      <c r="DTU9"/>
      <c r="DTW9"/>
      <c r="DTY9"/>
      <c r="DUA9"/>
      <c r="DUC9"/>
      <c r="DUE9"/>
      <c r="DUG9"/>
      <c r="DUI9"/>
      <c r="DUK9"/>
      <c r="DUM9"/>
      <c r="DUO9"/>
      <c r="DUQ9"/>
      <c r="DUS9"/>
      <c r="DUU9"/>
      <c r="DUW9"/>
      <c r="DUY9"/>
      <c r="DVA9"/>
      <c r="DVC9"/>
      <c r="DVE9"/>
      <c r="DVG9"/>
      <c r="DVI9"/>
      <c r="DVK9"/>
      <c r="DVM9"/>
      <c r="DVO9"/>
      <c r="DVQ9"/>
      <c r="DVS9"/>
      <c r="DVU9"/>
      <c r="DVW9"/>
      <c r="DVY9"/>
      <c r="DWA9"/>
      <c r="DWC9"/>
      <c r="DWE9"/>
      <c r="DWG9"/>
      <c r="DWI9"/>
      <c r="DWK9"/>
      <c r="DWM9"/>
      <c r="DWO9"/>
      <c r="DWQ9"/>
      <c r="DWS9"/>
      <c r="DWU9"/>
      <c r="DWW9"/>
      <c r="DWY9"/>
      <c r="DXA9"/>
      <c r="DXC9"/>
      <c r="DXE9"/>
      <c r="DXG9"/>
      <c r="DXI9"/>
      <c r="DXK9"/>
      <c r="DXM9"/>
      <c r="DXO9"/>
      <c r="DXQ9"/>
      <c r="DXS9"/>
      <c r="DXU9"/>
      <c r="DXW9"/>
      <c r="DXY9"/>
      <c r="DYA9"/>
      <c r="DYC9"/>
      <c r="DYE9"/>
      <c r="DYG9"/>
      <c r="DYI9"/>
      <c r="DYK9"/>
      <c r="DYM9"/>
      <c r="DYO9"/>
      <c r="DYQ9"/>
      <c r="DYS9"/>
      <c r="DYU9"/>
      <c r="DYW9"/>
      <c r="DYY9"/>
      <c r="DZA9"/>
      <c r="DZC9"/>
      <c r="DZE9"/>
      <c r="DZG9"/>
      <c r="DZI9"/>
      <c r="DZK9"/>
      <c r="DZM9"/>
      <c r="DZO9"/>
      <c r="DZQ9"/>
      <c r="DZS9"/>
      <c r="DZU9"/>
      <c r="DZW9"/>
      <c r="DZY9"/>
      <c r="EAA9"/>
      <c r="EAC9"/>
      <c r="EAE9"/>
      <c r="EAG9"/>
      <c r="EAI9"/>
      <c r="EAK9"/>
      <c r="EAM9"/>
      <c r="EAO9"/>
      <c r="EAQ9"/>
      <c r="EAS9"/>
      <c r="EAU9"/>
      <c r="EAW9"/>
      <c r="EAY9"/>
      <c r="EBA9"/>
      <c r="EBC9"/>
      <c r="EBE9"/>
      <c r="EBG9"/>
      <c r="EBI9"/>
      <c r="EBK9"/>
      <c r="EBM9"/>
      <c r="EBO9"/>
      <c r="EBQ9"/>
      <c r="EBS9"/>
      <c r="EBU9"/>
      <c r="EBW9"/>
      <c r="EBY9"/>
      <c r="ECA9"/>
      <c r="ECC9"/>
      <c r="ECE9"/>
      <c r="ECG9"/>
      <c r="ECI9"/>
      <c r="ECK9"/>
      <c r="ECM9"/>
      <c r="ECO9"/>
      <c r="ECQ9"/>
      <c r="ECS9"/>
      <c r="ECU9"/>
      <c r="ECW9"/>
      <c r="ECY9"/>
      <c r="EDA9"/>
      <c r="EDC9"/>
      <c r="EDE9"/>
      <c r="EDG9"/>
      <c r="EDI9"/>
      <c r="EDK9"/>
      <c r="EDM9"/>
      <c r="EDO9"/>
      <c r="EDQ9"/>
      <c r="EDS9"/>
      <c r="EDU9"/>
      <c r="EDW9"/>
      <c r="EDY9"/>
      <c r="EEA9"/>
      <c r="EEC9"/>
      <c r="EEE9"/>
      <c r="EEG9"/>
      <c r="EEI9"/>
      <c r="EEK9"/>
      <c r="EEM9"/>
      <c r="EEO9"/>
      <c r="EEQ9"/>
      <c r="EES9"/>
      <c r="EEU9"/>
      <c r="EEW9"/>
      <c r="EEY9"/>
      <c r="EFA9"/>
      <c r="EFC9"/>
      <c r="EFE9"/>
      <c r="EFG9"/>
      <c r="EFI9"/>
      <c r="EFK9"/>
      <c r="EFM9"/>
      <c r="EFO9"/>
      <c r="EFQ9"/>
      <c r="EFS9"/>
      <c r="EFU9"/>
      <c r="EFW9"/>
      <c r="EFY9"/>
      <c r="EGA9"/>
      <c r="EGC9"/>
      <c r="EGE9"/>
      <c r="EGG9"/>
      <c r="EGI9"/>
      <c r="EGK9"/>
      <c r="EGM9"/>
      <c r="EGO9"/>
      <c r="EGQ9"/>
      <c r="EGS9"/>
      <c r="EGU9"/>
      <c r="EGW9"/>
      <c r="EGY9"/>
      <c r="EHA9"/>
      <c r="EHC9"/>
      <c r="EHE9"/>
      <c r="EHG9"/>
      <c r="EHI9"/>
      <c r="EHK9"/>
      <c r="EHM9"/>
      <c r="EHO9"/>
      <c r="EHQ9"/>
      <c r="EHS9"/>
      <c r="EHU9"/>
      <c r="EHW9"/>
      <c r="EHY9"/>
      <c r="EIA9"/>
      <c r="EIC9"/>
      <c r="EIE9"/>
      <c r="EIG9"/>
      <c r="EII9"/>
      <c r="EIK9"/>
      <c r="EIM9"/>
      <c r="EIO9"/>
      <c r="EIQ9"/>
      <c r="EIS9"/>
      <c r="EIU9"/>
      <c r="EIW9"/>
      <c r="EIY9"/>
      <c r="EJA9"/>
      <c r="EJC9"/>
      <c r="EJE9"/>
      <c r="EJG9"/>
      <c r="EJI9"/>
      <c r="EJK9"/>
      <c r="EJM9"/>
      <c r="EJO9"/>
      <c r="EJQ9"/>
      <c r="EJS9"/>
      <c r="EJU9"/>
      <c r="EJW9"/>
      <c r="EJY9"/>
      <c r="EKA9"/>
      <c r="EKC9"/>
      <c r="EKE9"/>
      <c r="EKG9"/>
      <c r="EKI9"/>
      <c r="EKK9"/>
      <c r="EKM9"/>
      <c r="EKO9"/>
      <c r="EKQ9"/>
      <c r="EKS9"/>
      <c r="EKU9"/>
      <c r="EKW9"/>
      <c r="EKY9"/>
      <c r="ELA9"/>
      <c r="ELC9"/>
      <c r="ELE9"/>
      <c r="ELG9"/>
      <c r="ELI9"/>
      <c r="ELK9"/>
      <c r="ELM9"/>
      <c r="ELO9"/>
      <c r="ELQ9"/>
      <c r="ELS9"/>
      <c r="ELU9"/>
      <c r="ELW9"/>
      <c r="ELY9"/>
      <c r="EMA9"/>
      <c r="EMC9"/>
      <c r="EME9"/>
      <c r="EMG9"/>
      <c r="EMI9"/>
      <c r="EMK9"/>
      <c r="EMM9"/>
      <c r="EMO9"/>
      <c r="EMQ9"/>
      <c r="EMS9"/>
      <c r="EMU9"/>
      <c r="EMW9"/>
      <c r="EMY9"/>
      <c r="ENA9"/>
      <c r="ENC9"/>
      <c r="ENE9"/>
      <c r="ENG9"/>
      <c r="ENI9"/>
      <c r="ENK9"/>
      <c r="ENM9"/>
      <c r="ENO9"/>
      <c r="ENQ9"/>
      <c r="ENS9"/>
      <c r="ENU9"/>
      <c r="ENW9"/>
      <c r="ENY9"/>
      <c r="EOA9"/>
      <c r="EOC9"/>
      <c r="EOE9"/>
      <c r="EOG9"/>
      <c r="EOI9"/>
      <c r="EOK9"/>
      <c r="EOM9"/>
      <c r="EOO9"/>
      <c r="EOQ9"/>
      <c r="EOS9"/>
      <c r="EOU9"/>
      <c r="EOW9"/>
      <c r="EOY9"/>
      <c r="EPA9"/>
      <c r="EPC9"/>
      <c r="EPE9"/>
      <c r="EPG9"/>
      <c r="EPI9"/>
      <c r="EPK9"/>
      <c r="EPM9"/>
      <c r="EPO9"/>
      <c r="EPQ9"/>
      <c r="EPS9"/>
      <c r="EPU9"/>
      <c r="EPW9"/>
      <c r="EPY9"/>
      <c r="EQA9"/>
      <c r="EQC9"/>
      <c r="EQE9"/>
      <c r="EQG9"/>
      <c r="EQI9"/>
      <c r="EQK9"/>
      <c r="EQM9"/>
      <c r="EQO9"/>
      <c r="EQQ9"/>
      <c r="EQS9"/>
      <c r="EQU9"/>
      <c r="EQW9"/>
      <c r="EQY9"/>
      <c r="ERA9"/>
      <c r="ERC9"/>
      <c r="ERE9"/>
      <c r="ERG9"/>
      <c r="ERI9"/>
      <c r="ERK9"/>
      <c r="ERM9"/>
      <c r="ERO9"/>
      <c r="ERQ9"/>
      <c r="ERS9"/>
      <c r="ERU9"/>
      <c r="ERW9"/>
      <c r="ERY9"/>
      <c r="ESA9"/>
      <c r="ESC9"/>
      <c r="ESE9"/>
      <c r="ESG9"/>
      <c r="ESI9"/>
      <c r="ESK9"/>
      <c r="ESM9"/>
      <c r="ESO9"/>
      <c r="ESQ9"/>
      <c r="ESS9"/>
      <c r="ESU9"/>
      <c r="ESW9"/>
      <c r="ESY9"/>
      <c r="ETA9"/>
      <c r="ETC9"/>
      <c r="ETE9"/>
      <c r="ETG9"/>
      <c r="ETI9"/>
      <c r="ETK9"/>
      <c r="ETM9"/>
      <c r="ETO9"/>
      <c r="ETQ9"/>
      <c r="ETS9"/>
      <c r="ETU9"/>
      <c r="ETW9"/>
      <c r="ETY9"/>
      <c r="EUA9"/>
      <c r="EUC9"/>
      <c r="EUE9"/>
      <c r="EUG9"/>
      <c r="EUI9"/>
      <c r="EUK9"/>
      <c r="EUM9"/>
      <c r="EUO9"/>
      <c r="EUQ9"/>
      <c r="EUS9"/>
      <c r="EUU9"/>
      <c r="EUW9"/>
      <c r="EUY9"/>
      <c r="EVA9"/>
      <c r="EVC9"/>
      <c r="EVE9"/>
      <c r="EVG9"/>
      <c r="EVI9"/>
      <c r="EVK9"/>
      <c r="EVM9"/>
      <c r="EVO9"/>
      <c r="EVQ9"/>
      <c r="EVS9"/>
      <c r="EVU9"/>
      <c r="EVW9"/>
      <c r="EVY9"/>
      <c r="EWA9"/>
      <c r="EWC9"/>
      <c r="EWE9"/>
      <c r="EWG9"/>
      <c r="EWI9"/>
      <c r="EWK9"/>
      <c r="EWM9"/>
      <c r="EWO9"/>
      <c r="EWQ9"/>
      <c r="EWS9"/>
      <c r="EWU9"/>
      <c r="EWW9"/>
      <c r="EWY9"/>
      <c r="EXA9"/>
      <c r="EXC9"/>
      <c r="EXE9"/>
      <c r="EXG9"/>
      <c r="EXI9"/>
      <c r="EXK9"/>
      <c r="EXM9"/>
      <c r="EXO9"/>
      <c r="EXQ9"/>
      <c r="EXS9"/>
      <c r="EXU9"/>
      <c r="EXW9"/>
      <c r="EXY9"/>
      <c r="EYA9"/>
      <c r="EYC9"/>
      <c r="EYE9"/>
      <c r="EYG9"/>
      <c r="EYI9"/>
      <c r="EYK9"/>
      <c r="EYM9"/>
      <c r="EYO9"/>
      <c r="EYQ9"/>
      <c r="EYS9"/>
      <c r="EYU9"/>
      <c r="EYW9"/>
      <c r="EYY9"/>
      <c r="EZA9"/>
      <c r="EZC9"/>
      <c r="EZE9"/>
      <c r="EZG9"/>
      <c r="EZI9"/>
      <c r="EZK9"/>
      <c r="EZM9"/>
      <c r="EZO9"/>
      <c r="EZQ9"/>
      <c r="EZS9"/>
      <c r="EZU9"/>
      <c r="EZW9"/>
      <c r="EZY9"/>
      <c r="FAA9"/>
      <c r="FAC9"/>
      <c r="FAE9"/>
      <c r="FAG9"/>
      <c r="FAI9"/>
      <c r="FAK9"/>
      <c r="FAM9"/>
      <c r="FAO9"/>
      <c r="FAQ9"/>
      <c r="FAS9"/>
      <c r="FAU9"/>
      <c r="FAW9"/>
      <c r="FAY9"/>
      <c r="FBA9"/>
      <c r="FBC9"/>
      <c r="FBE9"/>
      <c r="FBG9"/>
      <c r="FBI9"/>
      <c r="FBK9"/>
      <c r="FBM9"/>
      <c r="FBO9"/>
      <c r="FBQ9"/>
      <c r="FBS9"/>
      <c r="FBU9"/>
      <c r="FBW9"/>
      <c r="FBY9"/>
      <c r="FCA9"/>
      <c r="FCC9"/>
      <c r="FCE9"/>
      <c r="FCG9"/>
      <c r="FCI9"/>
      <c r="FCK9"/>
      <c r="FCM9"/>
      <c r="FCO9"/>
      <c r="FCQ9"/>
      <c r="FCS9"/>
      <c r="FCU9"/>
      <c r="FCW9"/>
      <c r="FCY9"/>
      <c r="FDA9"/>
      <c r="FDC9"/>
      <c r="FDE9"/>
      <c r="FDG9"/>
      <c r="FDI9"/>
      <c r="FDK9"/>
      <c r="FDM9"/>
      <c r="FDO9"/>
      <c r="FDQ9"/>
      <c r="FDS9"/>
      <c r="FDU9"/>
      <c r="FDW9"/>
      <c r="FDY9"/>
      <c r="FEA9"/>
      <c r="FEC9"/>
      <c r="FEE9"/>
      <c r="FEG9"/>
      <c r="FEI9"/>
      <c r="FEK9"/>
      <c r="FEM9"/>
      <c r="FEO9"/>
      <c r="FEQ9"/>
      <c r="FES9"/>
      <c r="FEU9"/>
      <c r="FEW9"/>
      <c r="FEY9"/>
      <c r="FFA9"/>
      <c r="FFC9"/>
      <c r="FFE9"/>
      <c r="FFG9"/>
      <c r="FFI9"/>
      <c r="FFK9"/>
      <c r="FFM9"/>
      <c r="FFO9"/>
      <c r="FFQ9"/>
      <c r="FFS9"/>
      <c r="FFU9"/>
      <c r="FFW9"/>
      <c r="FFY9"/>
      <c r="FGA9"/>
      <c r="FGC9"/>
      <c r="FGE9"/>
      <c r="FGG9"/>
      <c r="FGI9"/>
      <c r="FGK9"/>
      <c r="FGM9"/>
      <c r="FGO9"/>
      <c r="FGQ9"/>
      <c r="FGS9"/>
      <c r="FGU9"/>
      <c r="FGW9"/>
      <c r="FGY9"/>
      <c r="FHA9"/>
      <c r="FHC9"/>
      <c r="FHE9"/>
      <c r="FHG9"/>
      <c r="FHI9"/>
      <c r="FHK9"/>
      <c r="FHM9"/>
      <c r="FHO9"/>
      <c r="FHQ9"/>
      <c r="FHS9"/>
      <c r="FHU9"/>
      <c r="FHW9"/>
      <c r="FHY9"/>
      <c r="FIA9"/>
      <c r="FIC9"/>
      <c r="FIE9"/>
      <c r="FIG9"/>
      <c r="FII9"/>
      <c r="FIK9"/>
      <c r="FIM9"/>
      <c r="FIO9"/>
      <c r="FIQ9"/>
      <c r="FIS9"/>
      <c r="FIU9"/>
      <c r="FIW9"/>
      <c r="FIY9"/>
      <c r="FJA9"/>
      <c r="FJC9"/>
      <c r="FJE9"/>
      <c r="FJG9"/>
      <c r="FJI9"/>
      <c r="FJK9"/>
      <c r="FJM9"/>
      <c r="FJO9"/>
      <c r="FJQ9"/>
      <c r="FJS9"/>
      <c r="FJU9"/>
      <c r="FJW9"/>
      <c r="FJY9"/>
      <c r="FKA9"/>
      <c r="FKC9"/>
      <c r="FKE9"/>
      <c r="FKG9"/>
      <c r="FKI9"/>
      <c r="FKK9"/>
      <c r="FKM9"/>
      <c r="FKO9"/>
      <c r="FKQ9"/>
      <c r="FKS9"/>
      <c r="FKU9"/>
      <c r="FKW9"/>
      <c r="FKY9"/>
      <c r="FLA9"/>
      <c r="FLC9"/>
      <c r="FLE9"/>
      <c r="FLG9"/>
      <c r="FLI9"/>
      <c r="FLK9"/>
      <c r="FLM9"/>
      <c r="FLO9"/>
      <c r="FLQ9"/>
      <c r="FLS9"/>
      <c r="FLU9"/>
      <c r="FLW9"/>
      <c r="FLY9"/>
      <c r="FMA9"/>
      <c r="FMC9"/>
      <c r="FME9"/>
      <c r="FMG9"/>
      <c r="FMI9"/>
      <c r="FMK9"/>
      <c r="FMM9"/>
      <c r="FMO9"/>
      <c r="FMQ9"/>
      <c r="FMS9"/>
      <c r="FMU9"/>
      <c r="FMW9"/>
      <c r="FMY9"/>
      <c r="FNA9"/>
      <c r="FNC9"/>
      <c r="FNE9"/>
      <c r="FNG9"/>
      <c r="FNI9"/>
      <c r="FNK9"/>
      <c r="FNM9"/>
      <c r="FNO9"/>
      <c r="FNQ9"/>
      <c r="FNS9"/>
      <c r="FNU9"/>
      <c r="FNW9"/>
      <c r="FNY9"/>
      <c r="FOA9"/>
      <c r="FOC9"/>
      <c r="FOE9"/>
      <c r="FOG9"/>
      <c r="FOI9"/>
      <c r="FOK9"/>
      <c r="FOM9"/>
      <c r="FOO9"/>
      <c r="FOQ9"/>
      <c r="FOS9"/>
      <c r="FOU9"/>
      <c r="FOW9"/>
      <c r="FOY9"/>
      <c r="FPA9"/>
      <c r="FPC9"/>
      <c r="FPE9"/>
      <c r="FPG9"/>
      <c r="FPI9"/>
      <c r="FPK9"/>
      <c r="FPM9"/>
      <c r="FPO9"/>
      <c r="FPQ9"/>
      <c r="FPS9"/>
      <c r="FPU9"/>
      <c r="FPW9"/>
      <c r="FPY9"/>
      <c r="FQA9"/>
      <c r="FQC9"/>
      <c r="FQE9"/>
      <c r="FQG9"/>
      <c r="FQI9"/>
      <c r="FQK9"/>
      <c r="FQM9"/>
      <c r="FQO9"/>
      <c r="FQQ9"/>
      <c r="FQS9"/>
      <c r="FQU9"/>
      <c r="FQW9"/>
      <c r="FQY9"/>
      <c r="FRA9"/>
      <c r="FRC9"/>
      <c r="FRE9"/>
      <c r="FRG9"/>
      <c r="FRI9"/>
      <c r="FRK9"/>
      <c r="FRM9"/>
      <c r="FRO9"/>
      <c r="FRQ9"/>
      <c r="FRS9"/>
      <c r="FRU9"/>
      <c r="FRW9"/>
      <c r="FRY9"/>
      <c r="FSA9"/>
      <c r="FSC9"/>
      <c r="FSE9"/>
      <c r="FSG9"/>
      <c r="FSI9"/>
      <c r="FSK9"/>
      <c r="FSM9"/>
      <c r="FSO9"/>
      <c r="FSQ9"/>
      <c r="FSS9"/>
      <c r="FSU9"/>
      <c r="FSW9"/>
      <c r="FSY9"/>
      <c r="FTA9"/>
      <c r="FTC9"/>
      <c r="FTE9"/>
      <c r="FTG9"/>
      <c r="FTI9"/>
      <c r="FTK9"/>
      <c r="FTM9"/>
      <c r="FTO9"/>
      <c r="FTQ9"/>
      <c r="FTS9"/>
      <c r="FTU9"/>
      <c r="FTW9"/>
      <c r="FTY9"/>
      <c r="FUA9"/>
      <c r="FUC9"/>
      <c r="FUE9"/>
      <c r="FUG9"/>
      <c r="FUI9"/>
      <c r="FUK9"/>
      <c r="FUM9"/>
      <c r="FUO9"/>
      <c r="FUQ9"/>
      <c r="FUS9"/>
      <c r="FUU9"/>
      <c r="FUW9"/>
      <c r="FUY9"/>
      <c r="FVA9"/>
      <c r="FVC9"/>
      <c r="FVE9"/>
      <c r="FVG9"/>
      <c r="FVI9"/>
      <c r="FVK9"/>
      <c r="FVM9"/>
      <c r="FVO9"/>
      <c r="FVQ9"/>
      <c r="FVS9"/>
      <c r="FVU9"/>
      <c r="FVW9"/>
      <c r="FVY9"/>
      <c r="FWA9"/>
      <c r="FWC9"/>
      <c r="FWE9"/>
      <c r="FWG9"/>
      <c r="FWI9"/>
      <c r="FWK9"/>
      <c r="FWM9"/>
      <c r="FWO9"/>
      <c r="FWQ9"/>
      <c r="FWS9"/>
      <c r="FWU9"/>
      <c r="FWW9"/>
      <c r="FWY9"/>
      <c r="FXA9"/>
      <c r="FXC9"/>
      <c r="FXE9"/>
      <c r="FXG9"/>
      <c r="FXI9"/>
      <c r="FXK9"/>
      <c r="FXM9"/>
      <c r="FXO9"/>
      <c r="FXQ9"/>
      <c r="FXS9"/>
      <c r="FXU9"/>
      <c r="FXW9"/>
      <c r="FXY9"/>
      <c r="FYA9"/>
      <c r="FYC9"/>
      <c r="FYE9"/>
      <c r="FYG9"/>
      <c r="FYI9"/>
      <c r="FYK9"/>
      <c r="FYM9"/>
      <c r="FYO9"/>
      <c r="FYQ9"/>
      <c r="FYS9"/>
      <c r="FYU9"/>
      <c r="FYW9"/>
      <c r="FYY9"/>
      <c r="FZA9"/>
      <c r="FZC9"/>
      <c r="FZE9"/>
      <c r="FZG9"/>
      <c r="FZI9"/>
      <c r="FZK9"/>
      <c r="FZM9"/>
      <c r="FZO9"/>
      <c r="FZQ9"/>
      <c r="FZS9"/>
      <c r="FZU9"/>
      <c r="FZW9"/>
      <c r="FZY9"/>
      <c r="GAA9"/>
      <c r="GAC9"/>
      <c r="GAE9"/>
      <c r="GAG9"/>
      <c r="GAI9"/>
      <c r="GAK9"/>
      <c r="GAM9"/>
      <c r="GAO9"/>
      <c r="GAQ9"/>
      <c r="GAS9"/>
      <c r="GAU9"/>
      <c r="GAW9"/>
      <c r="GAY9"/>
      <c r="GBA9"/>
      <c r="GBC9"/>
      <c r="GBE9"/>
      <c r="GBG9"/>
      <c r="GBI9"/>
      <c r="GBK9"/>
      <c r="GBM9"/>
      <c r="GBO9"/>
      <c r="GBQ9"/>
      <c r="GBS9"/>
      <c r="GBU9"/>
      <c r="GBW9"/>
      <c r="GBY9"/>
      <c r="GCA9"/>
      <c r="GCC9"/>
      <c r="GCE9"/>
      <c r="GCG9"/>
      <c r="GCI9"/>
      <c r="GCK9"/>
      <c r="GCM9"/>
      <c r="GCO9"/>
      <c r="GCQ9"/>
      <c r="GCS9"/>
      <c r="GCU9"/>
      <c r="GCW9"/>
      <c r="GCY9"/>
      <c r="GDA9"/>
      <c r="GDC9"/>
      <c r="GDE9"/>
      <c r="GDG9"/>
      <c r="GDI9"/>
      <c r="GDK9"/>
      <c r="GDM9"/>
      <c r="GDO9"/>
      <c r="GDQ9"/>
      <c r="GDS9"/>
      <c r="GDU9"/>
      <c r="GDW9"/>
      <c r="GDY9"/>
      <c r="GEA9"/>
      <c r="GEC9"/>
      <c r="GEE9"/>
      <c r="GEG9"/>
      <c r="GEI9"/>
      <c r="GEK9"/>
      <c r="GEM9"/>
      <c r="GEO9"/>
      <c r="GEQ9"/>
      <c r="GES9"/>
      <c r="GEU9"/>
      <c r="GEW9"/>
      <c r="GEY9"/>
      <c r="GFA9"/>
      <c r="GFC9"/>
      <c r="GFE9"/>
      <c r="GFG9"/>
      <c r="GFI9"/>
      <c r="GFK9"/>
      <c r="GFM9"/>
      <c r="GFO9"/>
      <c r="GFQ9"/>
      <c r="GFS9"/>
      <c r="GFU9"/>
      <c r="GFW9"/>
      <c r="GFY9"/>
      <c r="GGA9"/>
      <c r="GGC9"/>
      <c r="GGE9"/>
      <c r="GGG9"/>
      <c r="GGI9"/>
      <c r="GGK9"/>
      <c r="GGM9"/>
      <c r="GGO9"/>
      <c r="GGQ9"/>
      <c r="GGS9"/>
      <c r="GGU9"/>
      <c r="GGW9"/>
      <c r="GGY9"/>
      <c r="GHA9"/>
      <c r="GHC9"/>
      <c r="GHE9"/>
      <c r="GHG9"/>
      <c r="GHI9"/>
      <c r="GHK9"/>
      <c r="GHM9"/>
      <c r="GHO9"/>
      <c r="GHQ9"/>
      <c r="GHS9"/>
      <c r="GHU9"/>
      <c r="GHW9"/>
      <c r="GHY9"/>
      <c r="GIA9"/>
      <c r="GIC9"/>
      <c r="GIE9"/>
      <c r="GIG9"/>
      <c r="GII9"/>
      <c r="GIK9"/>
      <c r="GIM9"/>
      <c r="GIO9"/>
      <c r="GIQ9"/>
      <c r="GIS9"/>
      <c r="GIU9"/>
      <c r="GIW9"/>
      <c r="GIY9"/>
      <c r="GJA9"/>
      <c r="GJC9"/>
      <c r="GJE9"/>
      <c r="GJG9"/>
      <c r="GJI9"/>
      <c r="GJK9"/>
      <c r="GJM9"/>
      <c r="GJO9"/>
      <c r="GJQ9"/>
      <c r="GJS9"/>
      <c r="GJU9"/>
      <c r="GJW9"/>
      <c r="GJY9"/>
      <c r="GKA9"/>
      <c r="GKC9"/>
      <c r="GKE9"/>
      <c r="GKG9"/>
      <c r="GKI9"/>
      <c r="GKK9"/>
      <c r="GKM9"/>
      <c r="GKO9"/>
      <c r="GKQ9"/>
      <c r="GKS9"/>
      <c r="GKU9"/>
      <c r="GKW9"/>
      <c r="GKY9"/>
      <c r="GLA9"/>
      <c r="GLC9"/>
      <c r="GLE9"/>
      <c r="GLG9"/>
      <c r="GLI9"/>
      <c r="GLK9"/>
      <c r="GLM9"/>
      <c r="GLO9"/>
      <c r="GLQ9"/>
      <c r="GLS9"/>
      <c r="GLU9"/>
      <c r="GLW9"/>
      <c r="GLY9"/>
      <c r="GMA9"/>
      <c r="GMC9"/>
      <c r="GME9"/>
      <c r="GMG9"/>
      <c r="GMI9"/>
      <c r="GMK9"/>
      <c r="GMM9"/>
      <c r="GMO9"/>
      <c r="GMQ9"/>
      <c r="GMS9"/>
      <c r="GMU9"/>
      <c r="GMW9"/>
      <c r="GMY9"/>
      <c r="GNA9"/>
      <c r="GNC9"/>
      <c r="GNE9"/>
      <c r="GNG9"/>
      <c r="GNI9"/>
      <c r="GNK9"/>
      <c r="GNM9"/>
      <c r="GNO9"/>
      <c r="GNQ9"/>
      <c r="GNS9"/>
      <c r="GNU9"/>
      <c r="GNW9"/>
      <c r="GNY9"/>
      <c r="GOA9"/>
      <c r="GOC9"/>
      <c r="GOE9"/>
      <c r="GOG9"/>
      <c r="GOI9"/>
      <c r="GOK9"/>
      <c r="GOM9"/>
      <c r="GOO9"/>
      <c r="GOQ9"/>
      <c r="GOS9"/>
      <c r="GOU9"/>
      <c r="GOW9"/>
      <c r="GOY9"/>
      <c r="GPA9"/>
      <c r="GPC9"/>
      <c r="GPE9"/>
      <c r="GPG9"/>
      <c r="GPI9"/>
      <c r="GPK9"/>
      <c r="GPM9"/>
      <c r="GPO9"/>
      <c r="GPQ9"/>
      <c r="GPS9"/>
      <c r="GPU9"/>
      <c r="GPW9"/>
      <c r="GPY9"/>
      <c r="GQA9"/>
      <c r="GQC9"/>
      <c r="GQE9"/>
      <c r="GQG9"/>
      <c r="GQI9"/>
      <c r="GQK9"/>
      <c r="GQM9"/>
      <c r="GQO9"/>
      <c r="GQQ9"/>
      <c r="GQS9"/>
      <c r="GQU9"/>
      <c r="GQW9"/>
      <c r="GQY9"/>
      <c r="GRA9"/>
      <c r="GRC9"/>
      <c r="GRE9"/>
      <c r="GRG9"/>
      <c r="GRI9"/>
      <c r="GRK9"/>
      <c r="GRM9"/>
      <c r="GRO9"/>
      <c r="GRQ9"/>
      <c r="GRS9"/>
      <c r="GRU9"/>
      <c r="GRW9"/>
      <c r="GRY9"/>
      <c r="GSA9"/>
      <c r="GSC9"/>
      <c r="GSE9"/>
      <c r="GSG9"/>
      <c r="GSI9"/>
      <c r="GSK9"/>
      <c r="GSM9"/>
      <c r="GSO9"/>
      <c r="GSQ9"/>
      <c r="GSS9"/>
      <c r="GSU9"/>
      <c r="GSW9"/>
      <c r="GSY9"/>
      <c r="GTA9"/>
      <c r="GTC9"/>
      <c r="GTE9"/>
      <c r="GTG9"/>
      <c r="GTI9"/>
      <c r="GTK9"/>
      <c r="GTM9"/>
      <c r="GTO9"/>
      <c r="GTQ9"/>
      <c r="GTS9"/>
      <c r="GTU9"/>
      <c r="GTW9"/>
      <c r="GTY9"/>
      <c r="GUA9"/>
      <c r="GUC9"/>
      <c r="GUE9"/>
      <c r="GUG9"/>
      <c r="GUI9"/>
      <c r="GUK9"/>
      <c r="GUM9"/>
      <c r="GUO9"/>
      <c r="GUQ9"/>
      <c r="GUS9"/>
      <c r="GUU9"/>
      <c r="GUW9"/>
      <c r="GUY9"/>
      <c r="GVA9"/>
      <c r="GVC9"/>
      <c r="GVE9"/>
      <c r="GVG9"/>
      <c r="GVI9"/>
      <c r="GVK9"/>
      <c r="GVM9"/>
      <c r="GVO9"/>
      <c r="GVQ9"/>
      <c r="GVS9"/>
      <c r="GVU9"/>
      <c r="GVW9"/>
      <c r="GVY9"/>
      <c r="GWA9"/>
      <c r="GWC9"/>
      <c r="GWE9"/>
      <c r="GWG9"/>
      <c r="GWI9"/>
      <c r="GWK9"/>
      <c r="GWM9"/>
      <c r="GWO9"/>
      <c r="GWQ9"/>
      <c r="GWS9"/>
      <c r="GWU9"/>
      <c r="GWW9"/>
      <c r="GWY9"/>
      <c r="GXA9"/>
      <c r="GXC9"/>
      <c r="GXE9"/>
      <c r="GXG9"/>
      <c r="GXI9"/>
      <c r="GXK9"/>
      <c r="GXM9"/>
      <c r="GXO9"/>
      <c r="GXQ9"/>
      <c r="GXS9"/>
      <c r="GXU9"/>
      <c r="GXW9"/>
      <c r="GXY9"/>
      <c r="GYA9"/>
      <c r="GYC9"/>
      <c r="GYE9"/>
      <c r="GYG9"/>
      <c r="GYI9"/>
      <c r="GYK9"/>
      <c r="GYM9"/>
      <c r="GYO9"/>
      <c r="GYQ9"/>
      <c r="GYS9"/>
      <c r="GYU9"/>
      <c r="GYW9"/>
      <c r="GYY9"/>
      <c r="GZA9"/>
      <c r="GZC9"/>
      <c r="GZE9"/>
      <c r="GZG9"/>
      <c r="GZI9"/>
      <c r="GZK9"/>
      <c r="GZM9"/>
      <c r="GZO9"/>
      <c r="GZQ9"/>
      <c r="GZS9"/>
      <c r="GZU9"/>
      <c r="GZW9"/>
      <c r="GZY9"/>
      <c r="HAA9"/>
      <c r="HAC9"/>
      <c r="HAE9"/>
      <c r="HAG9"/>
      <c r="HAI9"/>
      <c r="HAK9"/>
      <c r="HAM9"/>
      <c r="HAO9"/>
      <c r="HAQ9"/>
      <c r="HAS9"/>
      <c r="HAU9"/>
      <c r="HAW9"/>
      <c r="HAY9"/>
      <c r="HBA9"/>
      <c r="HBC9"/>
      <c r="HBE9"/>
      <c r="HBG9"/>
      <c r="HBI9"/>
      <c r="HBK9"/>
      <c r="HBM9"/>
      <c r="HBO9"/>
      <c r="HBQ9"/>
      <c r="HBS9"/>
      <c r="HBU9"/>
      <c r="HBW9"/>
      <c r="HBY9"/>
      <c r="HCA9"/>
      <c r="HCC9"/>
      <c r="HCE9"/>
      <c r="HCG9"/>
      <c r="HCI9"/>
      <c r="HCK9"/>
      <c r="HCM9"/>
      <c r="HCO9"/>
      <c r="HCQ9"/>
      <c r="HCS9"/>
      <c r="HCU9"/>
      <c r="HCW9"/>
      <c r="HCY9"/>
      <c r="HDA9"/>
      <c r="HDC9"/>
      <c r="HDE9"/>
      <c r="HDG9"/>
      <c r="HDI9"/>
      <c r="HDK9"/>
      <c r="HDM9"/>
      <c r="HDO9"/>
      <c r="HDQ9"/>
      <c r="HDS9"/>
      <c r="HDU9"/>
      <c r="HDW9"/>
      <c r="HDY9"/>
      <c r="HEA9"/>
      <c r="HEC9"/>
      <c r="HEE9"/>
      <c r="HEG9"/>
      <c r="HEI9"/>
      <c r="HEK9"/>
      <c r="HEM9"/>
      <c r="HEO9"/>
      <c r="HEQ9"/>
      <c r="HES9"/>
      <c r="HEU9"/>
      <c r="HEW9"/>
      <c r="HEY9"/>
      <c r="HFA9"/>
      <c r="HFC9"/>
      <c r="HFE9"/>
      <c r="HFG9"/>
      <c r="HFI9"/>
      <c r="HFK9"/>
      <c r="HFM9"/>
      <c r="HFO9"/>
      <c r="HFQ9"/>
      <c r="HFS9"/>
      <c r="HFU9"/>
      <c r="HFW9"/>
      <c r="HFY9"/>
      <c r="HGA9"/>
      <c r="HGC9"/>
      <c r="HGE9"/>
      <c r="HGG9"/>
      <c r="HGI9"/>
      <c r="HGK9"/>
      <c r="HGM9"/>
      <c r="HGO9"/>
      <c r="HGQ9"/>
      <c r="HGS9"/>
      <c r="HGU9"/>
      <c r="HGW9"/>
      <c r="HGY9"/>
      <c r="HHA9"/>
      <c r="HHC9"/>
      <c r="HHE9"/>
      <c r="HHG9"/>
      <c r="HHI9"/>
      <c r="HHK9"/>
      <c r="HHM9"/>
      <c r="HHO9"/>
      <c r="HHQ9"/>
      <c r="HHS9"/>
      <c r="HHU9"/>
      <c r="HHW9"/>
      <c r="HHY9"/>
      <c r="HIA9"/>
      <c r="HIC9"/>
      <c r="HIE9"/>
      <c r="HIG9"/>
      <c r="HII9"/>
      <c r="HIK9"/>
      <c r="HIM9"/>
      <c r="HIO9"/>
      <c r="HIQ9"/>
      <c r="HIS9"/>
      <c r="HIU9"/>
      <c r="HIW9"/>
      <c r="HIY9"/>
      <c r="HJA9"/>
      <c r="HJC9"/>
      <c r="HJE9"/>
      <c r="HJG9"/>
      <c r="HJI9"/>
      <c r="HJK9"/>
      <c r="HJM9"/>
      <c r="HJO9"/>
      <c r="HJQ9"/>
      <c r="HJS9"/>
      <c r="HJU9"/>
      <c r="HJW9"/>
      <c r="HJY9"/>
      <c r="HKA9"/>
      <c r="HKC9"/>
      <c r="HKE9"/>
      <c r="HKG9"/>
      <c r="HKI9"/>
      <c r="HKK9"/>
      <c r="HKM9"/>
      <c r="HKO9"/>
      <c r="HKQ9"/>
      <c r="HKS9"/>
      <c r="HKU9"/>
      <c r="HKW9"/>
      <c r="HKY9"/>
      <c r="HLA9"/>
      <c r="HLC9"/>
      <c r="HLE9"/>
      <c r="HLG9"/>
      <c r="HLI9"/>
      <c r="HLK9"/>
      <c r="HLM9"/>
      <c r="HLO9"/>
      <c r="HLQ9"/>
      <c r="HLS9"/>
      <c r="HLU9"/>
      <c r="HLW9"/>
      <c r="HLY9"/>
      <c r="HMA9"/>
      <c r="HMC9"/>
      <c r="HME9"/>
      <c r="HMG9"/>
      <c r="HMI9"/>
      <c r="HMK9"/>
      <c r="HMM9"/>
      <c r="HMO9"/>
      <c r="HMQ9"/>
      <c r="HMS9"/>
      <c r="HMU9"/>
      <c r="HMW9"/>
      <c r="HMY9"/>
      <c r="HNA9"/>
      <c r="HNC9"/>
      <c r="HNE9"/>
      <c r="HNG9"/>
      <c r="HNI9"/>
      <c r="HNK9"/>
      <c r="HNM9"/>
      <c r="HNO9"/>
      <c r="HNQ9"/>
      <c r="HNS9"/>
      <c r="HNU9"/>
      <c r="HNW9"/>
      <c r="HNY9"/>
      <c r="HOA9"/>
      <c r="HOC9"/>
      <c r="HOE9"/>
      <c r="HOG9"/>
      <c r="HOI9"/>
      <c r="HOK9"/>
      <c r="HOM9"/>
      <c r="HOO9"/>
      <c r="HOQ9"/>
      <c r="HOS9"/>
      <c r="HOU9"/>
      <c r="HOW9"/>
      <c r="HOY9"/>
      <c r="HPA9"/>
      <c r="HPC9"/>
      <c r="HPE9"/>
      <c r="HPG9"/>
      <c r="HPI9"/>
      <c r="HPK9"/>
      <c r="HPM9"/>
      <c r="HPO9"/>
      <c r="HPQ9"/>
      <c r="HPS9"/>
      <c r="HPU9"/>
      <c r="HPW9"/>
      <c r="HPY9"/>
      <c r="HQA9"/>
      <c r="HQC9"/>
      <c r="HQE9"/>
      <c r="HQG9"/>
      <c r="HQI9"/>
      <c r="HQK9"/>
      <c r="HQM9"/>
      <c r="HQO9"/>
      <c r="HQQ9"/>
      <c r="HQS9"/>
      <c r="HQU9"/>
      <c r="HQW9"/>
      <c r="HQY9"/>
      <c r="HRA9"/>
      <c r="HRC9"/>
      <c r="HRE9"/>
      <c r="HRG9"/>
      <c r="HRI9"/>
      <c r="HRK9"/>
      <c r="HRM9"/>
      <c r="HRO9"/>
      <c r="HRQ9"/>
      <c r="HRS9"/>
      <c r="HRU9"/>
      <c r="HRW9"/>
      <c r="HRY9"/>
      <c r="HSA9"/>
      <c r="HSC9"/>
      <c r="HSE9"/>
      <c r="HSG9"/>
      <c r="HSI9"/>
      <c r="HSK9"/>
      <c r="HSM9"/>
      <c r="HSO9"/>
      <c r="HSQ9"/>
      <c r="HSS9"/>
      <c r="HSU9"/>
      <c r="HSW9"/>
      <c r="HSY9"/>
      <c r="HTA9"/>
      <c r="HTC9"/>
      <c r="HTE9"/>
      <c r="HTG9"/>
      <c r="HTI9"/>
      <c r="HTK9"/>
      <c r="HTM9"/>
      <c r="HTO9"/>
      <c r="HTQ9"/>
      <c r="HTS9"/>
      <c r="HTU9"/>
      <c r="HTW9"/>
      <c r="HTY9"/>
      <c r="HUA9"/>
      <c r="HUC9"/>
      <c r="HUE9"/>
      <c r="HUG9"/>
      <c r="HUI9"/>
      <c r="HUK9"/>
      <c r="HUM9"/>
      <c r="HUO9"/>
      <c r="HUQ9"/>
      <c r="HUS9"/>
      <c r="HUU9"/>
      <c r="HUW9"/>
      <c r="HUY9"/>
      <c r="HVA9"/>
      <c r="HVC9"/>
      <c r="HVE9"/>
      <c r="HVG9"/>
      <c r="HVI9"/>
      <c r="HVK9"/>
      <c r="HVM9"/>
      <c r="HVO9"/>
      <c r="HVQ9"/>
      <c r="HVS9"/>
      <c r="HVU9"/>
      <c r="HVW9"/>
      <c r="HVY9"/>
      <c r="HWA9"/>
      <c r="HWC9"/>
      <c r="HWE9"/>
      <c r="HWG9"/>
      <c r="HWI9"/>
      <c r="HWK9"/>
      <c r="HWM9"/>
      <c r="HWO9"/>
      <c r="HWQ9"/>
      <c r="HWS9"/>
      <c r="HWU9"/>
      <c r="HWW9"/>
      <c r="HWY9"/>
      <c r="HXA9"/>
      <c r="HXC9"/>
      <c r="HXE9"/>
      <c r="HXG9"/>
      <c r="HXI9"/>
      <c r="HXK9"/>
      <c r="HXM9"/>
      <c r="HXO9"/>
      <c r="HXQ9"/>
      <c r="HXS9"/>
      <c r="HXU9"/>
      <c r="HXW9"/>
      <c r="HXY9"/>
      <c r="HYA9"/>
      <c r="HYC9"/>
      <c r="HYE9"/>
      <c r="HYG9"/>
      <c r="HYI9"/>
      <c r="HYK9"/>
      <c r="HYM9"/>
      <c r="HYO9"/>
      <c r="HYQ9"/>
      <c r="HYS9"/>
      <c r="HYU9"/>
      <c r="HYW9"/>
      <c r="HYY9"/>
      <c r="HZA9"/>
      <c r="HZC9"/>
      <c r="HZE9"/>
      <c r="HZG9"/>
      <c r="HZI9"/>
      <c r="HZK9"/>
      <c r="HZM9"/>
      <c r="HZO9"/>
      <c r="HZQ9"/>
      <c r="HZS9"/>
      <c r="HZU9"/>
      <c r="HZW9"/>
      <c r="HZY9"/>
      <c r="IAA9"/>
      <c r="IAC9"/>
      <c r="IAE9"/>
      <c r="IAG9"/>
      <c r="IAI9"/>
      <c r="IAK9"/>
      <c r="IAM9"/>
      <c r="IAO9"/>
      <c r="IAQ9"/>
      <c r="IAS9"/>
      <c r="IAU9"/>
      <c r="IAW9"/>
      <c r="IAY9"/>
      <c r="IBA9"/>
      <c r="IBC9"/>
      <c r="IBE9"/>
      <c r="IBG9"/>
      <c r="IBI9"/>
      <c r="IBK9"/>
      <c r="IBM9"/>
      <c r="IBO9"/>
      <c r="IBQ9"/>
      <c r="IBS9"/>
      <c r="IBU9"/>
      <c r="IBW9"/>
      <c r="IBY9"/>
      <c r="ICA9"/>
      <c r="ICC9"/>
      <c r="ICE9"/>
      <c r="ICG9"/>
      <c r="ICI9"/>
      <c r="ICK9"/>
      <c r="ICM9"/>
      <c r="ICO9"/>
      <c r="ICQ9"/>
      <c r="ICS9"/>
      <c r="ICU9"/>
      <c r="ICW9"/>
      <c r="ICY9"/>
      <c r="IDA9"/>
      <c r="IDC9"/>
      <c r="IDE9"/>
      <c r="IDG9"/>
      <c r="IDI9"/>
      <c r="IDK9"/>
      <c r="IDM9"/>
      <c r="IDO9"/>
      <c r="IDQ9"/>
      <c r="IDS9"/>
      <c r="IDU9"/>
      <c r="IDW9"/>
      <c r="IDY9"/>
      <c r="IEA9"/>
      <c r="IEC9"/>
      <c r="IEE9"/>
      <c r="IEG9"/>
      <c r="IEI9"/>
      <c r="IEK9"/>
      <c r="IEM9"/>
      <c r="IEO9"/>
      <c r="IEQ9"/>
      <c r="IES9"/>
      <c r="IEU9"/>
      <c r="IEW9"/>
      <c r="IEY9"/>
      <c r="IFA9"/>
      <c r="IFC9"/>
      <c r="IFE9"/>
      <c r="IFG9"/>
      <c r="IFI9"/>
      <c r="IFK9"/>
      <c r="IFM9"/>
      <c r="IFO9"/>
      <c r="IFQ9"/>
      <c r="IFS9"/>
      <c r="IFU9"/>
      <c r="IFW9"/>
      <c r="IFY9"/>
      <c r="IGA9"/>
      <c r="IGC9"/>
      <c r="IGE9"/>
      <c r="IGG9"/>
      <c r="IGI9"/>
      <c r="IGK9"/>
      <c r="IGM9"/>
      <c r="IGO9"/>
      <c r="IGQ9"/>
      <c r="IGS9"/>
      <c r="IGU9"/>
      <c r="IGW9"/>
      <c r="IGY9"/>
      <c r="IHA9"/>
      <c r="IHC9"/>
      <c r="IHE9"/>
      <c r="IHG9"/>
      <c r="IHI9"/>
      <c r="IHK9"/>
      <c r="IHM9"/>
      <c r="IHO9"/>
      <c r="IHQ9"/>
      <c r="IHS9"/>
      <c r="IHU9"/>
      <c r="IHW9"/>
      <c r="IHY9"/>
      <c r="IIA9"/>
      <c r="IIC9"/>
      <c r="IIE9"/>
      <c r="IIG9"/>
      <c r="III9"/>
      <c r="IIK9"/>
      <c r="IIM9"/>
      <c r="IIO9"/>
      <c r="IIQ9"/>
      <c r="IIS9"/>
      <c r="IIU9"/>
      <c r="IIW9"/>
      <c r="IIY9"/>
      <c r="IJA9"/>
      <c r="IJC9"/>
      <c r="IJE9"/>
      <c r="IJG9"/>
      <c r="IJI9"/>
      <c r="IJK9"/>
      <c r="IJM9"/>
      <c r="IJO9"/>
      <c r="IJQ9"/>
      <c r="IJS9"/>
      <c r="IJU9"/>
      <c r="IJW9"/>
      <c r="IJY9"/>
      <c r="IKA9"/>
      <c r="IKC9"/>
      <c r="IKE9"/>
      <c r="IKG9"/>
      <c r="IKI9"/>
      <c r="IKK9"/>
      <c r="IKM9"/>
      <c r="IKO9"/>
      <c r="IKQ9"/>
      <c r="IKS9"/>
      <c r="IKU9"/>
      <c r="IKW9"/>
      <c r="IKY9"/>
      <c r="ILA9"/>
      <c r="ILC9"/>
      <c r="ILE9"/>
      <c r="ILG9"/>
      <c r="ILI9"/>
      <c r="ILK9"/>
      <c r="ILM9"/>
      <c r="ILO9"/>
      <c r="ILQ9"/>
      <c r="ILS9"/>
      <c r="ILU9"/>
      <c r="ILW9"/>
      <c r="ILY9"/>
      <c r="IMA9"/>
      <c r="IMC9"/>
      <c r="IME9"/>
      <c r="IMG9"/>
      <c r="IMI9"/>
      <c r="IMK9"/>
      <c r="IMM9"/>
      <c r="IMO9"/>
      <c r="IMQ9"/>
      <c r="IMS9"/>
      <c r="IMU9"/>
      <c r="IMW9"/>
      <c r="IMY9"/>
      <c r="INA9"/>
      <c r="INC9"/>
      <c r="INE9"/>
      <c r="ING9"/>
      <c r="INI9"/>
      <c r="INK9"/>
      <c r="INM9"/>
      <c r="INO9"/>
      <c r="INQ9"/>
      <c r="INS9"/>
      <c r="INU9"/>
      <c r="INW9"/>
      <c r="INY9"/>
      <c r="IOA9"/>
      <c r="IOC9"/>
      <c r="IOE9"/>
      <c r="IOG9"/>
      <c r="IOI9"/>
      <c r="IOK9"/>
      <c r="IOM9"/>
      <c r="IOO9"/>
      <c r="IOQ9"/>
      <c r="IOS9"/>
      <c r="IOU9"/>
      <c r="IOW9"/>
      <c r="IOY9"/>
      <c r="IPA9"/>
      <c r="IPC9"/>
      <c r="IPE9"/>
      <c r="IPG9"/>
      <c r="IPI9"/>
      <c r="IPK9"/>
      <c r="IPM9"/>
      <c r="IPO9"/>
      <c r="IPQ9"/>
      <c r="IPS9"/>
      <c r="IPU9"/>
      <c r="IPW9"/>
      <c r="IPY9"/>
      <c r="IQA9"/>
      <c r="IQC9"/>
      <c r="IQE9"/>
      <c r="IQG9"/>
      <c r="IQI9"/>
      <c r="IQK9"/>
      <c r="IQM9"/>
      <c r="IQO9"/>
      <c r="IQQ9"/>
      <c r="IQS9"/>
      <c r="IQU9"/>
      <c r="IQW9"/>
      <c r="IQY9"/>
      <c r="IRA9"/>
      <c r="IRC9"/>
      <c r="IRE9"/>
      <c r="IRG9"/>
      <c r="IRI9"/>
      <c r="IRK9"/>
      <c r="IRM9"/>
      <c r="IRO9"/>
      <c r="IRQ9"/>
      <c r="IRS9"/>
      <c r="IRU9"/>
      <c r="IRW9"/>
      <c r="IRY9"/>
      <c r="ISA9"/>
      <c r="ISC9"/>
      <c r="ISE9"/>
      <c r="ISG9"/>
      <c r="ISI9"/>
      <c r="ISK9"/>
      <c r="ISM9"/>
      <c r="ISO9"/>
      <c r="ISQ9"/>
      <c r="ISS9"/>
      <c r="ISU9"/>
      <c r="ISW9"/>
      <c r="ISY9"/>
      <c r="ITA9"/>
      <c r="ITC9"/>
      <c r="ITE9"/>
      <c r="ITG9"/>
      <c r="ITI9"/>
      <c r="ITK9"/>
      <c r="ITM9"/>
      <c r="ITO9"/>
      <c r="ITQ9"/>
      <c r="ITS9"/>
      <c r="ITU9"/>
      <c r="ITW9"/>
      <c r="ITY9"/>
      <c r="IUA9"/>
      <c r="IUC9"/>
      <c r="IUE9"/>
      <c r="IUG9"/>
      <c r="IUI9"/>
      <c r="IUK9"/>
      <c r="IUM9"/>
      <c r="IUO9"/>
      <c r="IUQ9"/>
      <c r="IUS9"/>
      <c r="IUU9"/>
      <c r="IUW9"/>
      <c r="IUY9"/>
      <c r="IVA9"/>
      <c r="IVC9"/>
      <c r="IVE9"/>
      <c r="IVG9"/>
      <c r="IVI9"/>
      <c r="IVK9"/>
      <c r="IVM9"/>
      <c r="IVO9"/>
      <c r="IVQ9"/>
      <c r="IVS9"/>
      <c r="IVU9"/>
      <c r="IVW9"/>
      <c r="IVY9"/>
      <c r="IWA9"/>
      <c r="IWC9"/>
      <c r="IWE9"/>
      <c r="IWG9"/>
      <c r="IWI9"/>
      <c r="IWK9"/>
      <c r="IWM9"/>
      <c r="IWO9"/>
      <c r="IWQ9"/>
      <c r="IWS9"/>
      <c r="IWU9"/>
      <c r="IWW9"/>
      <c r="IWY9"/>
      <c r="IXA9"/>
      <c r="IXC9"/>
      <c r="IXE9"/>
      <c r="IXG9"/>
      <c r="IXI9"/>
      <c r="IXK9"/>
      <c r="IXM9"/>
      <c r="IXO9"/>
      <c r="IXQ9"/>
      <c r="IXS9"/>
      <c r="IXU9"/>
      <c r="IXW9"/>
      <c r="IXY9"/>
      <c r="IYA9"/>
      <c r="IYC9"/>
      <c r="IYE9"/>
      <c r="IYG9"/>
      <c r="IYI9"/>
      <c r="IYK9"/>
      <c r="IYM9"/>
      <c r="IYO9"/>
      <c r="IYQ9"/>
      <c r="IYS9"/>
      <c r="IYU9"/>
      <c r="IYW9"/>
      <c r="IYY9"/>
      <c r="IZA9"/>
      <c r="IZC9"/>
      <c r="IZE9"/>
      <c r="IZG9"/>
      <c r="IZI9"/>
      <c r="IZK9"/>
      <c r="IZM9"/>
      <c r="IZO9"/>
      <c r="IZQ9"/>
      <c r="IZS9"/>
      <c r="IZU9"/>
      <c r="IZW9"/>
      <c r="IZY9"/>
      <c r="JAA9"/>
      <c r="JAC9"/>
      <c r="JAE9"/>
      <c r="JAG9"/>
      <c r="JAI9"/>
      <c r="JAK9"/>
      <c r="JAM9"/>
      <c r="JAO9"/>
      <c r="JAQ9"/>
      <c r="JAS9"/>
      <c r="JAU9"/>
      <c r="JAW9"/>
      <c r="JAY9"/>
      <c r="JBA9"/>
      <c r="JBC9"/>
      <c r="JBE9"/>
      <c r="JBG9"/>
      <c r="JBI9"/>
      <c r="JBK9"/>
      <c r="JBM9"/>
      <c r="JBO9"/>
      <c r="JBQ9"/>
      <c r="JBS9"/>
      <c r="JBU9"/>
      <c r="JBW9"/>
      <c r="JBY9"/>
      <c r="JCA9"/>
      <c r="JCC9"/>
      <c r="JCE9"/>
      <c r="JCG9"/>
      <c r="JCI9"/>
      <c r="JCK9"/>
      <c r="JCM9"/>
      <c r="JCO9"/>
      <c r="JCQ9"/>
      <c r="JCS9"/>
      <c r="JCU9"/>
      <c r="JCW9"/>
      <c r="JCY9"/>
      <c r="JDA9"/>
      <c r="JDC9"/>
      <c r="JDE9"/>
      <c r="JDG9"/>
      <c r="JDI9"/>
      <c r="JDK9"/>
      <c r="JDM9"/>
      <c r="JDO9"/>
      <c r="JDQ9"/>
      <c r="JDS9"/>
      <c r="JDU9"/>
      <c r="JDW9"/>
      <c r="JDY9"/>
      <c r="JEA9"/>
      <c r="JEC9"/>
      <c r="JEE9"/>
      <c r="JEG9"/>
      <c r="JEI9"/>
      <c r="JEK9"/>
      <c r="JEM9"/>
      <c r="JEO9"/>
      <c r="JEQ9"/>
      <c r="JES9"/>
      <c r="JEU9"/>
      <c r="JEW9"/>
      <c r="JEY9"/>
      <c r="JFA9"/>
      <c r="JFC9"/>
      <c r="JFE9"/>
      <c r="JFG9"/>
      <c r="JFI9"/>
      <c r="JFK9"/>
      <c r="JFM9"/>
      <c r="JFO9"/>
      <c r="JFQ9"/>
      <c r="JFS9"/>
      <c r="JFU9"/>
      <c r="JFW9"/>
      <c r="JFY9"/>
      <c r="JGA9"/>
      <c r="JGC9"/>
      <c r="JGE9"/>
      <c r="JGG9"/>
      <c r="JGI9"/>
      <c r="JGK9"/>
      <c r="JGM9"/>
      <c r="JGO9"/>
      <c r="JGQ9"/>
      <c r="JGS9"/>
      <c r="JGU9"/>
      <c r="JGW9"/>
      <c r="JGY9"/>
      <c r="JHA9"/>
      <c r="JHC9"/>
      <c r="JHE9"/>
      <c r="JHG9"/>
      <c r="JHI9"/>
      <c r="JHK9"/>
      <c r="JHM9"/>
      <c r="JHO9"/>
      <c r="JHQ9"/>
      <c r="JHS9"/>
      <c r="JHU9"/>
      <c r="JHW9"/>
      <c r="JHY9"/>
      <c r="JIA9"/>
      <c r="JIC9"/>
      <c r="JIE9"/>
      <c r="JIG9"/>
      <c r="JII9"/>
      <c r="JIK9"/>
      <c r="JIM9"/>
      <c r="JIO9"/>
      <c r="JIQ9"/>
      <c r="JIS9"/>
      <c r="JIU9"/>
      <c r="JIW9"/>
      <c r="JIY9"/>
      <c r="JJA9"/>
      <c r="JJC9"/>
      <c r="JJE9"/>
      <c r="JJG9"/>
      <c r="JJI9"/>
      <c r="JJK9"/>
      <c r="JJM9"/>
      <c r="JJO9"/>
      <c r="JJQ9"/>
      <c r="JJS9"/>
      <c r="JJU9"/>
      <c r="JJW9"/>
      <c r="JJY9"/>
      <c r="JKA9"/>
      <c r="JKC9"/>
      <c r="JKE9"/>
      <c r="JKG9"/>
      <c r="JKI9"/>
      <c r="JKK9"/>
      <c r="JKM9"/>
      <c r="JKO9"/>
      <c r="JKQ9"/>
      <c r="JKS9"/>
      <c r="JKU9"/>
      <c r="JKW9"/>
      <c r="JKY9"/>
      <c r="JLA9"/>
      <c r="JLC9"/>
      <c r="JLE9"/>
      <c r="JLG9"/>
      <c r="JLI9"/>
      <c r="JLK9"/>
      <c r="JLM9"/>
      <c r="JLO9"/>
      <c r="JLQ9"/>
      <c r="JLS9"/>
      <c r="JLU9"/>
      <c r="JLW9"/>
      <c r="JLY9"/>
      <c r="JMA9"/>
      <c r="JMC9"/>
      <c r="JME9"/>
      <c r="JMG9"/>
      <c r="JMI9"/>
      <c r="JMK9"/>
      <c r="JMM9"/>
      <c r="JMO9"/>
      <c r="JMQ9"/>
      <c r="JMS9"/>
      <c r="JMU9"/>
      <c r="JMW9"/>
      <c r="JMY9"/>
      <c r="JNA9"/>
      <c r="JNC9"/>
      <c r="JNE9"/>
      <c r="JNG9"/>
      <c r="JNI9"/>
      <c r="JNK9"/>
      <c r="JNM9"/>
      <c r="JNO9"/>
      <c r="JNQ9"/>
      <c r="JNS9"/>
      <c r="JNU9"/>
      <c r="JNW9"/>
      <c r="JNY9"/>
      <c r="JOA9"/>
      <c r="JOC9"/>
      <c r="JOE9"/>
      <c r="JOG9"/>
      <c r="JOI9"/>
      <c r="JOK9"/>
      <c r="JOM9"/>
      <c r="JOO9"/>
      <c r="JOQ9"/>
      <c r="JOS9"/>
      <c r="JOU9"/>
      <c r="JOW9"/>
      <c r="JOY9"/>
      <c r="JPA9"/>
      <c r="JPC9"/>
      <c r="JPE9"/>
      <c r="JPG9"/>
      <c r="JPI9"/>
      <c r="JPK9"/>
      <c r="JPM9"/>
      <c r="JPO9"/>
      <c r="JPQ9"/>
      <c r="JPS9"/>
      <c r="JPU9"/>
      <c r="JPW9"/>
      <c r="JPY9"/>
      <c r="JQA9"/>
      <c r="JQC9"/>
      <c r="JQE9"/>
      <c r="JQG9"/>
      <c r="JQI9"/>
      <c r="JQK9"/>
      <c r="JQM9"/>
      <c r="JQO9"/>
      <c r="JQQ9"/>
      <c r="JQS9"/>
      <c r="JQU9"/>
      <c r="JQW9"/>
      <c r="JQY9"/>
      <c r="JRA9"/>
      <c r="JRC9"/>
      <c r="JRE9"/>
      <c r="JRG9"/>
      <c r="JRI9"/>
      <c r="JRK9"/>
      <c r="JRM9"/>
      <c r="JRO9"/>
      <c r="JRQ9"/>
      <c r="JRS9"/>
      <c r="JRU9"/>
      <c r="JRW9"/>
      <c r="JRY9"/>
      <c r="JSA9"/>
      <c r="JSC9"/>
      <c r="JSE9"/>
      <c r="JSG9"/>
      <c r="JSI9"/>
      <c r="JSK9"/>
      <c r="JSM9"/>
      <c r="JSO9"/>
      <c r="JSQ9"/>
      <c r="JSS9"/>
      <c r="JSU9"/>
      <c r="JSW9"/>
      <c r="JSY9"/>
      <c r="JTA9"/>
      <c r="JTC9"/>
      <c r="JTE9"/>
      <c r="JTG9"/>
      <c r="JTI9"/>
      <c r="JTK9"/>
      <c r="JTM9"/>
      <c r="JTO9"/>
      <c r="JTQ9"/>
      <c r="JTS9"/>
      <c r="JTU9"/>
      <c r="JTW9"/>
      <c r="JTY9"/>
      <c r="JUA9"/>
      <c r="JUC9"/>
      <c r="JUE9"/>
      <c r="JUG9"/>
      <c r="JUI9"/>
      <c r="JUK9"/>
      <c r="JUM9"/>
      <c r="JUO9"/>
      <c r="JUQ9"/>
      <c r="JUS9"/>
      <c r="JUU9"/>
      <c r="JUW9"/>
      <c r="JUY9"/>
      <c r="JVA9"/>
      <c r="JVC9"/>
      <c r="JVE9"/>
      <c r="JVG9"/>
      <c r="JVI9"/>
      <c r="JVK9"/>
      <c r="JVM9"/>
      <c r="JVO9"/>
      <c r="JVQ9"/>
      <c r="JVS9"/>
      <c r="JVU9"/>
      <c r="JVW9"/>
      <c r="JVY9"/>
      <c r="JWA9"/>
      <c r="JWC9"/>
      <c r="JWE9"/>
      <c r="JWG9"/>
      <c r="JWI9"/>
      <c r="JWK9"/>
      <c r="JWM9"/>
      <c r="JWO9"/>
      <c r="JWQ9"/>
      <c r="JWS9"/>
      <c r="JWU9"/>
      <c r="JWW9"/>
      <c r="JWY9"/>
      <c r="JXA9"/>
      <c r="JXC9"/>
      <c r="JXE9"/>
      <c r="JXG9"/>
      <c r="JXI9"/>
      <c r="JXK9"/>
      <c r="JXM9"/>
      <c r="JXO9"/>
      <c r="JXQ9"/>
      <c r="JXS9"/>
      <c r="JXU9"/>
      <c r="JXW9"/>
      <c r="JXY9"/>
      <c r="JYA9"/>
      <c r="JYC9"/>
      <c r="JYE9"/>
      <c r="JYG9"/>
      <c r="JYI9"/>
      <c r="JYK9"/>
      <c r="JYM9"/>
      <c r="JYO9"/>
      <c r="JYQ9"/>
      <c r="JYS9"/>
      <c r="JYU9"/>
      <c r="JYW9"/>
      <c r="JYY9"/>
      <c r="JZA9"/>
      <c r="JZC9"/>
      <c r="JZE9"/>
      <c r="JZG9"/>
      <c r="JZI9"/>
      <c r="JZK9"/>
      <c r="JZM9"/>
      <c r="JZO9"/>
      <c r="JZQ9"/>
      <c r="JZS9"/>
      <c r="JZU9"/>
      <c r="JZW9"/>
      <c r="JZY9"/>
      <c r="KAA9"/>
      <c r="KAC9"/>
      <c r="KAE9"/>
      <c r="KAG9"/>
      <c r="KAI9"/>
      <c r="KAK9"/>
      <c r="KAM9"/>
      <c r="KAO9"/>
      <c r="KAQ9"/>
      <c r="KAS9"/>
      <c r="KAU9"/>
      <c r="KAW9"/>
      <c r="KAY9"/>
      <c r="KBA9"/>
      <c r="KBC9"/>
      <c r="KBE9"/>
      <c r="KBG9"/>
      <c r="KBI9"/>
      <c r="KBK9"/>
      <c r="KBM9"/>
      <c r="KBO9"/>
      <c r="KBQ9"/>
      <c r="KBS9"/>
      <c r="KBU9"/>
      <c r="KBW9"/>
      <c r="KBY9"/>
      <c r="KCA9"/>
      <c r="KCC9"/>
      <c r="KCE9"/>
      <c r="KCG9"/>
      <c r="KCI9"/>
      <c r="KCK9"/>
      <c r="KCM9"/>
      <c r="KCO9"/>
      <c r="KCQ9"/>
      <c r="KCS9"/>
      <c r="KCU9"/>
      <c r="KCW9"/>
      <c r="KCY9"/>
      <c r="KDA9"/>
      <c r="KDC9"/>
      <c r="KDE9"/>
      <c r="KDG9"/>
      <c r="KDI9"/>
      <c r="KDK9"/>
      <c r="KDM9"/>
      <c r="KDO9"/>
      <c r="KDQ9"/>
      <c r="KDS9"/>
      <c r="KDU9"/>
      <c r="KDW9"/>
      <c r="KDY9"/>
      <c r="KEA9"/>
      <c r="KEC9"/>
      <c r="KEE9"/>
      <c r="KEG9"/>
      <c r="KEI9"/>
      <c r="KEK9"/>
      <c r="KEM9"/>
      <c r="KEO9"/>
      <c r="KEQ9"/>
      <c r="KES9"/>
      <c r="KEU9"/>
      <c r="KEW9"/>
      <c r="KEY9"/>
      <c r="KFA9"/>
      <c r="KFC9"/>
      <c r="KFE9"/>
      <c r="KFG9"/>
      <c r="KFI9"/>
      <c r="KFK9"/>
      <c r="KFM9"/>
      <c r="KFO9"/>
      <c r="KFQ9"/>
      <c r="KFS9"/>
      <c r="KFU9"/>
      <c r="KFW9"/>
      <c r="KFY9"/>
      <c r="KGA9"/>
      <c r="KGC9"/>
      <c r="KGE9"/>
      <c r="KGG9"/>
      <c r="KGI9"/>
      <c r="KGK9"/>
      <c r="KGM9"/>
      <c r="KGO9"/>
      <c r="KGQ9"/>
      <c r="KGS9"/>
      <c r="KGU9"/>
      <c r="KGW9"/>
      <c r="KGY9"/>
      <c r="KHA9"/>
      <c r="KHC9"/>
      <c r="KHE9"/>
      <c r="KHG9"/>
      <c r="KHI9"/>
      <c r="KHK9"/>
      <c r="KHM9"/>
      <c r="KHO9"/>
      <c r="KHQ9"/>
      <c r="KHS9"/>
      <c r="KHU9"/>
      <c r="KHW9"/>
      <c r="KHY9"/>
      <c r="KIA9"/>
      <c r="KIC9"/>
      <c r="KIE9"/>
      <c r="KIG9"/>
      <c r="KII9"/>
      <c r="KIK9"/>
      <c r="KIM9"/>
      <c r="KIO9"/>
      <c r="KIQ9"/>
      <c r="KIS9"/>
      <c r="KIU9"/>
      <c r="KIW9"/>
      <c r="KIY9"/>
      <c r="KJA9"/>
      <c r="KJC9"/>
      <c r="KJE9"/>
      <c r="KJG9"/>
      <c r="KJI9"/>
      <c r="KJK9"/>
      <c r="KJM9"/>
      <c r="KJO9"/>
      <c r="KJQ9"/>
      <c r="KJS9"/>
      <c r="KJU9"/>
      <c r="KJW9"/>
      <c r="KJY9"/>
      <c r="KKA9"/>
      <c r="KKC9"/>
      <c r="KKE9"/>
      <c r="KKG9"/>
      <c r="KKI9"/>
      <c r="KKK9"/>
      <c r="KKM9"/>
      <c r="KKO9"/>
      <c r="KKQ9"/>
      <c r="KKS9"/>
      <c r="KKU9"/>
      <c r="KKW9"/>
      <c r="KKY9"/>
      <c r="KLA9"/>
      <c r="KLC9"/>
      <c r="KLE9"/>
      <c r="KLG9"/>
      <c r="KLI9"/>
      <c r="KLK9"/>
      <c r="KLM9"/>
      <c r="KLO9"/>
      <c r="KLQ9"/>
      <c r="KLS9"/>
      <c r="KLU9"/>
      <c r="KLW9"/>
      <c r="KLY9"/>
      <c r="KMA9"/>
      <c r="KMC9"/>
      <c r="KME9"/>
      <c r="KMG9"/>
      <c r="KMI9"/>
      <c r="KMK9"/>
      <c r="KMM9"/>
      <c r="KMO9"/>
      <c r="KMQ9"/>
      <c r="KMS9"/>
      <c r="KMU9"/>
      <c r="KMW9"/>
      <c r="KMY9"/>
      <c r="KNA9"/>
      <c r="KNC9"/>
      <c r="KNE9"/>
      <c r="KNG9"/>
      <c r="KNI9"/>
      <c r="KNK9"/>
      <c r="KNM9"/>
      <c r="KNO9"/>
      <c r="KNQ9"/>
      <c r="KNS9"/>
      <c r="KNU9"/>
      <c r="KNW9"/>
      <c r="KNY9"/>
      <c r="KOA9"/>
      <c r="KOC9"/>
      <c r="KOE9"/>
      <c r="KOG9"/>
      <c r="KOI9"/>
      <c r="KOK9"/>
      <c r="KOM9"/>
      <c r="KOO9"/>
      <c r="KOQ9"/>
      <c r="KOS9"/>
      <c r="KOU9"/>
      <c r="KOW9"/>
      <c r="KOY9"/>
      <c r="KPA9"/>
      <c r="KPC9"/>
      <c r="KPE9"/>
      <c r="KPG9"/>
      <c r="KPI9"/>
      <c r="KPK9"/>
      <c r="KPM9"/>
      <c r="KPO9"/>
      <c r="KPQ9"/>
      <c r="KPS9"/>
      <c r="KPU9"/>
      <c r="KPW9"/>
      <c r="KPY9"/>
      <c r="KQA9"/>
      <c r="KQC9"/>
      <c r="KQE9"/>
      <c r="KQG9"/>
      <c r="KQI9"/>
      <c r="KQK9"/>
      <c r="KQM9"/>
      <c r="KQO9"/>
      <c r="KQQ9"/>
      <c r="KQS9"/>
      <c r="KQU9"/>
      <c r="KQW9"/>
      <c r="KQY9"/>
      <c r="KRA9"/>
      <c r="KRC9"/>
      <c r="KRE9"/>
      <c r="KRG9"/>
      <c r="KRI9"/>
      <c r="KRK9"/>
      <c r="KRM9"/>
      <c r="KRO9"/>
      <c r="KRQ9"/>
      <c r="KRS9"/>
      <c r="KRU9"/>
      <c r="KRW9"/>
      <c r="KRY9"/>
      <c r="KSA9"/>
      <c r="KSC9"/>
      <c r="KSE9"/>
      <c r="KSG9"/>
      <c r="KSI9"/>
      <c r="KSK9"/>
      <c r="KSM9"/>
      <c r="KSO9"/>
      <c r="KSQ9"/>
      <c r="KSS9"/>
      <c r="KSU9"/>
      <c r="KSW9"/>
      <c r="KSY9"/>
      <c r="KTA9"/>
      <c r="KTC9"/>
      <c r="KTE9"/>
      <c r="KTG9"/>
      <c r="KTI9"/>
      <c r="KTK9"/>
      <c r="KTM9"/>
      <c r="KTO9"/>
      <c r="KTQ9"/>
      <c r="KTS9"/>
      <c r="KTU9"/>
      <c r="KTW9"/>
      <c r="KTY9"/>
      <c r="KUA9"/>
      <c r="KUC9"/>
      <c r="KUE9"/>
      <c r="KUG9"/>
      <c r="KUI9"/>
      <c r="KUK9"/>
      <c r="KUM9"/>
      <c r="KUO9"/>
      <c r="KUQ9"/>
      <c r="KUS9"/>
      <c r="KUU9"/>
      <c r="KUW9"/>
      <c r="KUY9"/>
      <c r="KVA9"/>
      <c r="KVC9"/>
      <c r="KVE9"/>
      <c r="KVG9"/>
      <c r="KVI9"/>
      <c r="KVK9"/>
      <c r="KVM9"/>
      <c r="KVO9"/>
      <c r="KVQ9"/>
      <c r="KVS9"/>
      <c r="KVU9"/>
      <c r="KVW9"/>
      <c r="KVY9"/>
      <c r="KWA9"/>
      <c r="KWC9"/>
      <c r="KWE9"/>
      <c r="KWG9"/>
      <c r="KWI9"/>
      <c r="KWK9"/>
      <c r="KWM9"/>
      <c r="KWO9"/>
      <c r="KWQ9"/>
      <c r="KWS9"/>
      <c r="KWU9"/>
      <c r="KWW9"/>
      <c r="KWY9"/>
      <c r="KXA9"/>
      <c r="KXC9"/>
      <c r="KXE9"/>
      <c r="KXG9"/>
      <c r="KXI9"/>
      <c r="KXK9"/>
      <c r="KXM9"/>
      <c r="KXO9"/>
      <c r="KXQ9"/>
      <c r="KXS9"/>
      <c r="KXU9"/>
      <c r="KXW9"/>
      <c r="KXY9"/>
      <c r="KYA9"/>
      <c r="KYC9"/>
      <c r="KYE9"/>
      <c r="KYG9"/>
      <c r="KYI9"/>
      <c r="KYK9"/>
      <c r="KYM9"/>
      <c r="KYO9"/>
      <c r="KYQ9"/>
      <c r="KYS9"/>
      <c r="KYU9"/>
      <c r="KYW9"/>
      <c r="KYY9"/>
      <c r="KZA9"/>
      <c r="KZC9"/>
      <c r="KZE9"/>
      <c r="KZG9"/>
      <c r="KZI9"/>
      <c r="KZK9"/>
      <c r="KZM9"/>
      <c r="KZO9"/>
      <c r="KZQ9"/>
      <c r="KZS9"/>
      <c r="KZU9"/>
      <c r="KZW9"/>
      <c r="KZY9"/>
      <c r="LAA9"/>
      <c r="LAC9"/>
      <c r="LAE9"/>
      <c r="LAG9"/>
      <c r="LAI9"/>
      <c r="LAK9"/>
      <c r="LAM9"/>
      <c r="LAO9"/>
      <c r="LAQ9"/>
      <c r="LAS9"/>
      <c r="LAU9"/>
      <c r="LAW9"/>
      <c r="LAY9"/>
      <c r="LBA9"/>
      <c r="LBC9"/>
      <c r="LBE9"/>
      <c r="LBG9"/>
      <c r="LBI9"/>
      <c r="LBK9"/>
      <c r="LBM9"/>
      <c r="LBO9"/>
      <c r="LBQ9"/>
      <c r="LBS9"/>
      <c r="LBU9"/>
      <c r="LBW9"/>
      <c r="LBY9"/>
      <c r="LCA9"/>
      <c r="LCC9"/>
      <c r="LCE9"/>
      <c r="LCG9"/>
      <c r="LCI9"/>
      <c r="LCK9"/>
      <c r="LCM9"/>
      <c r="LCO9"/>
      <c r="LCQ9"/>
      <c r="LCS9"/>
      <c r="LCU9"/>
      <c r="LCW9"/>
      <c r="LCY9"/>
      <c r="LDA9"/>
      <c r="LDC9"/>
      <c r="LDE9"/>
      <c r="LDG9"/>
      <c r="LDI9"/>
      <c r="LDK9"/>
      <c r="LDM9"/>
      <c r="LDO9"/>
      <c r="LDQ9"/>
      <c r="LDS9"/>
      <c r="LDU9"/>
      <c r="LDW9"/>
      <c r="LDY9"/>
      <c r="LEA9"/>
      <c r="LEC9"/>
      <c r="LEE9"/>
      <c r="LEG9"/>
      <c r="LEI9"/>
      <c r="LEK9"/>
      <c r="LEM9"/>
      <c r="LEO9"/>
      <c r="LEQ9"/>
      <c r="LES9"/>
      <c r="LEU9"/>
      <c r="LEW9"/>
      <c r="LEY9"/>
      <c r="LFA9"/>
      <c r="LFC9"/>
      <c r="LFE9"/>
      <c r="LFG9"/>
      <c r="LFI9"/>
      <c r="LFK9"/>
      <c r="LFM9"/>
      <c r="LFO9"/>
      <c r="LFQ9"/>
      <c r="LFS9"/>
      <c r="LFU9"/>
      <c r="LFW9"/>
      <c r="LFY9"/>
      <c r="LGA9"/>
      <c r="LGC9"/>
      <c r="LGE9"/>
      <c r="LGG9"/>
      <c r="LGI9"/>
      <c r="LGK9"/>
      <c r="LGM9"/>
      <c r="LGO9"/>
      <c r="LGQ9"/>
      <c r="LGS9"/>
      <c r="LGU9"/>
      <c r="LGW9"/>
      <c r="LGY9"/>
      <c r="LHA9"/>
      <c r="LHC9"/>
      <c r="LHE9"/>
      <c r="LHG9"/>
      <c r="LHI9"/>
      <c r="LHK9"/>
      <c r="LHM9"/>
      <c r="LHO9"/>
      <c r="LHQ9"/>
      <c r="LHS9"/>
      <c r="LHU9"/>
      <c r="LHW9"/>
      <c r="LHY9"/>
      <c r="LIA9"/>
      <c r="LIC9"/>
      <c r="LIE9"/>
      <c r="LIG9"/>
      <c r="LII9"/>
      <c r="LIK9"/>
      <c r="LIM9"/>
      <c r="LIO9"/>
      <c r="LIQ9"/>
      <c r="LIS9"/>
      <c r="LIU9"/>
      <c r="LIW9"/>
      <c r="LIY9"/>
      <c r="LJA9"/>
      <c r="LJC9"/>
      <c r="LJE9"/>
      <c r="LJG9"/>
      <c r="LJI9"/>
      <c r="LJK9"/>
      <c r="LJM9"/>
      <c r="LJO9"/>
      <c r="LJQ9"/>
      <c r="LJS9"/>
      <c r="LJU9"/>
      <c r="LJW9"/>
      <c r="LJY9"/>
      <c r="LKA9"/>
      <c r="LKC9"/>
      <c r="LKE9"/>
      <c r="LKG9"/>
      <c r="LKI9"/>
      <c r="LKK9"/>
      <c r="LKM9"/>
      <c r="LKO9"/>
      <c r="LKQ9"/>
      <c r="LKS9"/>
      <c r="LKU9"/>
      <c r="LKW9"/>
      <c r="LKY9"/>
      <c r="LLA9"/>
      <c r="LLC9"/>
      <c r="LLE9"/>
      <c r="LLG9"/>
      <c r="LLI9"/>
      <c r="LLK9"/>
      <c r="LLM9"/>
      <c r="LLO9"/>
      <c r="LLQ9"/>
      <c r="LLS9"/>
      <c r="LLU9"/>
      <c r="LLW9"/>
      <c r="LLY9"/>
      <c r="LMA9"/>
      <c r="LMC9"/>
      <c r="LME9"/>
      <c r="LMG9"/>
      <c r="LMI9"/>
      <c r="LMK9"/>
      <c r="LMM9"/>
      <c r="LMO9"/>
      <c r="LMQ9"/>
      <c r="LMS9"/>
      <c r="LMU9"/>
      <c r="LMW9"/>
      <c r="LMY9"/>
      <c r="LNA9"/>
      <c r="LNC9"/>
      <c r="LNE9"/>
      <c r="LNG9"/>
      <c r="LNI9"/>
      <c r="LNK9"/>
      <c r="LNM9"/>
      <c r="LNO9"/>
      <c r="LNQ9"/>
      <c r="LNS9"/>
      <c r="LNU9"/>
      <c r="LNW9"/>
      <c r="LNY9"/>
      <c r="LOA9"/>
      <c r="LOC9"/>
      <c r="LOE9"/>
      <c r="LOG9"/>
      <c r="LOI9"/>
      <c r="LOK9"/>
      <c r="LOM9"/>
      <c r="LOO9"/>
      <c r="LOQ9"/>
      <c r="LOS9"/>
      <c r="LOU9"/>
      <c r="LOW9"/>
      <c r="LOY9"/>
      <c r="LPA9"/>
      <c r="LPC9"/>
      <c r="LPE9"/>
      <c r="LPG9"/>
      <c r="LPI9"/>
      <c r="LPK9"/>
      <c r="LPM9"/>
      <c r="LPO9"/>
      <c r="LPQ9"/>
      <c r="LPS9"/>
      <c r="LPU9"/>
      <c r="LPW9"/>
      <c r="LPY9"/>
      <c r="LQA9"/>
      <c r="LQC9"/>
      <c r="LQE9"/>
      <c r="LQG9"/>
      <c r="LQI9"/>
      <c r="LQK9"/>
      <c r="LQM9"/>
      <c r="LQO9"/>
      <c r="LQQ9"/>
      <c r="LQS9"/>
      <c r="LQU9"/>
      <c r="LQW9"/>
      <c r="LQY9"/>
      <c r="LRA9"/>
      <c r="LRC9"/>
      <c r="LRE9"/>
      <c r="LRG9"/>
      <c r="LRI9"/>
      <c r="LRK9"/>
      <c r="LRM9"/>
      <c r="LRO9"/>
      <c r="LRQ9"/>
      <c r="LRS9"/>
      <c r="LRU9"/>
      <c r="LRW9"/>
      <c r="LRY9"/>
      <c r="LSA9"/>
      <c r="LSC9"/>
      <c r="LSE9"/>
      <c r="LSG9"/>
      <c r="LSI9"/>
      <c r="LSK9"/>
      <c r="LSM9"/>
      <c r="LSO9"/>
      <c r="LSQ9"/>
      <c r="LSS9"/>
      <c r="LSU9"/>
      <c r="LSW9"/>
      <c r="LSY9"/>
      <c r="LTA9"/>
      <c r="LTC9"/>
      <c r="LTE9"/>
      <c r="LTG9"/>
      <c r="LTI9"/>
      <c r="LTK9"/>
      <c r="LTM9"/>
      <c r="LTO9"/>
      <c r="LTQ9"/>
      <c r="LTS9"/>
      <c r="LTU9"/>
      <c r="LTW9"/>
      <c r="LTY9"/>
      <c r="LUA9"/>
      <c r="LUC9"/>
      <c r="LUE9"/>
      <c r="LUG9"/>
      <c r="LUI9"/>
      <c r="LUK9"/>
      <c r="LUM9"/>
      <c r="LUO9"/>
      <c r="LUQ9"/>
      <c r="LUS9"/>
      <c r="LUU9"/>
      <c r="LUW9"/>
      <c r="LUY9"/>
      <c r="LVA9"/>
      <c r="LVC9"/>
      <c r="LVE9"/>
      <c r="LVG9"/>
      <c r="LVI9"/>
      <c r="LVK9"/>
      <c r="LVM9"/>
      <c r="LVO9"/>
      <c r="LVQ9"/>
      <c r="LVS9"/>
      <c r="LVU9"/>
      <c r="LVW9"/>
      <c r="LVY9"/>
      <c r="LWA9"/>
      <c r="LWC9"/>
      <c r="LWE9"/>
      <c r="LWG9"/>
      <c r="LWI9"/>
      <c r="LWK9"/>
      <c r="LWM9"/>
      <c r="LWO9"/>
      <c r="LWQ9"/>
      <c r="LWS9"/>
      <c r="LWU9"/>
      <c r="LWW9"/>
      <c r="LWY9"/>
      <c r="LXA9"/>
      <c r="LXC9"/>
      <c r="LXE9"/>
      <c r="LXG9"/>
      <c r="LXI9"/>
      <c r="LXK9"/>
      <c r="LXM9"/>
      <c r="LXO9"/>
      <c r="LXQ9"/>
      <c r="LXS9"/>
      <c r="LXU9"/>
      <c r="LXW9"/>
      <c r="LXY9"/>
      <c r="LYA9"/>
      <c r="LYC9"/>
      <c r="LYE9"/>
      <c r="LYG9"/>
      <c r="LYI9"/>
      <c r="LYK9"/>
      <c r="LYM9"/>
      <c r="LYO9"/>
      <c r="LYQ9"/>
      <c r="LYS9"/>
      <c r="LYU9"/>
      <c r="LYW9"/>
      <c r="LYY9"/>
      <c r="LZA9"/>
      <c r="LZC9"/>
      <c r="LZE9"/>
      <c r="LZG9"/>
      <c r="LZI9"/>
      <c r="LZK9"/>
      <c r="LZM9"/>
      <c r="LZO9"/>
      <c r="LZQ9"/>
      <c r="LZS9"/>
      <c r="LZU9"/>
      <c r="LZW9"/>
      <c r="LZY9"/>
      <c r="MAA9"/>
      <c r="MAC9"/>
      <c r="MAE9"/>
      <c r="MAG9"/>
      <c r="MAI9"/>
      <c r="MAK9"/>
      <c r="MAM9"/>
      <c r="MAO9"/>
      <c r="MAQ9"/>
      <c r="MAS9"/>
      <c r="MAU9"/>
      <c r="MAW9"/>
      <c r="MAY9"/>
      <c r="MBA9"/>
      <c r="MBC9"/>
      <c r="MBE9"/>
      <c r="MBG9"/>
      <c r="MBI9"/>
      <c r="MBK9"/>
      <c r="MBM9"/>
      <c r="MBO9"/>
      <c r="MBQ9"/>
      <c r="MBS9"/>
      <c r="MBU9"/>
      <c r="MBW9"/>
      <c r="MBY9"/>
      <c r="MCA9"/>
      <c r="MCC9"/>
      <c r="MCE9"/>
      <c r="MCG9"/>
      <c r="MCI9"/>
      <c r="MCK9"/>
      <c r="MCM9"/>
      <c r="MCO9"/>
      <c r="MCQ9"/>
      <c r="MCS9"/>
      <c r="MCU9"/>
      <c r="MCW9"/>
      <c r="MCY9"/>
      <c r="MDA9"/>
      <c r="MDC9"/>
      <c r="MDE9"/>
      <c r="MDG9"/>
      <c r="MDI9"/>
      <c r="MDK9"/>
      <c r="MDM9"/>
      <c r="MDO9"/>
      <c r="MDQ9"/>
      <c r="MDS9"/>
      <c r="MDU9"/>
      <c r="MDW9"/>
      <c r="MDY9"/>
      <c r="MEA9"/>
      <c r="MEC9"/>
      <c r="MEE9"/>
      <c r="MEG9"/>
      <c r="MEI9"/>
      <c r="MEK9"/>
      <c r="MEM9"/>
      <c r="MEO9"/>
      <c r="MEQ9"/>
      <c r="MES9"/>
      <c r="MEU9"/>
      <c r="MEW9"/>
      <c r="MEY9"/>
      <c r="MFA9"/>
      <c r="MFC9"/>
      <c r="MFE9"/>
      <c r="MFG9"/>
      <c r="MFI9"/>
      <c r="MFK9"/>
      <c r="MFM9"/>
      <c r="MFO9"/>
      <c r="MFQ9"/>
      <c r="MFS9"/>
      <c r="MFU9"/>
      <c r="MFW9"/>
      <c r="MFY9"/>
      <c r="MGA9"/>
      <c r="MGC9"/>
      <c r="MGE9"/>
      <c r="MGG9"/>
      <c r="MGI9"/>
      <c r="MGK9"/>
      <c r="MGM9"/>
      <c r="MGO9"/>
      <c r="MGQ9"/>
      <c r="MGS9"/>
      <c r="MGU9"/>
      <c r="MGW9"/>
      <c r="MGY9"/>
      <c r="MHA9"/>
      <c r="MHC9"/>
      <c r="MHE9"/>
      <c r="MHG9"/>
      <c r="MHI9"/>
      <c r="MHK9"/>
      <c r="MHM9"/>
      <c r="MHO9"/>
      <c r="MHQ9"/>
      <c r="MHS9"/>
      <c r="MHU9"/>
      <c r="MHW9"/>
      <c r="MHY9"/>
      <c r="MIA9"/>
      <c r="MIC9"/>
      <c r="MIE9"/>
      <c r="MIG9"/>
      <c r="MII9"/>
      <c r="MIK9"/>
      <c r="MIM9"/>
      <c r="MIO9"/>
      <c r="MIQ9"/>
      <c r="MIS9"/>
      <c r="MIU9"/>
      <c r="MIW9"/>
      <c r="MIY9"/>
      <c r="MJA9"/>
      <c r="MJC9"/>
      <c r="MJE9"/>
      <c r="MJG9"/>
      <c r="MJI9"/>
      <c r="MJK9"/>
      <c r="MJM9"/>
      <c r="MJO9"/>
      <c r="MJQ9"/>
      <c r="MJS9"/>
      <c r="MJU9"/>
      <c r="MJW9"/>
      <c r="MJY9"/>
      <c r="MKA9"/>
      <c r="MKC9"/>
      <c r="MKE9"/>
      <c r="MKG9"/>
      <c r="MKI9"/>
      <c r="MKK9"/>
      <c r="MKM9"/>
      <c r="MKO9"/>
      <c r="MKQ9"/>
      <c r="MKS9"/>
      <c r="MKU9"/>
      <c r="MKW9"/>
      <c r="MKY9"/>
      <c r="MLA9"/>
      <c r="MLC9"/>
      <c r="MLE9"/>
      <c r="MLG9"/>
      <c r="MLI9"/>
      <c r="MLK9"/>
      <c r="MLM9"/>
      <c r="MLO9"/>
      <c r="MLQ9"/>
      <c r="MLS9"/>
      <c r="MLU9"/>
      <c r="MLW9"/>
      <c r="MLY9"/>
      <c r="MMA9"/>
      <c r="MMC9"/>
      <c r="MME9"/>
      <c r="MMG9"/>
      <c r="MMI9"/>
      <c r="MMK9"/>
      <c r="MMM9"/>
      <c r="MMO9"/>
      <c r="MMQ9"/>
      <c r="MMS9"/>
      <c r="MMU9"/>
      <c r="MMW9"/>
      <c r="MMY9"/>
      <c r="MNA9"/>
      <c r="MNC9"/>
      <c r="MNE9"/>
      <c r="MNG9"/>
      <c r="MNI9"/>
      <c r="MNK9"/>
      <c r="MNM9"/>
      <c r="MNO9"/>
      <c r="MNQ9"/>
      <c r="MNS9"/>
      <c r="MNU9"/>
      <c r="MNW9"/>
      <c r="MNY9"/>
      <c r="MOA9"/>
      <c r="MOC9"/>
      <c r="MOE9"/>
      <c r="MOG9"/>
      <c r="MOI9"/>
      <c r="MOK9"/>
      <c r="MOM9"/>
      <c r="MOO9"/>
      <c r="MOQ9"/>
      <c r="MOS9"/>
      <c r="MOU9"/>
      <c r="MOW9"/>
      <c r="MOY9"/>
      <c r="MPA9"/>
      <c r="MPC9"/>
      <c r="MPE9"/>
      <c r="MPG9"/>
      <c r="MPI9"/>
      <c r="MPK9"/>
      <c r="MPM9"/>
      <c r="MPO9"/>
      <c r="MPQ9"/>
      <c r="MPS9"/>
      <c r="MPU9"/>
      <c r="MPW9"/>
      <c r="MPY9"/>
      <c r="MQA9"/>
      <c r="MQC9"/>
      <c r="MQE9"/>
      <c r="MQG9"/>
      <c r="MQI9"/>
      <c r="MQK9"/>
      <c r="MQM9"/>
      <c r="MQO9"/>
      <c r="MQQ9"/>
      <c r="MQS9"/>
      <c r="MQU9"/>
      <c r="MQW9"/>
      <c r="MQY9"/>
      <c r="MRA9"/>
      <c r="MRC9"/>
      <c r="MRE9"/>
      <c r="MRG9"/>
      <c r="MRI9"/>
      <c r="MRK9"/>
      <c r="MRM9"/>
      <c r="MRO9"/>
      <c r="MRQ9"/>
      <c r="MRS9"/>
      <c r="MRU9"/>
      <c r="MRW9"/>
      <c r="MRY9"/>
      <c r="MSA9"/>
      <c r="MSC9"/>
      <c r="MSE9"/>
      <c r="MSG9"/>
      <c r="MSI9"/>
      <c r="MSK9"/>
      <c r="MSM9"/>
      <c r="MSO9"/>
      <c r="MSQ9"/>
      <c r="MSS9"/>
      <c r="MSU9"/>
      <c r="MSW9"/>
      <c r="MSY9"/>
      <c r="MTA9"/>
      <c r="MTC9"/>
      <c r="MTE9"/>
      <c r="MTG9"/>
      <c r="MTI9"/>
      <c r="MTK9"/>
      <c r="MTM9"/>
      <c r="MTO9"/>
      <c r="MTQ9"/>
      <c r="MTS9"/>
      <c r="MTU9"/>
      <c r="MTW9"/>
      <c r="MTY9"/>
      <c r="MUA9"/>
      <c r="MUC9"/>
      <c r="MUE9"/>
      <c r="MUG9"/>
      <c r="MUI9"/>
      <c r="MUK9"/>
      <c r="MUM9"/>
      <c r="MUO9"/>
      <c r="MUQ9"/>
      <c r="MUS9"/>
      <c r="MUU9"/>
      <c r="MUW9"/>
      <c r="MUY9"/>
      <c r="MVA9"/>
      <c r="MVC9"/>
      <c r="MVE9"/>
      <c r="MVG9"/>
      <c r="MVI9"/>
      <c r="MVK9"/>
      <c r="MVM9"/>
      <c r="MVO9"/>
      <c r="MVQ9"/>
      <c r="MVS9"/>
      <c r="MVU9"/>
      <c r="MVW9"/>
      <c r="MVY9"/>
      <c r="MWA9"/>
      <c r="MWC9"/>
      <c r="MWE9"/>
      <c r="MWG9"/>
      <c r="MWI9"/>
      <c r="MWK9"/>
      <c r="MWM9"/>
      <c r="MWO9"/>
      <c r="MWQ9"/>
      <c r="MWS9"/>
      <c r="MWU9"/>
      <c r="MWW9"/>
      <c r="MWY9"/>
      <c r="MXA9"/>
      <c r="MXC9"/>
      <c r="MXE9"/>
      <c r="MXG9"/>
      <c r="MXI9"/>
      <c r="MXK9"/>
      <c r="MXM9"/>
      <c r="MXO9"/>
      <c r="MXQ9"/>
      <c r="MXS9"/>
      <c r="MXU9"/>
      <c r="MXW9"/>
      <c r="MXY9"/>
      <c r="MYA9"/>
      <c r="MYC9"/>
      <c r="MYE9"/>
      <c r="MYG9"/>
      <c r="MYI9"/>
      <c r="MYK9"/>
      <c r="MYM9"/>
      <c r="MYO9"/>
      <c r="MYQ9"/>
      <c r="MYS9"/>
      <c r="MYU9"/>
      <c r="MYW9"/>
      <c r="MYY9"/>
      <c r="MZA9"/>
      <c r="MZC9"/>
      <c r="MZE9"/>
      <c r="MZG9"/>
      <c r="MZI9"/>
      <c r="MZK9"/>
      <c r="MZM9"/>
      <c r="MZO9"/>
      <c r="MZQ9"/>
      <c r="MZS9"/>
      <c r="MZU9"/>
      <c r="MZW9"/>
      <c r="MZY9"/>
      <c r="NAA9"/>
      <c r="NAC9"/>
      <c r="NAE9"/>
      <c r="NAG9"/>
      <c r="NAI9"/>
      <c r="NAK9"/>
      <c r="NAM9"/>
      <c r="NAO9"/>
      <c r="NAQ9"/>
      <c r="NAS9"/>
      <c r="NAU9"/>
      <c r="NAW9"/>
      <c r="NAY9"/>
      <c r="NBA9"/>
      <c r="NBC9"/>
      <c r="NBE9"/>
      <c r="NBG9"/>
      <c r="NBI9"/>
      <c r="NBK9"/>
      <c r="NBM9"/>
      <c r="NBO9"/>
      <c r="NBQ9"/>
      <c r="NBS9"/>
      <c r="NBU9"/>
      <c r="NBW9"/>
      <c r="NBY9"/>
      <c r="NCA9"/>
      <c r="NCC9"/>
      <c r="NCE9"/>
      <c r="NCG9"/>
      <c r="NCI9"/>
      <c r="NCK9"/>
      <c r="NCM9"/>
      <c r="NCO9"/>
      <c r="NCQ9"/>
      <c r="NCS9"/>
      <c r="NCU9"/>
      <c r="NCW9"/>
      <c r="NCY9"/>
      <c r="NDA9"/>
      <c r="NDC9"/>
      <c r="NDE9"/>
      <c r="NDG9"/>
      <c r="NDI9"/>
      <c r="NDK9"/>
      <c r="NDM9"/>
      <c r="NDO9"/>
      <c r="NDQ9"/>
      <c r="NDS9"/>
      <c r="NDU9"/>
      <c r="NDW9"/>
      <c r="NDY9"/>
      <c r="NEA9"/>
      <c r="NEC9"/>
      <c r="NEE9"/>
      <c r="NEG9"/>
      <c r="NEI9"/>
      <c r="NEK9"/>
      <c r="NEM9"/>
      <c r="NEO9"/>
      <c r="NEQ9"/>
      <c r="NES9"/>
      <c r="NEU9"/>
      <c r="NEW9"/>
      <c r="NEY9"/>
      <c r="NFA9"/>
      <c r="NFC9"/>
      <c r="NFE9"/>
      <c r="NFG9"/>
      <c r="NFI9"/>
      <c r="NFK9"/>
      <c r="NFM9"/>
      <c r="NFO9"/>
      <c r="NFQ9"/>
      <c r="NFS9"/>
      <c r="NFU9"/>
      <c r="NFW9"/>
      <c r="NFY9"/>
      <c r="NGA9"/>
      <c r="NGC9"/>
      <c r="NGE9"/>
      <c r="NGG9"/>
      <c r="NGI9"/>
      <c r="NGK9"/>
      <c r="NGM9"/>
      <c r="NGO9"/>
      <c r="NGQ9"/>
      <c r="NGS9"/>
      <c r="NGU9"/>
      <c r="NGW9"/>
      <c r="NGY9"/>
      <c r="NHA9"/>
      <c r="NHC9"/>
      <c r="NHE9"/>
      <c r="NHG9"/>
      <c r="NHI9"/>
      <c r="NHK9"/>
      <c r="NHM9"/>
      <c r="NHO9"/>
      <c r="NHQ9"/>
      <c r="NHS9"/>
      <c r="NHU9"/>
      <c r="NHW9"/>
      <c r="NHY9"/>
      <c r="NIA9"/>
      <c r="NIC9"/>
      <c r="NIE9"/>
      <c r="NIG9"/>
      <c r="NII9"/>
      <c r="NIK9"/>
      <c r="NIM9"/>
      <c r="NIO9"/>
      <c r="NIQ9"/>
      <c r="NIS9"/>
      <c r="NIU9"/>
      <c r="NIW9"/>
      <c r="NIY9"/>
      <c r="NJA9"/>
      <c r="NJC9"/>
      <c r="NJE9"/>
      <c r="NJG9"/>
      <c r="NJI9"/>
      <c r="NJK9"/>
      <c r="NJM9"/>
      <c r="NJO9"/>
      <c r="NJQ9"/>
      <c r="NJS9"/>
      <c r="NJU9"/>
      <c r="NJW9"/>
      <c r="NJY9"/>
      <c r="NKA9"/>
      <c r="NKC9"/>
      <c r="NKE9"/>
      <c r="NKG9"/>
      <c r="NKI9"/>
      <c r="NKK9"/>
      <c r="NKM9"/>
      <c r="NKO9"/>
      <c r="NKQ9"/>
      <c r="NKS9"/>
      <c r="NKU9"/>
      <c r="NKW9"/>
      <c r="NKY9"/>
      <c r="NLA9"/>
      <c r="NLC9"/>
      <c r="NLE9"/>
      <c r="NLG9"/>
      <c r="NLI9"/>
      <c r="NLK9"/>
      <c r="NLM9"/>
      <c r="NLO9"/>
      <c r="NLQ9"/>
      <c r="NLS9"/>
      <c r="NLU9"/>
      <c r="NLW9"/>
      <c r="NLY9"/>
      <c r="NMA9"/>
      <c r="NMC9"/>
      <c r="NME9"/>
      <c r="NMG9"/>
      <c r="NMI9"/>
      <c r="NMK9"/>
      <c r="NMM9"/>
      <c r="NMO9"/>
      <c r="NMQ9"/>
      <c r="NMS9"/>
      <c r="NMU9"/>
      <c r="NMW9"/>
      <c r="NMY9"/>
      <c r="NNA9"/>
      <c r="NNC9"/>
      <c r="NNE9"/>
      <c r="NNG9"/>
      <c r="NNI9"/>
      <c r="NNK9"/>
      <c r="NNM9"/>
      <c r="NNO9"/>
      <c r="NNQ9"/>
      <c r="NNS9"/>
      <c r="NNU9"/>
      <c r="NNW9"/>
      <c r="NNY9"/>
      <c r="NOA9"/>
      <c r="NOC9"/>
      <c r="NOE9"/>
      <c r="NOG9"/>
      <c r="NOI9"/>
      <c r="NOK9"/>
      <c r="NOM9"/>
      <c r="NOO9"/>
      <c r="NOQ9"/>
      <c r="NOS9"/>
      <c r="NOU9"/>
      <c r="NOW9"/>
      <c r="NOY9"/>
      <c r="NPA9"/>
      <c r="NPC9"/>
      <c r="NPE9"/>
      <c r="NPG9"/>
      <c r="NPI9"/>
      <c r="NPK9"/>
      <c r="NPM9"/>
      <c r="NPO9"/>
      <c r="NPQ9"/>
      <c r="NPS9"/>
      <c r="NPU9"/>
      <c r="NPW9"/>
      <c r="NPY9"/>
      <c r="NQA9"/>
      <c r="NQC9"/>
      <c r="NQE9"/>
      <c r="NQG9"/>
      <c r="NQI9"/>
      <c r="NQK9"/>
      <c r="NQM9"/>
      <c r="NQO9"/>
      <c r="NQQ9"/>
      <c r="NQS9"/>
      <c r="NQU9"/>
      <c r="NQW9"/>
      <c r="NQY9"/>
      <c r="NRA9"/>
      <c r="NRC9"/>
      <c r="NRE9"/>
      <c r="NRG9"/>
      <c r="NRI9"/>
      <c r="NRK9"/>
      <c r="NRM9"/>
      <c r="NRO9"/>
      <c r="NRQ9"/>
      <c r="NRS9"/>
      <c r="NRU9"/>
      <c r="NRW9"/>
      <c r="NRY9"/>
      <c r="NSA9"/>
      <c r="NSC9"/>
      <c r="NSE9"/>
      <c r="NSG9"/>
      <c r="NSI9"/>
      <c r="NSK9"/>
      <c r="NSM9"/>
      <c r="NSO9"/>
      <c r="NSQ9"/>
      <c r="NSS9"/>
      <c r="NSU9"/>
      <c r="NSW9"/>
      <c r="NSY9"/>
      <c r="NTA9"/>
      <c r="NTC9"/>
      <c r="NTE9"/>
      <c r="NTG9"/>
      <c r="NTI9"/>
      <c r="NTK9"/>
      <c r="NTM9"/>
      <c r="NTO9"/>
      <c r="NTQ9"/>
      <c r="NTS9"/>
      <c r="NTU9"/>
      <c r="NTW9"/>
      <c r="NTY9"/>
      <c r="NUA9"/>
      <c r="NUC9"/>
      <c r="NUE9"/>
      <c r="NUG9"/>
      <c r="NUI9"/>
      <c r="NUK9"/>
      <c r="NUM9"/>
      <c r="NUO9"/>
      <c r="NUQ9"/>
      <c r="NUS9"/>
      <c r="NUU9"/>
      <c r="NUW9"/>
      <c r="NUY9"/>
      <c r="NVA9"/>
      <c r="NVC9"/>
      <c r="NVE9"/>
      <c r="NVG9"/>
      <c r="NVI9"/>
      <c r="NVK9"/>
      <c r="NVM9"/>
      <c r="NVO9"/>
      <c r="NVQ9"/>
      <c r="NVS9"/>
      <c r="NVU9"/>
      <c r="NVW9"/>
      <c r="NVY9"/>
      <c r="NWA9"/>
      <c r="NWC9"/>
      <c r="NWE9"/>
      <c r="NWG9"/>
      <c r="NWI9"/>
      <c r="NWK9"/>
      <c r="NWM9"/>
      <c r="NWO9"/>
      <c r="NWQ9"/>
      <c r="NWS9"/>
      <c r="NWU9"/>
      <c r="NWW9"/>
      <c r="NWY9"/>
      <c r="NXA9"/>
      <c r="NXC9"/>
      <c r="NXE9"/>
      <c r="NXG9"/>
      <c r="NXI9"/>
      <c r="NXK9"/>
      <c r="NXM9"/>
      <c r="NXO9"/>
      <c r="NXQ9"/>
      <c r="NXS9"/>
      <c r="NXU9"/>
      <c r="NXW9"/>
      <c r="NXY9"/>
      <c r="NYA9"/>
      <c r="NYC9"/>
      <c r="NYE9"/>
      <c r="NYG9"/>
      <c r="NYI9"/>
      <c r="NYK9"/>
      <c r="NYM9"/>
      <c r="NYO9"/>
      <c r="NYQ9"/>
      <c r="NYS9"/>
      <c r="NYU9"/>
      <c r="NYW9"/>
      <c r="NYY9"/>
      <c r="NZA9"/>
      <c r="NZC9"/>
      <c r="NZE9"/>
      <c r="NZG9"/>
      <c r="NZI9"/>
      <c r="NZK9"/>
      <c r="NZM9"/>
      <c r="NZO9"/>
      <c r="NZQ9"/>
      <c r="NZS9"/>
      <c r="NZU9"/>
      <c r="NZW9"/>
      <c r="NZY9"/>
      <c r="OAA9"/>
      <c r="OAC9"/>
      <c r="OAE9"/>
      <c r="OAG9"/>
      <c r="OAI9"/>
      <c r="OAK9"/>
      <c r="OAM9"/>
      <c r="OAO9"/>
      <c r="OAQ9"/>
      <c r="OAS9"/>
      <c r="OAU9"/>
      <c r="OAW9"/>
      <c r="OAY9"/>
      <c r="OBA9"/>
      <c r="OBC9"/>
      <c r="OBE9"/>
      <c r="OBG9"/>
      <c r="OBI9"/>
      <c r="OBK9"/>
      <c r="OBM9"/>
      <c r="OBO9"/>
      <c r="OBQ9"/>
      <c r="OBS9"/>
      <c r="OBU9"/>
      <c r="OBW9"/>
      <c r="OBY9"/>
      <c r="OCA9"/>
      <c r="OCC9"/>
      <c r="OCE9"/>
      <c r="OCG9"/>
      <c r="OCI9"/>
      <c r="OCK9"/>
      <c r="OCM9"/>
      <c r="OCO9"/>
      <c r="OCQ9"/>
      <c r="OCS9"/>
      <c r="OCU9"/>
      <c r="OCW9"/>
      <c r="OCY9"/>
      <c r="ODA9"/>
      <c r="ODC9"/>
      <c r="ODE9"/>
      <c r="ODG9"/>
      <c r="ODI9"/>
      <c r="ODK9"/>
      <c r="ODM9"/>
      <c r="ODO9"/>
      <c r="ODQ9"/>
      <c r="ODS9"/>
      <c r="ODU9"/>
      <c r="ODW9"/>
      <c r="ODY9"/>
      <c r="OEA9"/>
      <c r="OEC9"/>
      <c r="OEE9"/>
      <c r="OEG9"/>
      <c r="OEI9"/>
      <c r="OEK9"/>
      <c r="OEM9"/>
      <c r="OEO9"/>
      <c r="OEQ9"/>
      <c r="OES9"/>
      <c r="OEU9"/>
      <c r="OEW9"/>
      <c r="OEY9"/>
      <c r="OFA9"/>
      <c r="OFC9"/>
      <c r="OFE9"/>
      <c r="OFG9"/>
      <c r="OFI9"/>
      <c r="OFK9"/>
      <c r="OFM9"/>
      <c r="OFO9"/>
      <c r="OFQ9"/>
      <c r="OFS9"/>
      <c r="OFU9"/>
      <c r="OFW9"/>
      <c r="OFY9"/>
      <c r="OGA9"/>
      <c r="OGC9"/>
      <c r="OGE9"/>
      <c r="OGG9"/>
      <c r="OGI9"/>
      <c r="OGK9"/>
      <c r="OGM9"/>
      <c r="OGO9"/>
      <c r="OGQ9"/>
      <c r="OGS9"/>
      <c r="OGU9"/>
      <c r="OGW9"/>
      <c r="OGY9"/>
      <c r="OHA9"/>
      <c r="OHC9"/>
      <c r="OHE9"/>
      <c r="OHG9"/>
      <c r="OHI9"/>
      <c r="OHK9"/>
      <c r="OHM9"/>
      <c r="OHO9"/>
      <c r="OHQ9"/>
      <c r="OHS9"/>
      <c r="OHU9"/>
      <c r="OHW9"/>
      <c r="OHY9"/>
      <c r="OIA9"/>
      <c r="OIC9"/>
      <c r="OIE9"/>
      <c r="OIG9"/>
      <c r="OII9"/>
      <c r="OIK9"/>
      <c r="OIM9"/>
      <c r="OIO9"/>
      <c r="OIQ9"/>
      <c r="OIS9"/>
      <c r="OIU9"/>
      <c r="OIW9"/>
      <c r="OIY9"/>
      <c r="OJA9"/>
      <c r="OJC9"/>
      <c r="OJE9"/>
      <c r="OJG9"/>
      <c r="OJI9"/>
      <c r="OJK9"/>
      <c r="OJM9"/>
      <c r="OJO9"/>
      <c r="OJQ9"/>
      <c r="OJS9"/>
      <c r="OJU9"/>
      <c r="OJW9"/>
      <c r="OJY9"/>
      <c r="OKA9"/>
      <c r="OKC9"/>
      <c r="OKE9"/>
      <c r="OKG9"/>
      <c r="OKI9"/>
      <c r="OKK9"/>
      <c r="OKM9"/>
      <c r="OKO9"/>
      <c r="OKQ9"/>
      <c r="OKS9"/>
      <c r="OKU9"/>
      <c r="OKW9"/>
      <c r="OKY9"/>
      <c r="OLA9"/>
      <c r="OLC9"/>
      <c r="OLE9"/>
      <c r="OLG9"/>
      <c r="OLI9"/>
      <c r="OLK9"/>
      <c r="OLM9"/>
      <c r="OLO9"/>
      <c r="OLQ9"/>
      <c r="OLS9"/>
      <c r="OLU9"/>
      <c r="OLW9"/>
      <c r="OLY9"/>
      <c r="OMA9"/>
      <c r="OMC9"/>
      <c r="OME9"/>
      <c r="OMG9"/>
      <c r="OMI9"/>
      <c r="OMK9"/>
      <c r="OMM9"/>
      <c r="OMO9"/>
      <c r="OMQ9"/>
      <c r="OMS9"/>
      <c r="OMU9"/>
      <c r="OMW9"/>
      <c r="OMY9"/>
      <c r="ONA9"/>
      <c r="ONC9"/>
      <c r="ONE9"/>
      <c r="ONG9"/>
      <c r="ONI9"/>
      <c r="ONK9"/>
      <c r="ONM9"/>
      <c r="ONO9"/>
      <c r="ONQ9"/>
      <c r="ONS9"/>
      <c r="ONU9"/>
      <c r="ONW9"/>
      <c r="ONY9"/>
      <c r="OOA9"/>
      <c r="OOC9"/>
      <c r="OOE9"/>
      <c r="OOG9"/>
      <c r="OOI9"/>
      <c r="OOK9"/>
      <c r="OOM9"/>
      <c r="OOO9"/>
      <c r="OOQ9"/>
      <c r="OOS9"/>
      <c r="OOU9"/>
      <c r="OOW9"/>
      <c r="OOY9"/>
      <c r="OPA9"/>
      <c r="OPC9"/>
      <c r="OPE9"/>
      <c r="OPG9"/>
      <c r="OPI9"/>
      <c r="OPK9"/>
      <c r="OPM9"/>
      <c r="OPO9"/>
      <c r="OPQ9"/>
      <c r="OPS9"/>
      <c r="OPU9"/>
      <c r="OPW9"/>
      <c r="OPY9"/>
      <c r="OQA9"/>
      <c r="OQC9"/>
      <c r="OQE9"/>
      <c r="OQG9"/>
      <c r="OQI9"/>
      <c r="OQK9"/>
      <c r="OQM9"/>
      <c r="OQO9"/>
      <c r="OQQ9"/>
      <c r="OQS9"/>
      <c r="OQU9"/>
      <c r="OQW9"/>
      <c r="OQY9"/>
      <c r="ORA9"/>
      <c r="ORC9"/>
      <c r="ORE9"/>
      <c r="ORG9"/>
      <c r="ORI9"/>
      <c r="ORK9"/>
      <c r="ORM9"/>
      <c r="ORO9"/>
      <c r="ORQ9"/>
      <c r="ORS9"/>
      <c r="ORU9"/>
      <c r="ORW9"/>
      <c r="ORY9"/>
      <c r="OSA9"/>
      <c r="OSC9"/>
      <c r="OSE9"/>
      <c r="OSG9"/>
      <c r="OSI9"/>
      <c r="OSK9"/>
      <c r="OSM9"/>
      <c r="OSO9"/>
      <c r="OSQ9"/>
      <c r="OSS9"/>
      <c r="OSU9"/>
      <c r="OSW9"/>
      <c r="OSY9"/>
      <c r="OTA9"/>
      <c r="OTC9"/>
      <c r="OTE9"/>
      <c r="OTG9"/>
      <c r="OTI9"/>
      <c r="OTK9"/>
      <c r="OTM9"/>
      <c r="OTO9"/>
      <c r="OTQ9"/>
      <c r="OTS9"/>
      <c r="OTU9"/>
      <c r="OTW9"/>
      <c r="OTY9"/>
      <c r="OUA9"/>
      <c r="OUC9"/>
      <c r="OUE9"/>
      <c r="OUG9"/>
      <c r="OUI9"/>
      <c r="OUK9"/>
      <c r="OUM9"/>
      <c r="OUO9"/>
      <c r="OUQ9"/>
      <c r="OUS9"/>
      <c r="OUU9"/>
      <c r="OUW9"/>
      <c r="OUY9"/>
      <c r="OVA9"/>
      <c r="OVC9"/>
      <c r="OVE9"/>
      <c r="OVG9"/>
      <c r="OVI9"/>
      <c r="OVK9"/>
      <c r="OVM9"/>
      <c r="OVO9"/>
      <c r="OVQ9"/>
      <c r="OVS9"/>
      <c r="OVU9"/>
      <c r="OVW9"/>
      <c r="OVY9"/>
      <c r="OWA9"/>
      <c r="OWC9"/>
      <c r="OWE9"/>
      <c r="OWG9"/>
      <c r="OWI9"/>
      <c r="OWK9"/>
      <c r="OWM9"/>
      <c r="OWO9"/>
      <c r="OWQ9"/>
      <c r="OWS9"/>
      <c r="OWU9"/>
      <c r="OWW9"/>
      <c r="OWY9"/>
      <c r="OXA9"/>
      <c r="OXC9"/>
      <c r="OXE9"/>
      <c r="OXG9"/>
      <c r="OXI9"/>
      <c r="OXK9"/>
      <c r="OXM9"/>
      <c r="OXO9"/>
      <c r="OXQ9"/>
      <c r="OXS9"/>
      <c r="OXU9"/>
      <c r="OXW9"/>
      <c r="OXY9"/>
      <c r="OYA9"/>
      <c r="OYC9"/>
      <c r="OYE9"/>
      <c r="OYG9"/>
      <c r="OYI9"/>
      <c r="OYK9"/>
      <c r="OYM9"/>
      <c r="OYO9"/>
      <c r="OYQ9"/>
      <c r="OYS9"/>
      <c r="OYU9"/>
      <c r="OYW9"/>
      <c r="OYY9"/>
      <c r="OZA9"/>
      <c r="OZC9"/>
      <c r="OZE9"/>
      <c r="OZG9"/>
      <c r="OZI9"/>
      <c r="OZK9"/>
      <c r="OZM9"/>
      <c r="OZO9"/>
      <c r="OZQ9"/>
      <c r="OZS9"/>
      <c r="OZU9"/>
      <c r="OZW9"/>
      <c r="OZY9"/>
      <c r="PAA9"/>
      <c r="PAC9"/>
      <c r="PAE9"/>
      <c r="PAG9"/>
      <c r="PAI9"/>
      <c r="PAK9"/>
      <c r="PAM9"/>
      <c r="PAO9"/>
      <c r="PAQ9"/>
      <c r="PAS9"/>
      <c r="PAU9"/>
      <c r="PAW9"/>
      <c r="PAY9"/>
      <c r="PBA9"/>
      <c r="PBC9"/>
      <c r="PBE9"/>
      <c r="PBG9"/>
      <c r="PBI9"/>
      <c r="PBK9"/>
      <c r="PBM9"/>
      <c r="PBO9"/>
      <c r="PBQ9"/>
      <c r="PBS9"/>
      <c r="PBU9"/>
      <c r="PBW9"/>
      <c r="PBY9"/>
      <c r="PCA9"/>
      <c r="PCC9"/>
      <c r="PCE9"/>
      <c r="PCG9"/>
      <c r="PCI9"/>
      <c r="PCK9"/>
      <c r="PCM9"/>
      <c r="PCO9"/>
      <c r="PCQ9"/>
      <c r="PCS9"/>
      <c r="PCU9"/>
      <c r="PCW9"/>
      <c r="PCY9"/>
      <c r="PDA9"/>
      <c r="PDC9"/>
      <c r="PDE9"/>
      <c r="PDG9"/>
      <c r="PDI9"/>
      <c r="PDK9"/>
      <c r="PDM9"/>
      <c r="PDO9"/>
      <c r="PDQ9"/>
      <c r="PDS9"/>
      <c r="PDU9"/>
      <c r="PDW9"/>
      <c r="PDY9"/>
      <c r="PEA9"/>
      <c r="PEC9"/>
      <c r="PEE9"/>
      <c r="PEG9"/>
      <c r="PEI9"/>
      <c r="PEK9"/>
      <c r="PEM9"/>
      <c r="PEO9"/>
      <c r="PEQ9"/>
      <c r="PES9"/>
      <c r="PEU9"/>
      <c r="PEW9"/>
      <c r="PEY9"/>
      <c r="PFA9"/>
      <c r="PFC9"/>
      <c r="PFE9"/>
      <c r="PFG9"/>
      <c r="PFI9"/>
      <c r="PFK9"/>
      <c r="PFM9"/>
      <c r="PFO9"/>
      <c r="PFQ9"/>
      <c r="PFS9"/>
      <c r="PFU9"/>
      <c r="PFW9"/>
      <c r="PFY9"/>
      <c r="PGA9"/>
      <c r="PGC9"/>
      <c r="PGE9"/>
      <c r="PGG9"/>
      <c r="PGI9"/>
      <c r="PGK9"/>
      <c r="PGM9"/>
      <c r="PGO9"/>
      <c r="PGQ9"/>
      <c r="PGS9"/>
      <c r="PGU9"/>
      <c r="PGW9"/>
      <c r="PGY9"/>
      <c r="PHA9"/>
      <c r="PHC9"/>
      <c r="PHE9"/>
      <c r="PHG9"/>
      <c r="PHI9"/>
      <c r="PHK9"/>
      <c r="PHM9"/>
      <c r="PHO9"/>
      <c r="PHQ9"/>
      <c r="PHS9"/>
      <c r="PHU9"/>
      <c r="PHW9"/>
      <c r="PHY9"/>
      <c r="PIA9"/>
      <c r="PIC9"/>
      <c r="PIE9"/>
      <c r="PIG9"/>
      <c r="PII9"/>
      <c r="PIK9"/>
      <c r="PIM9"/>
      <c r="PIO9"/>
      <c r="PIQ9"/>
      <c r="PIS9"/>
      <c r="PIU9"/>
      <c r="PIW9"/>
      <c r="PIY9"/>
      <c r="PJA9"/>
      <c r="PJC9"/>
      <c r="PJE9"/>
      <c r="PJG9"/>
      <c r="PJI9"/>
      <c r="PJK9"/>
      <c r="PJM9"/>
      <c r="PJO9"/>
      <c r="PJQ9"/>
      <c r="PJS9"/>
      <c r="PJU9"/>
      <c r="PJW9"/>
      <c r="PJY9"/>
      <c r="PKA9"/>
      <c r="PKC9"/>
      <c r="PKE9"/>
      <c r="PKG9"/>
      <c r="PKI9"/>
      <c r="PKK9"/>
      <c r="PKM9"/>
      <c r="PKO9"/>
      <c r="PKQ9"/>
      <c r="PKS9"/>
      <c r="PKU9"/>
      <c r="PKW9"/>
      <c r="PKY9"/>
      <c r="PLA9"/>
      <c r="PLC9"/>
      <c r="PLE9"/>
      <c r="PLG9"/>
      <c r="PLI9"/>
      <c r="PLK9"/>
      <c r="PLM9"/>
      <c r="PLO9"/>
      <c r="PLQ9"/>
      <c r="PLS9"/>
      <c r="PLU9"/>
      <c r="PLW9"/>
      <c r="PLY9"/>
      <c r="PMA9"/>
      <c r="PMC9"/>
      <c r="PME9"/>
      <c r="PMG9"/>
      <c r="PMI9"/>
      <c r="PMK9"/>
      <c r="PMM9"/>
      <c r="PMO9"/>
      <c r="PMQ9"/>
      <c r="PMS9"/>
      <c r="PMU9"/>
      <c r="PMW9"/>
      <c r="PMY9"/>
      <c r="PNA9"/>
      <c r="PNC9"/>
      <c r="PNE9"/>
      <c r="PNG9"/>
      <c r="PNI9"/>
      <c r="PNK9"/>
      <c r="PNM9"/>
      <c r="PNO9"/>
      <c r="PNQ9"/>
      <c r="PNS9"/>
      <c r="PNU9"/>
      <c r="PNW9"/>
      <c r="PNY9"/>
      <c r="POA9"/>
      <c r="POC9"/>
      <c r="POE9"/>
      <c r="POG9"/>
      <c r="POI9"/>
      <c r="POK9"/>
      <c r="POM9"/>
      <c r="POO9"/>
      <c r="POQ9"/>
      <c r="POS9"/>
      <c r="POU9"/>
      <c r="POW9"/>
      <c r="POY9"/>
      <c r="PPA9"/>
      <c r="PPC9"/>
      <c r="PPE9"/>
      <c r="PPG9"/>
      <c r="PPI9"/>
      <c r="PPK9"/>
      <c r="PPM9"/>
      <c r="PPO9"/>
      <c r="PPQ9"/>
      <c r="PPS9"/>
      <c r="PPU9"/>
      <c r="PPW9"/>
      <c r="PPY9"/>
      <c r="PQA9"/>
      <c r="PQC9"/>
      <c r="PQE9"/>
      <c r="PQG9"/>
      <c r="PQI9"/>
      <c r="PQK9"/>
      <c r="PQM9"/>
      <c r="PQO9"/>
      <c r="PQQ9"/>
      <c r="PQS9"/>
      <c r="PQU9"/>
      <c r="PQW9"/>
      <c r="PQY9"/>
      <c r="PRA9"/>
      <c r="PRC9"/>
      <c r="PRE9"/>
      <c r="PRG9"/>
      <c r="PRI9"/>
      <c r="PRK9"/>
      <c r="PRM9"/>
      <c r="PRO9"/>
      <c r="PRQ9"/>
      <c r="PRS9"/>
      <c r="PRU9"/>
      <c r="PRW9"/>
      <c r="PRY9"/>
      <c r="PSA9"/>
      <c r="PSC9"/>
      <c r="PSE9"/>
      <c r="PSG9"/>
      <c r="PSI9"/>
      <c r="PSK9"/>
      <c r="PSM9"/>
      <c r="PSO9"/>
      <c r="PSQ9"/>
      <c r="PSS9"/>
      <c r="PSU9"/>
      <c r="PSW9"/>
      <c r="PSY9"/>
      <c r="PTA9"/>
      <c r="PTC9"/>
      <c r="PTE9"/>
      <c r="PTG9"/>
      <c r="PTI9"/>
      <c r="PTK9"/>
      <c r="PTM9"/>
      <c r="PTO9"/>
      <c r="PTQ9"/>
      <c r="PTS9"/>
      <c r="PTU9"/>
      <c r="PTW9"/>
      <c r="PTY9"/>
      <c r="PUA9"/>
      <c r="PUC9"/>
      <c r="PUE9"/>
      <c r="PUG9"/>
      <c r="PUI9"/>
      <c r="PUK9"/>
      <c r="PUM9"/>
      <c r="PUO9"/>
      <c r="PUQ9"/>
      <c r="PUS9"/>
      <c r="PUU9"/>
      <c r="PUW9"/>
      <c r="PUY9"/>
      <c r="PVA9"/>
      <c r="PVC9"/>
      <c r="PVE9"/>
      <c r="PVG9"/>
      <c r="PVI9"/>
      <c r="PVK9"/>
      <c r="PVM9"/>
      <c r="PVO9"/>
      <c r="PVQ9"/>
      <c r="PVS9"/>
      <c r="PVU9"/>
      <c r="PVW9"/>
      <c r="PVY9"/>
      <c r="PWA9"/>
      <c r="PWC9"/>
      <c r="PWE9"/>
      <c r="PWG9"/>
      <c r="PWI9"/>
      <c r="PWK9"/>
      <c r="PWM9"/>
      <c r="PWO9"/>
      <c r="PWQ9"/>
      <c r="PWS9"/>
      <c r="PWU9"/>
      <c r="PWW9"/>
      <c r="PWY9"/>
      <c r="PXA9"/>
      <c r="PXC9"/>
      <c r="PXE9"/>
      <c r="PXG9"/>
      <c r="PXI9"/>
      <c r="PXK9"/>
      <c r="PXM9"/>
      <c r="PXO9"/>
      <c r="PXQ9"/>
      <c r="PXS9"/>
      <c r="PXU9"/>
      <c r="PXW9"/>
      <c r="PXY9"/>
      <c r="PYA9"/>
      <c r="PYC9"/>
      <c r="PYE9"/>
      <c r="PYG9"/>
      <c r="PYI9"/>
      <c r="PYK9"/>
      <c r="PYM9"/>
      <c r="PYO9"/>
      <c r="PYQ9"/>
      <c r="PYS9"/>
      <c r="PYU9"/>
      <c r="PYW9"/>
      <c r="PYY9"/>
      <c r="PZA9"/>
      <c r="PZC9"/>
      <c r="PZE9"/>
      <c r="PZG9"/>
      <c r="PZI9"/>
      <c r="PZK9"/>
      <c r="PZM9"/>
      <c r="PZO9"/>
      <c r="PZQ9"/>
      <c r="PZS9"/>
      <c r="PZU9"/>
      <c r="PZW9"/>
      <c r="PZY9"/>
      <c r="QAA9"/>
      <c r="QAC9"/>
      <c r="QAE9"/>
      <c r="QAG9"/>
      <c r="QAI9"/>
      <c r="QAK9"/>
      <c r="QAM9"/>
      <c r="QAO9"/>
      <c r="QAQ9"/>
      <c r="QAS9"/>
      <c r="QAU9"/>
      <c r="QAW9"/>
      <c r="QAY9"/>
      <c r="QBA9"/>
      <c r="QBC9"/>
      <c r="QBE9"/>
      <c r="QBG9"/>
      <c r="QBI9"/>
      <c r="QBK9"/>
      <c r="QBM9"/>
      <c r="QBO9"/>
      <c r="QBQ9"/>
      <c r="QBS9"/>
      <c r="QBU9"/>
      <c r="QBW9"/>
      <c r="QBY9"/>
      <c r="QCA9"/>
      <c r="QCC9"/>
      <c r="QCE9"/>
      <c r="QCG9"/>
      <c r="QCI9"/>
      <c r="QCK9"/>
      <c r="QCM9"/>
      <c r="QCO9"/>
      <c r="QCQ9"/>
      <c r="QCS9"/>
      <c r="QCU9"/>
      <c r="QCW9"/>
      <c r="QCY9"/>
      <c r="QDA9"/>
      <c r="QDC9"/>
      <c r="QDE9"/>
      <c r="QDG9"/>
      <c r="QDI9"/>
      <c r="QDK9"/>
      <c r="QDM9"/>
      <c r="QDO9"/>
      <c r="QDQ9"/>
      <c r="QDS9"/>
      <c r="QDU9"/>
      <c r="QDW9"/>
      <c r="QDY9"/>
      <c r="QEA9"/>
      <c r="QEC9"/>
      <c r="QEE9"/>
      <c r="QEG9"/>
      <c r="QEI9"/>
      <c r="QEK9"/>
      <c r="QEM9"/>
      <c r="QEO9"/>
      <c r="QEQ9"/>
      <c r="QES9"/>
      <c r="QEU9"/>
      <c r="QEW9"/>
      <c r="QEY9"/>
      <c r="QFA9"/>
      <c r="QFC9"/>
      <c r="QFE9"/>
      <c r="QFG9"/>
      <c r="QFI9"/>
      <c r="QFK9"/>
      <c r="QFM9"/>
      <c r="QFO9"/>
      <c r="QFQ9"/>
      <c r="QFS9"/>
      <c r="QFU9"/>
      <c r="QFW9"/>
      <c r="QFY9"/>
      <c r="QGA9"/>
      <c r="QGC9"/>
      <c r="QGE9"/>
      <c r="QGG9"/>
      <c r="QGI9"/>
      <c r="QGK9"/>
      <c r="QGM9"/>
      <c r="QGO9"/>
      <c r="QGQ9"/>
      <c r="QGS9"/>
      <c r="QGU9"/>
      <c r="QGW9"/>
      <c r="QGY9"/>
      <c r="QHA9"/>
      <c r="QHC9"/>
      <c r="QHE9"/>
      <c r="QHG9"/>
      <c r="QHI9"/>
      <c r="QHK9"/>
      <c r="QHM9"/>
      <c r="QHO9"/>
      <c r="QHQ9"/>
      <c r="QHS9"/>
      <c r="QHU9"/>
      <c r="QHW9"/>
      <c r="QHY9"/>
      <c r="QIA9"/>
      <c r="QIC9"/>
      <c r="QIE9"/>
      <c r="QIG9"/>
      <c r="QII9"/>
      <c r="QIK9"/>
      <c r="QIM9"/>
      <c r="QIO9"/>
      <c r="QIQ9"/>
      <c r="QIS9"/>
      <c r="QIU9"/>
      <c r="QIW9"/>
      <c r="QIY9"/>
      <c r="QJA9"/>
      <c r="QJC9"/>
      <c r="QJE9"/>
      <c r="QJG9"/>
      <c r="QJI9"/>
      <c r="QJK9"/>
      <c r="QJM9"/>
      <c r="QJO9"/>
      <c r="QJQ9"/>
      <c r="QJS9"/>
      <c r="QJU9"/>
      <c r="QJW9"/>
      <c r="QJY9"/>
      <c r="QKA9"/>
      <c r="QKC9"/>
      <c r="QKE9"/>
      <c r="QKG9"/>
      <c r="QKI9"/>
      <c r="QKK9"/>
      <c r="QKM9"/>
      <c r="QKO9"/>
      <c r="QKQ9"/>
      <c r="QKS9"/>
      <c r="QKU9"/>
      <c r="QKW9"/>
      <c r="QKY9"/>
      <c r="QLA9"/>
      <c r="QLC9"/>
      <c r="QLE9"/>
      <c r="QLG9"/>
      <c r="QLI9"/>
      <c r="QLK9"/>
      <c r="QLM9"/>
      <c r="QLO9"/>
      <c r="QLQ9"/>
      <c r="QLS9"/>
      <c r="QLU9"/>
      <c r="QLW9"/>
      <c r="QLY9"/>
      <c r="QMA9"/>
      <c r="QMC9"/>
      <c r="QME9"/>
      <c r="QMG9"/>
      <c r="QMI9"/>
      <c r="QMK9"/>
      <c r="QMM9"/>
      <c r="QMO9"/>
      <c r="QMQ9"/>
      <c r="QMS9"/>
      <c r="QMU9"/>
      <c r="QMW9"/>
      <c r="QMY9"/>
      <c r="QNA9"/>
      <c r="QNC9"/>
      <c r="QNE9"/>
      <c r="QNG9"/>
      <c r="QNI9"/>
      <c r="QNK9"/>
      <c r="QNM9"/>
      <c r="QNO9"/>
      <c r="QNQ9"/>
      <c r="QNS9"/>
      <c r="QNU9"/>
      <c r="QNW9"/>
      <c r="QNY9"/>
      <c r="QOA9"/>
      <c r="QOC9"/>
      <c r="QOE9"/>
      <c r="QOG9"/>
      <c r="QOI9"/>
      <c r="QOK9"/>
      <c r="QOM9"/>
      <c r="QOO9"/>
      <c r="QOQ9"/>
      <c r="QOS9"/>
      <c r="QOU9"/>
      <c r="QOW9"/>
      <c r="QOY9"/>
      <c r="QPA9"/>
      <c r="QPC9"/>
      <c r="QPE9"/>
      <c r="QPG9"/>
      <c r="QPI9"/>
      <c r="QPK9"/>
      <c r="QPM9"/>
      <c r="QPO9"/>
      <c r="QPQ9"/>
      <c r="QPS9"/>
      <c r="QPU9"/>
      <c r="QPW9"/>
      <c r="QPY9"/>
      <c r="QQA9"/>
      <c r="QQC9"/>
      <c r="QQE9"/>
      <c r="QQG9"/>
      <c r="QQI9"/>
      <c r="QQK9"/>
      <c r="QQM9"/>
      <c r="QQO9"/>
      <c r="QQQ9"/>
      <c r="QQS9"/>
      <c r="QQU9"/>
      <c r="QQW9"/>
      <c r="QQY9"/>
      <c r="QRA9"/>
      <c r="QRC9"/>
      <c r="QRE9"/>
      <c r="QRG9"/>
      <c r="QRI9"/>
      <c r="QRK9"/>
      <c r="QRM9"/>
      <c r="QRO9"/>
      <c r="QRQ9"/>
      <c r="QRS9"/>
      <c r="QRU9"/>
      <c r="QRW9"/>
      <c r="QRY9"/>
      <c r="QSA9"/>
      <c r="QSC9"/>
      <c r="QSE9"/>
      <c r="QSG9"/>
      <c r="QSI9"/>
      <c r="QSK9"/>
      <c r="QSM9"/>
      <c r="QSO9"/>
      <c r="QSQ9"/>
      <c r="QSS9"/>
      <c r="QSU9"/>
      <c r="QSW9"/>
      <c r="QSY9"/>
      <c r="QTA9"/>
      <c r="QTC9"/>
      <c r="QTE9"/>
      <c r="QTG9"/>
      <c r="QTI9"/>
      <c r="QTK9"/>
      <c r="QTM9"/>
      <c r="QTO9"/>
      <c r="QTQ9"/>
      <c r="QTS9"/>
      <c r="QTU9"/>
      <c r="QTW9"/>
      <c r="QTY9"/>
      <c r="QUA9"/>
      <c r="QUC9"/>
      <c r="QUE9"/>
      <c r="QUG9"/>
      <c r="QUI9"/>
      <c r="QUK9"/>
      <c r="QUM9"/>
      <c r="QUO9"/>
      <c r="QUQ9"/>
      <c r="QUS9"/>
      <c r="QUU9"/>
      <c r="QUW9"/>
      <c r="QUY9"/>
      <c r="QVA9"/>
      <c r="QVC9"/>
      <c r="QVE9"/>
      <c r="QVG9"/>
      <c r="QVI9"/>
      <c r="QVK9"/>
      <c r="QVM9"/>
      <c r="QVO9"/>
      <c r="QVQ9"/>
      <c r="QVS9"/>
      <c r="QVU9"/>
      <c r="QVW9"/>
      <c r="QVY9"/>
      <c r="QWA9"/>
      <c r="QWC9"/>
      <c r="QWE9"/>
      <c r="QWG9"/>
      <c r="QWI9"/>
      <c r="QWK9"/>
      <c r="QWM9"/>
      <c r="QWO9"/>
      <c r="QWQ9"/>
      <c r="QWS9"/>
      <c r="QWU9"/>
      <c r="QWW9"/>
      <c r="QWY9"/>
      <c r="QXA9"/>
      <c r="QXC9"/>
      <c r="QXE9"/>
      <c r="QXG9"/>
      <c r="QXI9"/>
      <c r="QXK9"/>
      <c r="QXM9"/>
      <c r="QXO9"/>
      <c r="QXQ9"/>
      <c r="QXS9"/>
      <c r="QXU9"/>
      <c r="QXW9"/>
      <c r="QXY9"/>
      <c r="QYA9"/>
      <c r="QYC9"/>
      <c r="QYE9"/>
      <c r="QYG9"/>
      <c r="QYI9"/>
      <c r="QYK9"/>
      <c r="QYM9"/>
      <c r="QYO9"/>
      <c r="QYQ9"/>
      <c r="QYS9"/>
      <c r="QYU9"/>
      <c r="QYW9"/>
      <c r="QYY9"/>
      <c r="QZA9"/>
      <c r="QZC9"/>
      <c r="QZE9"/>
      <c r="QZG9"/>
      <c r="QZI9"/>
      <c r="QZK9"/>
      <c r="QZM9"/>
      <c r="QZO9"/>
      <c r="QZQ9"/>
      <c r="QZS9"/>
      <c r="QZU9"/>
      <c r="QZW9"/>
      <c r="QZY9"/>
      <c r="RAA9"/>
      <c r="RAC9"/>
      <c r="RAE9"/>
      <c r="RAG9"/>
      <c r="RAI9"/>
      <c r="RAK9"/>
      <c r="RAM9"/>
      <c r="RAO9"/>
      <c r="RAQ9"/>
      <c r="RAS9"/>
      <c r="RAU9"/>
      <c r="RAW9"/>
      <c r="RAY9"/>
      <c r="RBA9"/>
      <c r="RBC9"/>
      <c r="RBE9"/>
      <c r="RBG9"/>
      <c r="RBI9"/>
      <c r="RBK9"/>
      <c r="RBM9"/>
      <c r="RBO9"/>
      <c r="RBQ9"/>
      <c r="RBS9"/>
      <c r="RBU9"/>
      <c r="RBW9"/>
      <c r="RBY9"/>
      <c r="RCA9"/>
      <c r="RCC9"/>
      <c r="RCE9"/>
      <c r="RCG9"/>
      <c r="RCI9"/>
      <c r="RCK9"/>
      <c r="RCM9"/>
      <c r="RCO9"/>
      <c r="RCQ9"/>
      <c r="RCS9"/>
      <c r="RCU9"/>
      <c r="RCW9"/>
      <c r="RCY9"/>
      <c r="RDA9"/>
      <c r="RDC9"/>
      <c r="RDE9"/>
      <c r="RDG9"/>
      <c r="RDI9"/>
      <c r="RDK9"/>
      <c r="RDM9"/>
      <c r="RDO9"/>
      <c r="RDQ9"/>
      <c r="RDS9"/>
      <c r="RDU9"/>
      <c r="RDW9"/>
      <c r="RDY9"/>
      <c r="REA9"/>
      <c r="REC9"/>
      <c r="REE9"/>
      <c r="REG9"/>
      <c r="REI9"/>
      <c r="REK9"/>
      <c r="REM9"/>
      <c r="REO9"/>
      <c r="REQ9"/>
      <c r="RES9"/>
      <c r="REU9"/>
      <c r="REW9"/>
      <c r="REY9"/>
      <c r="RFA9"/>
      <c r="RFC9"/>
      <c r="RFE9"/>
      <c r="RFG9"/>
      <c r="RFI9"/>
      <c r="RFK9"/>
      <c r="RFM9"/>
      <c r="RFO9"/>
      <c r="RFQ9"/>
      <c r="RFS9"/>
      <c r="RFU9"/>
      <c r="RFW9"/>
      <c r="RFY9"/>
      <c r="RGA9"/>
      <c r="RGC9"/>
      <c r="RGE9"/>
      <c r="RGG9"/>
      <c r="RGI9"/>
      <c r="RGK9"/>
      <c r="RGM9"/>
      <c r="RGO9"/>
      <c r="RGQ9"/>
      <c r="RGS9"/>
      <c r="RGU9"/>
      <c r="RGW9"/>
      <c r="RGY9"/>
      <c r="RHA9"/>
      <c r="RHC9"/>
      <c r="RHE9"/>
      <c r="RHG9"/>
      <c r="RHI9"/>
      <c r="RHK9"/>
      <c r="RHM9"/>
      <c r="RHO9"/>
      <c r="RHQ9"/>
      <c r="RHS9"/>
      <c r="RHU9"/>
      <c r="RHW9"/>
      <c r="RHY9"/>
      <c r="RIA9"/>
      <c r="RIC9"/>
      <c r="RIE9"/>
      <c r="RIG9"/>
      <c r="RII9"/>
      <c r="RIK9"/>
      <c r="RIM9"/>
      <c r="RIO9"/>
      <c r="RIQ9"/>
      <c r="RIS9"/>
      <c r="RIU9"/>
      <c r="RIW9"/>
      <c r="RIY9"/>
      <c r="RJA9"/>
      <c r="RJC9"/>
      <c r="RJE9"/>
      <c r="RJG9"/>
      <c r="RJI9"/>
      <c r="RJK9"/>
      <c r="RJM9"/>
      <c r="RJO9"/>
      <c r="RJQ9"/>
      <c r="RJS9"/>
      <c r="RJU9"/>
      <c r="RJW9"/>
      <c r="RJY9"/>
      <c r="RKA9"/>
      <c r="RKC9"/>
      <c r="RKE9"/>
      <c r="RKG9"/>
      <c r="RKI9"/>
      <c r="RKK9"/>
      <c r="RKM9"/>
      <c r="RKO9"/>
      <c r="RKQ9"/>
      <c r="RKS9"/>
      <c r="RKU9"/>
      <c r="RKW9"/>
      <c r="RKY9"/>
      <c r="RLA9"/>
      <c r="RLC9"/>
      <c r="RLE9"/>
      <c r="RLG9"/>
      <c r="RLI9"/>
      <c r="RLK9"/>
      <c r="RLM9"/>
      <c r="RLO9"/>
      <c r="RLQ9"/>
      <c r="RLS9"/>
      <c r="RLU9"/>
      <c r="RLW9"/>
      <c r="RLY9"/>
      <c r="RMA9"/>
      <c r="RMC9"/>
      <c r="RME9"/>
      <c r="RMG9"/>
      <c r="RMI9"/>
      <c r="RMK9"/>
      <c r="RMM9"/>
      <c r="RMO9"/>
      <c r="RMQ9"/>
      <c r="RMS9"/>
      <c r="RMU9"/>
      <c r="RMW9"/>
      <c r="RMY9"/>
      <c r="RNA9"/>
      <c r="RNC9"/>
      <c r="RNE9"/>
      <c r="RNG9"/>
      <c r="RNI9"/>
      <c r="RNK9"/>
      <c r="RNM9"/>
      <c r="RNO9"/>
      <c r="RNQ9"/>
      <c r="RNS9"/>
      <c r="RNU9"/>
      <c r="RNW9"/>
      <c r="RNY9"/>
      <c r="ROA9"/>
      <c r="ROC9"/>
      <c r="ROE9"/>
      <c r="ROG9"/>
      <c r="ROI9"/>
      <c r="ROK9"/>
      <c r="ROM9"/>
      <c r="ROO9"/>
      <c r="ROQ9"/>
      <c r="ROS9"/>
      <c r="ROU9"/>
      <c r="ROW9"/>
      <c r="ROY9"/>
      <c r="RPA9"/>
      <c r="RPC9"/>
      <c r="RPE9"/>
      <c r="RPG9"/>
      <c r="RPI9"/>
      <c r="RPK9"/>
      <c r="RPM9"/>
      <c r="RPO9"/>
      <c r="RPQ9"/>
      <c r="RPS9"/>
      <c r="RPU9"/>
      <c r="RPW9"/>
      <c r="RPY9"/>
      <c r="RQA9"/>
      <c r="RQC9"/>
      <c r="RQE9"/>
      <c r="RQG9"/>
      <c r="RQI9"/>
      <c r="RQK9"/>
      <c r="RQM9"/>
      <c r="RQO9"/>
      <c r="RQQ9"/>
      <c r="RQS9"/>
      <c r="RQU9"/>
      <c r="RQW9"/>
      <c r="RQY9"/>
      <c r="RRA9"/>
      <c r="RRC9"/>
      <c r="RRE9"/>
      <c r="RRG9"/>
      <c r="RRI9"/>
      <c r="RRK9"/>
      <c r="RRM9"/>
      <c r="RRO9"/>
      <c r="RRQ9"/>
      <c r="RRS9"/>
      <c r="RRU9"/>
      <c r="RRW9"/>
      <c r="RRY9"/>
      <c r="RSA9"/>
      <c r="RSC9"/>
      <c r="RSE9"/>
      <c r="RSG9"/>
      <c r="RSI9"/>
      <c r="RSK9"/>
      <c r="RSM9"/>
      <c r="RSO9"/>
      <c r="RSQ9"/>
      <c r="RSS9"/>
      <c r="RSU9"/>
      <c r="RSW9"/>
      <c r="RSY9"/>
      <c r="RTA9"/>
      <c r="RTC9"/>
      <c r="RTE9"/>
      <c r="RTG9"/>
      <c r="RTI9"/>
      <c r="RTK9"/>
      <c r="RTM9"/>
      <c r="RTO9"/>
      <c r="RTQ9"/>
      <c r="RTS9"/>
      <c r="RTU9"/>
      <c r="RTW9"/>
      <c r="RTY9"/>
      <c r="RUA9"/>
      <c r="RUC9"/>
      <c r="RUE9"/>
      <c r="RUG9"/>
      <c r="RUI9"/>
      <c r="RUK9"/>
      <c r="RUM9"/>
      <c r="RUO9"/>
      <c r="RUQ9"/>
      <c r="RUS9"/>
      <c r="RUU9"/>
      <c r="RUW9"/>
      <c r="RUY9"/>
      <c r="RVA9"/>
      <c r="RVC9"/>
      <c r="RVE9"/>
      <c r="RVG9"/>
      <c r="RVI9"/>
      <c r="RVK9"/>
      <c r="RVM9"/>
      <c r="RVO9"/>
      <c r="RVQ9"/>
      <c r="RVS9"/>
      <c r="RVU9"/>
      <c r="RVW9"/>
      <c r="RVY9"/>
      <c r="RWA9"/>
      <c r="RWC9"/>
      <c r="RWE9"/>
      <c r="RWG9"/>
      <c r="RWI9"/>
      <c r="RWK9"/>
      <c r="RWM9"/>
      <c r="RWO9"/>
      <c r="RWQ9"/>
      <c r="RWS9"/>
      <c r="RWU9"/>
      <c r="RWW9"/>
      <c r="RWY9"/>
      <c r="RXA9"/>
      <c r="RXC9"/>
      <c r="RXE9"/>
      <c r="RXG9"/>
      <c r="RXI9"/>
      <c r="RXK9"/>
      <c r="RXM9"/>
      <c r="RXO9"/>
      <c r="RXQ9"/>
      <c r="RXS9"/>
      <c r="RXU9"/>
      <c r="RXW9"/>
      <c r="RXY9"/>
      <c r="RYA9"/>
      <c r="RYC9"/>
      <c r="RYE9"/>
      <c r="RYG9"/>
      <c r="RYI9"/>
      <c r="RYK9"/>
      <c r="RYM9"/>
      <c r="RYO9"/>
      <c r="RYQ9"/>
      <c r="RYS9"/>
      <c r="RYU9"/>
      <c r="RYW9"/>
      <c r="RYY9"/>
      <c r="RZA9"/>
      <c r="RZC9"/>
      <c r="RZE9"/>
      <c r="RZG9"/>
      <c r="RZI9"/>
      <c r="RZK9"/>
      <c r="RZM9"/>
      <c r="RZO9"/>
      <c r="RZQ9"/>
      <c r="RZS9"/>
      <c r="RZU9"/>
      <c r="RZW9"/>
      <c r="RZY9"/>
      <c r="SAA9"/>
      <c r="SAC9"/>
      <c r="SAE9"/>
      <c r="SAG9"/>
      <c r="SAI9"/>
      <c r="SAK9"/>
      <c r="SAM9"/>
      <c r="SAO9"/>
      <c r="SAQ9"/>
      <c r="SAS9"/>
      <c r="SAU9"/>
      <c r="SAW9"/>
      <c r="SAY9"/>
      <c r="SBA9"/>
      <c r="SBC9"/>
      <c r="SBE9"/>
      <c r="SBG9"/>
      <c r="SBI9"/>
      <c r="SBK9"/>
      <c r="SBM9"/>
      <c r="SBO9"/>
      <c r="SBQ9"/>
      <c r="SBS9"/>
      <c r="SBU9"/>
      <c r="SBW9"/>
      <c r="SBY9"/>
      <c r="SCA9"/>
      <c r="SCC9"/>
      <c r="SCE9"/>
      <c r="SCG9"/>
      <c r="SCI9"/>
      <c r="SCK9"/>
      <c r="SCM9"/>
      <c r="SCO9"/>
      <c r="SCQ9"/>
      <c r="SCS9"/>
      <c r="SCU9"/>
      <c r="SCW9"/>
      <c r="SCY9"/>
      <c r="SDA9"/>
      <c r="SDC9"/>
      <c r="SDE9"/>
      <c r="SDG9"/>
      <c r="SDI9"/>
      <c r="SDK9"/>
      <c r="SDM9"/>
      <c r="SDO9"/>
      <c r="SDQ9"/>
      <c r="SDS9"/>
      <c r="SDU9"/>
      <c r="SDW9"/>
      <c r="SDY9"/>
      <c r="SEA9"/>
      <c r="SEC9"/>
      <c r="SEE9"/>
      <c r="SEG9"/>
      <c r="SEI9"/>
      <c r="SEK9"/>
      <c r="SEM9"/>
      <c r="SEO9"/>
      <c r="SEQ9"/>
      <c r="SES9"/>
      <c r="SEU9"/>
      <c r="SEW9"/>
      <c r="SEY9"/>
      <c r="SFA9"/>
      <c r="SFC9"/>
      <c r="SFE9"/>
      <c r="SFG9"/>
      <c r="SFI9"/>
      <c r="SFK9"/>
      <c r="SFM9"/>
      <c r="SFO9"/>
      <c r="SFQ9"/>
      <c r="SFS9"/>
      <c r="SFU9"/>
      <c r="SFW9"/>
      <c r="SFY9"/>
      <c r="SGA9"/>
      <c r="SGC9"/>
      <c r="SGE9"/>
      <c r="SGG9"/>
      <c r="SGI9"/>
      <c r="SGK9"/>
      <c r="SGM9"/>
      <c r="SGO9"/>
      <c r="SGQ9"/>
      <c r="SGS9"/>
      <c r="SGU9"/>
      <c r="SGW9"/>
      <c r="SGY9"/>
      <c r="SHA9"/>
      <c r="SHC9"/>
      <c r="SHE9"/>
      <c r="SHG9"/>
      <c r="SHI9"/>
      <c r="SHK9"/>
      <c r="SHM9"/>
      <c r="SHO9"/>
      <c r="SHQ9"/>
      <c r="SHS9"/>
      <c r="SHU9"/>
      <c r="SHW9"/>
      <c r="SHY9"/>
      <c r="SIA9"/>
      <c r="SIC9"/>
      <c r="SIE9"/>
      <c r="SIG9"/>
      <c r="SII9"/>
      <c r="SIK9"/>
      <c r="SIM9"/>
      <c r="SIO9"/>
      <c r="SIQ9"/>
      <c r="SIS9"/>
      <c r="SIU9"/>
      <c r="SIW9"/>
      <c r="SIY9"/>
      <c r="SJA9"/>
      <c r="SJC9"/>
      <c r="SJE9"/>
      <c r="SJG9"/>
      <c r="SJI9"/>
      <c r="SJK9"/>
      <c r="SJM9"/>
      <c r="SJO9"/>
      <c r="SJQ9"/>
      <c r="SJS9"/>
      <c r="SJU9"/>
      <c r="SJW9"/>
      <c r="SJY9"/>
      <c r="SKA9"/>
      <c r="SKC9"/>
      <c r="SKE9"/>
      <c r="SKG9"/>
      <c r="SKI9"/>
      <c r="SKK9"/>
      <c r="SKM9"/>
      <c r="SKO9"/>
      <c r="SKQ9"/>
      <c r="SKS9"/>
      <c r="SKU9"/>
      <c r="SKW9"/>
      <c r="SKY9"/>
      <c r="SLA9"/>
      <c r="SLC9"/>
      <c r="SLE9"/>
      <c r="SLG9"/>
      <c r="SLI9"/>
      <c r="SLK9"/>
      <c r="SLM9"/>
      <c r="SLO9"/>
      <c r="SLQ9"/>
      <c r="SLS9"/>
      <c r="SLU9"/>
      <c r="SLW9"/>
      <c r="SLY9"/>
      <c r="SMA9"/>
      <c r="SMC9"/>
      <c r="SME9"/>
      <c r="SMG9"/>
      <c r="SMI9"/>
      <c r="SMK9"/>
      <c r="SMM9"/>
      <c r="SMO9"/>
      <c r="SMQ9"/>
      <c r="SMS9"/>
      <c r="SMU9"/>
      <c r="SMW9"/>
      <c r="SMY9"/>
      <c r="SNA9"/>
      <c r="SNC9"/>
      <c r="SNE9"/>
      <c r="SNG9"/>
      <c r="SNI9"/>
      <c r="SNK9"/>
      <c r="SNM9"/>
      <c r="SNO9"/>
      <c r="SNQ9"/>
      <c r="SNS9"/>
      <c r="SNU9"/>
      <c r="SNW9"/>
      <c r="SNY9"/>
      <c r="SOA9"/>
      <c r="SOC9"/>
      <c r="SOE9"/>
      <c r="SOG9"/>
      <c r="SOI9"/>
      <c r="SOK9"/>
      <c r="SOM9"/>
      <c r="SOO9"/>
      <c r="SOQ9"/>
      <c r="SOS9"/>
      <c r="SOU9"/>
      <c r="SOW9"/>
      <c r="SOY9"/>
      <c r="SPA9"/>
      <c r="SPC9"/>
      <c r="SPE9"/>
      <c r="SPG9"/>
      <c r="SPI9"/>
      <c r="SPK9"/>
      <c r="SPM9"/>
      <c r="SPO9"/>
      <c r="SPQ9"/>
      <c r="SPS9"/>
      <c r="SPU9"/>
      <c r="SPW9"/>
      <c r="SPY9"/>
      <c r="SQA9"/>
      <c r="SQC9"/>
      <c r="SQE9"/>
      <c r="SQG9"/>
      <c r="SQI9"/>
      <c r="SQK9"/>
      <c r="SQM9"/>
      <c r="SQO9"/>
      <c r="SQQ9"/>
      <c r="SQS9"/>
      <c r="SQU9"/>
      <c r="SQW9"/>
      <c r="SQY9"/>
      <c r="SRA9"/>
      <c r="SRC9"/>
      <c r="SRE9"/>
      <c r="SRG9"/>
      <c r="SRI9"/>
      <c r="SRK9"/>
      <c r="SRM9"/>
      <c r="SRO9"/>
      <c r="SRQ9"/>
      <c r="SRS9"/>
      <c r="SRU9"/>
      <c r="SRW9"/>
      <c r="SRY9"/>
      <c r="SSA9"/>
      <c r="SSC9"/>
      <c r="SSE9"/>
      <c r="SSG9"/>
      <c r="SSI9"/>
      <c r="SSK9"/>
      <c r="SSM9"/>
      <c r="SSO9"/>
      <c r="SSQ9"/>
      <c r="SSS9"/>
      <c r="SSU9"/>
      <c r="SSW9"/>
      <c r="SSY9"/>
      <c r="STA9"/>
      <c r="STC9"/>
      <c r="STE9"/>
      <c r="STG9"/>
      <c r="STI9"/>
      <c r="STK9"/>
      <c r="STM9"/>
      <c r="STO9"/>
      <c r="STQ9"/>
      <c r="STS9"/>
      <c r="STU9"/>
      <c r="STW9"/>
      <c r="STY9"/>
      <c r="SUA9"/>
      <c r="SUC9"/>
      <c r="SUE9"/>
      <c r="SUG9"/>
      <c r="SUI9"/>
      <c r="SUK9"/>
      <c r="SUM9"/>
      <c r="SUO9"/>
      <c r="SUQ9"/>
      <c r="SUS9"/>
      <c r="SUU9"/>
      <c r="SUW9"/>
      <c r="SUY9"/>
      <c r="SVA9"/>
      <c r="SVC9"/>
      <c r="SVE9"/>
      <c r="SVG9"/>
      <c r="SVI9"/>
      <c r="SVK9"/>
      <c r="SVM9"/>
      <c r="SVO9"/>
      <c r="SVQ9"/>
      <c r="SVS9"/>
      <c r="SVU9"/>
      <c r="SVW9"/>
      <c r="SVY9"/>
      <c r="SWA9"/>
      <c r="SWC9"/>
      <c r="SWE9"/>
      <c r="SWG9"/>
      <c r="SWI9"/>
      <c r="SWK9"/>
      <c r="SWM9"/>
      <c r="SWO9"/>
      <c r="SWQ9"/>
      <c r="SWS9"/>
      <c r="SWU9"/>
      <c r="SWW9"/>
      <c r="SWY9"/>
      <c r="SXA9"/>
      <c r="SXC9"/>
      <c r="SXE9"/>
      <c r="SXG9"/>
      <c r="SXI9"/>
      <c r="SXK9"/>
      <c r="SXM9"/>
      <c r="SXO9"/>
      <c r="SXQ9"/>
      <c r="SXS9"/>
      <c r="SXU9"/>
      <c r="SXW9"/>
      <c r="SXY9"/>
      <c r="SYA9"/>
      <c r="SYC9"/>
      <c r="SYE9"/>
      <c r="SYG9"/>
      <c r="SYI9"/>
      <c r="SYK9"/>
      <c r="SYM9"/>
      <c r="SYO9"/>
      <c r="SYQ9"/>
      <c r="SYS9"/>
      <c r="SYU9"/>
      <c r="SYW9"/>
      <c r="SYY9"/>
      <c r="SZA9"/>
      <c r="SZC9"/>
      <c r="SZE9"/>
      <c r="SZG9"/>
      <c r="SZI9"/>
      <c r="SZK9"/>
      <c r="SZM9"/>
      <c r="SZO9"/>
      <c r="SZQ9"/>
      <c r="SZS9"/>
      <c r="SZU9"/>
      <c r="SZW9"/>
      <c r="SZY9"/>
      <c r="TAA9"/>
      <c r="TAC9"/>
      <c r="TAE9"/>
      <c r="TAG9"/>
      <c r="TAI9"/>
      <c r="TAK9"/>
      <c r="TAM9"/>
      <c r="TAO9"/>
      <c r="TAQ9"/>
      <c r="TAS9"/>
      <c r="TAU9"/>
      <c r="TAW9"/>
      <c r="TAY9"/>
      <c r="TBA9"/>
      <c r="TBC9"/>
      <c r="TBE9"/>
      <c r="TBG9"/>
      <c r="TBI9"/>
      <c r="TBK9"/>
      <c r="TBM9"/>
      <c r="TBO9"/>
      <c r="TBQ9"/>
      <c r="TBS9"/>
      <c r="TBU9"/>
      <c r="TBW9"/>
      <c r="TBY9"/>
      <c r="TCA9"/>
      <c r="TCC9"/>
      <c r="TCE9"/>
      <c r="TCG9"/>
      <c r="TCI9"/>
      <c r="TCK9"/>
      <c r="TCM9"/>
      <c r="TCO9"/>
      <c r="TCQ9"/>
      <c r="TCS9"/>
      <c r="TCU9"/>
      <c r="TCW9"/>
      <c r="TCY9"/>
      <c r="TDA9"/>
      <c r="TDC9"/>
      <c r="TDE9"/>
      <c r="TDG9"/>
      <c r="TDI9"/>
      <c r="TDK9"/>
      <c r="TDM9"/>
      <c r="TDO9"/>
      <c r="TDQ9"/>
      <c r="TDS9"/>
      <c r="TDU9"/>
      <c r="TDW9"/>
      <c r="TDY9"/>
      <c r="TEA9"/>
      <c r="TEC9"/>
      <c r="TEE9"/>
      <c r="TEG9"/>
      <c r="TEI9"/>
      <c r="TEK9"/>
      <c r="TEM9"/>
      <c r="TEO9"/>
      <c r="TEQ9"/>
      <c r="TES9"/>
      <c r="TEU9"/>
      <c r="TEW9"/>
      <c r="TEY9"/>
      <c r="TFA9"/>
      <c r="TFC9"/>
      <c r="TFE9"/>
      <c r="TFG9"/>
      <c r="TFI9"/>
      <c r="TFK9"/>
      <c r="TFM9"/>
      <c r="TFO9"/>
      <c r="TFQ9"/>
      <c r="TFS9"/>
      <c r="TFU9"/>
      <c r="TFW9"/>
      <c r="TFY9"/>
      <c r="TGA9"/>
      <c r="TGC9"/>
      <c r="TGE9"/>
      <c r="TGG9"/>
      <c r="TGI9"/>
      <c r="TGK9"/>
      <c r="TGM9"/>
      <c r="TGO9"/>
      <c r="TGQ9"/>
      <c r="TGS9"/>
      <c r="TGU9"/>
      <c r="TGW9"/>
      <c r="TGY9"/>
      <c r="THA9"/>
      <c r="THC9"/>
      <c r="THE9"/>
      <c r="THG9"/>
      <c r="THI9"/>
      <c r="THK9"/>
      <c r="THM9"/>
      <c r="THO9"/>
      <c r="THQ9"/>
      <c r="THS9"/>
      <c r="THU9"/>
      <c r="THW9"/>
      <c r="THY9"/>
      <c r="TIA9"/>
      <c r="TIC9"/>
      <c r="TIE9"/>
      <c r="TIG9"/>
      <c r="TII9"/>
      <c r="TIK9"/>
      <c r="TIM9"/>
      <c r="TIO9"/>
      <c r="TIQ9"/>
      <c r="TIS9"/>
      <c r="TIU9"/>
      <c r="TIW9"/>
      <c r="TIY9"/>
      <c r="TJA9"/>
      <c r="TJC9"/>
      <c r="TJE9"/>
      <c r="TJG9"/>
      <c r="TJI9"/>
      <c r="TJK9"/>
      <c r="TJM9"/>
      <c r="TJO9"/>
      <c r="TJQ9"/>
      <c r="TJS9"/>
      <c r="TJU9"/>
      <c r="TJW9"/>
      <c r="TJY9"/>
      <c r="TKA9"/>
      <c r="TKC9"/>
      <c r="TKE9"/>
      <c r="TKG9"/>
      <c r="TKI9"/>
      <c r="TKK9"/>
      <c r="TKM9"/>
      <c r="TKO9"/>
      <c r="TKQ9"/>
      <c r="TKS9"/>
      <c r="TKU9"/>
      <c r="TKW9"/>
      <c r="TKY9"/>
      <c r="TLA9"/>
      <c r="TLC9"/>
      <c r="TLE9"/>
      <c r="TLG9"/>
      <c r="TLI9"/>
      <c r="TLK9"/>
      <c r="TLM9"/>
      <c r="TLO9"/>
      <c r="TLQ9"/>
      <c r="TLS9"/>
      <c r="TLU9"/>
      <c r="TLW9"/>
      <c r="TLY9"/>
      <c r="TMA9"/>
      <c r="TMC9"/>
      <c r="TME9"/>
      <c r="TMG9"/>
      <c r="TMI9"/>
      <c r="TMK9"/>
      <c r="TMM9"/>
      <c r="TMO9"/>
      <c r="TMQ9"/>
      <c r="TMS9"/>
      <c r="TMU9"/>
      <c r="TMW9"/>
      <c r="TMY9"/>
      <c r="TNA9"/>
      <c r="TNC9"/>
      <c r="TNE9"/>
      <c r="TNG9"/>
      <c r="TNI9"/>
      <c r="TNK9"/>
      <c r="TNM9"/>
      <c r="TNO9"/>
      <c r="TNQ9"/>
      <c r="TNS9"/>
      <c r="TNU9"/>
      <c r="TNW9"/>
      <c r="TNY9"/>
      <c r="TOA9"/>
      <c r="TOC9"/>
      <c r="TOE9"/>
      <c r="TOG9"/>
      <c r="TOI9"/>
      <c r="TOK9"/>
      <c r="TOM9"/>
      <c r="TOO9"/>
      <c r="TOQ9"/>
      <c r="TOS9"/>
      <c r="TOU9"/>
      <c r="TOW9"/>
      <c r="TOY9"/>
      <c r="TPA9"/>
      <c r="TPC9"/>
      <c r="TPE9"/>
      <c r="TPG9"/>
      <c r="TPI9"/>
      <c r="TPK9"/>
      <c r="TPM9"/>
      <c r="TPO9"/>
      <c r="TPQ9"/>
      <c r="TPS9"/>
      <c r="TPU9"/>
      <c r="TPW9"/>
      <c r="TPY9"/>
      <c r="TQA9"/>
      <c r="TQC9"/>
      <c r="TQE9"/>
      <c r="TQG9"/>
      <c r="TQI9"/>
      <c r="TQK9"/>
      <c r="TQM9"/>
      <c r="TQO9"/>
      <c r="TQQ9"/>
      <c r="TQS9"/>
      <c r="TQU9"/>
      <c r="TQW9"/>
      <c r="TQY9"/>
      <c r="TRA9"/>
      <c r="TRC9"/>
      <c r="TRE9"/>
      <c r="TRG9"/>
      <c r="TRI9"/>
      <c r="TRK9"/>
      <c r="TRM9"/>
      <c r="TRO9"/>
      <c r="TRQ9"/>
      <c r="TRS9"/>
      <c r="TRU9"/>
      <c r="TRW9"/>
      <c r="TRY9"/>
      <c r="TSA9"/>
      <c r="TSC9"/>
      <c r="TSE9"/>
      <c r="TSG9"/>
      <c r="TSI9"/>
      <c r="TSK9"/>
      <c r="TSM9"/>
      <c r="TSO9"/>
      <c r="TSQ9"/>
      <c r="TSS9"/>
      <c r="TSU9"/>
      <c r="TSW9"/>
      <c r="TSY9"/>
      <c r="TTA9"/>
      <c r="TTC9"/>
      <c r="TTE9"/>
      <c r="TTG9"/>
      <c r="TTI9"/>
      <c r="TTK9"/>
      <c r="TTM9"/>
      <c r="TTO9"/>
      <c r="TTQ9"/>
      <c r="TTS9"/>
      <c r="TTU9"/>
      <c r="TTW9"/>
      <c r="TTY9"/>
      <c r="TUA9"/>
      <c r="TUC9"/>
      <c r="TUE9"/>
      <c r="TUG9"/>
      <c r="TUI9"/>
      <c r="TUK9"/>
      <c r="TUM9"/>
      <c r="TUO9"/>
      <c r="TUQ9"/>
      <c r="TUS9"/>
      <c r="TUU9"/>
      <c r="TUW9"/>
      <c r="TUY9"/>
      <c r="TVA9"/>
      <c r="TVC9"/>
      <c r="TVE9"/>
      <c r="TVG9"/>
      <c r="TVI9"/>
      <c r="TVK9"/>
      <c r="TVM9"/>
      <c r="TVO9"/>
      <c r="TVQ9"/>
      <c r="TVS9"/>
      <c r="TVU9"/>
      <c r="TVW9"/>
      <c r="TVY9"/>
      <c r="TWA9"/>
      <c r="TWC9"/>
      <c r="TWE9"/>
      <c r="TWG9"/>
      <c r="TWI9"/>
      <c r="TWK9"/>
      <c r="TWM9"/>
      <c r="TWO9"/>
      <c r="TWQ9"/>
      <c r="TWS9"/>
      <c r="TWU9"/>
      <c r="TWW9"/>
      <c r="TWY9"/>
      <c r="TXA9"/>
      <c r="TXC9"/>
      <c r="TXE9"/>
      <c r="TXG9"/>
      <c r="TXI9"/>
      <c r="TXK9"/>
      <c r="TXM9"/>
      <c r="TXO9"/>
      <c r="TXQ9"/>
      <c r="TXS9"/>
      <c r="TXU9"/>
      <c r="TXW9"/>
      <c r="TXY9"/>
      <c r="TYA9"/>
      <c r="TYC9"/>
      <c r="TYE9"/>
      <c r="TYG9"/>
      <c r="TYI9"/>
      <c r="TYK9"/>
      <c r="TYM9"/>
      <c r="TYO9"/>
      <c r="TYQ9"/>
      <c r="TYS9"/>
      <c r="TYU9"/>
      <c r="TYW9"/>
      <c r="TYY9"/>
      <c r="TZA9"/>
      <c r="TZC9"/>
      <c r="TZE9"/>
      <c r="TZG9"/>
      <c r="TZI9"/>
      <c r="TZK9"/>
      <c r="TZM9"/>
      <c r="TZO9"/>
      <c r="TZQ9"/>
      <c r="TZS9"/>
      <c r="TZU9"/>
      <c r="TZW9"/>
      <c r="TZY9"/>
      <c r="UAA9"/>
      <c r="UAC9"/>
      <c r="UAE9"/>
      <c r="UAG9"/>
      <c r="UAI9"/>
      <c r="UAK9"/>
      <c r="UAM9"/>
      <c r="UAO9"/>
      <c r="UAQ9"/>
      <c r="UAS9"/>
      <c r="UAU9"/>
      <c r="UAW9"/>
      <c r="UAY9"/>
      <c r="UBA9"/>
      <c r="UBC9"/>
      <c r="UBE9"/>
      <c r="UBG9"/>
      <c r="UBI9"/>
      <c r="UBK9"/>
      <c r="UBM9"/>
      <c r="UBO9"/>
      <c r="UBQ9"/>
      <c r="UBS9"/>
      <c r="UBU9"/>
      <c r="UBW9"/>
      <c r="UBY9"/>
      <c r="UCA9"/>
      <c r="UCC9"/>
      <c r="UCE9"/>
      <c r="UCG9"/>
      <c r="UCI9"/>
      <c r="UCK9"/>
      <c r="UCM9"/>
      <c r="UCO9"/>
      <c r="UCQ9"/>
      <c r="UCS9"/>
      <c r="UCU9"/>
      <c r="UCW9"/>
      <c r="UCY9"/>
      <c r="UDA9"/>
      <c r="UDC9"/>
      <c r="UDE9"/>
      <c r="UDG9"/>
      <c r="UDI9"/>
      <c r="UDK9"/>
      <c r="UDM9"/>
      <c r="UDO9"/>
      <c r="UDQ9"/>
      <c r="UDS9"/>
      <c r="UDU9"/>
      <c r="UDW9"/>
      <c r="UDY9"/>
      <c r="UEA9"/>
      <c r="UEC9"/>
      <c r="UEE9"/>
      <c r="UEG9"/>
      <c r="UEI9"/>
      <c r="UEK9"/>
      <c r="UEM9"/>
      <c r="UEO9"/>
      <c r="UEQ9"/>
      <c r="UES9"/>
      <c r="UEU9"/>
      <c r="UEW9"/>
      <c r="UEY9"/>
      <c r="UFA9"/>
      <c r="UFC9"/>
      <c r="UFE9"/>
      <c r="UFG9"/>
      <c r="UFI9"/>
      <c r="UFK9"/>
      <c r="UFM9"/>
      <c r="UFO9"/>
      <c r="UFQ9"/>
      <c r="UFS9"/>
      <c r="UFU9"/>
      <c r="UFW9"/>
      <c r="UFY9"/>
      <c r="UGA9"/>
      <c r="UGC9"/>
      <c r="UGE9"/>
      <c r="UGG9"/>
      <c r="UGI9"/>
      <c r="UGK9"/>
      <c r="UGM9"/>
      <c r="UGO9"/>
      <c r="UGQ9"/>
      <c r="UGS9"/>
      <c r="UGU9"/>
      <c r="UGW9"/>
      <c r="UGY9"/>
      <c r="UHA9"/>
      <c r="UHC9"/>
      <c r="UHE9"/>
      <c r="UHG9"/>
      <c r="UHI9"/>
      <c r="UHK9"/>
      <c r="UHM9"/>
      <c r="UHO9"/>
      <c r="UHQ9"/>
      <c r="UHS9"/>
      <c r="UHU9"/>
      <c r="UHW9"/>
      <c r="UHY9"/>
      <c r="UIA9"/>
      <c r="UIC9"/>
      <c r="UIE9"/>
      <c r="UIG9"/>
      <c r="UII9"/>
      <c r="UIK9"/>
      <c r="UIM9"/>
      <c r="UIO9"/>
      <c r="UIQ9"/>
      <c r="UIS9"/>
      <c r="UIU9"/>
      <c r="UIW9"/>
      <c r="UIY9"/>
      <c r="UJA9"/>
      <c r="UJC9"/>
      <c r="UJE9"/>
      <c r="UJG9"/>
      <c r="UJI9"/>
      <c r="UJK9"/>
      <c r="UJM9"/>
      <c r="UJO9"/>
      <c r="UJQ9"/>
      <c r="UJS9"/>
      <c r="UJU9"/>
      <c r="UJW9"/>
      <c r="UJY9"/>
      <c r="UKA9"/>
      <c r="UKC9"/>
      <c r="UKE9"/>
      <c r="UKG9"/>
      <c r="UKI9"/>
      <c r="UKK9"/>
      <c r="UKM9"/>
      <c r="UKO9"/>
      <c r="UKQ9"/>
      <c r="UKS9"/>
      <c r="UKU9"/>
      <c r="UKW9"/>
      <c r="UKY9"/>
      <c r="ULA9"/>
      <c r="ULC9"/>
      <c r="ULE9"/>
      <c r="ULG9"/>
      <c r="ULI9"/>
      <c r="ULK9"/>
      <c r="ULM9"/>
      <c r="ULO9"/>
      <c r="ULQ9"/>
      <c r="ULS9"/>
      <c r="ULU9"/>
      <c r="ULW9"/>
      <c r="ULY9"/>
      <c r="UMA9"/>
      <c r="UMC9"/>
      <c r="UME9"/>
      <c r="UMG9"/>
      <c r="UMI9"/>
      <c r="UMK9"/>
      <c r="UMM9"/>
      <c r="UMO9"/>
      <c r="UMQ9"/>
      <c r="UMS9"/>
      <c r="UMU9"/>
      <c r="UMW9"/>
      <c r="UMY9"/>
      <c r="UNA9"/>
      <c r="UNC9"/>
      <c r="UNE9"/>
      <c r="UNG9"/>
      <c r="UNI9"/>
      <c r="UNK9"/>
      <c r="UNM9"/>
      <c r="UNO9"/>
      <c r="UNQ9"/>
      <c r="UNS9"/>
      <c r="UNU9"/>
      <c r="UNW9"/>
      <c r="UNY9"/>
      <c r="UOA9"/>
      <c r="UOC9"/>
      <c r="UOE9"/>
      <c r="UOG9"/>
      <c r="UOI9"/>
      <c r="UOK9"/>
      <c r="UOM9"/>
      <c r="UOO9"/>
      <c r="UOQ9"/>
      <c r="UOS9"/>
      <c r="UOU9"/>
      <c r="UOW9"/>
      <c r="UOY9"/>
      <c r="UPA9"/>
      <c r="UPC9"/>
      <c r="UPE9"/>
      <c r="UPG9"/>
      <c r="UPI9"/>
      <c r="UPK9"/>
      <c r="UPM9"/>
      <c r="UPO9"/>
      <c r="UPQ9"/>
      <c r="UPS9"/>
      <c r="UPU9"/>
      <c r="UPW9"/>
      <c r="UPY9"/>
      <c r="UQA9"/>
      <c r="UQC9"/>
      <c r="UQE9"/>
      <c r="UQG9"/>
      <c r="UQI9"/>
      <c r="UQK9"/>
      <c r="UQM9"/>
      <c r="UQO9"/>
      <c r="UQQ9"/>
      <c r="UQS9"/>
      <c r="UQU9"/>
      <c r="UQW9"/>
      <c r="UQY9"/>
      <c r="URA9"/>
      <c r="URC9"/>
      <c r="URE9"/>
      <c r="URG9"/>
      <c r="URI9"/>
      <c r="URK9"/>
      <c r="URM9"/>
      <c r="URO9"/>
      <c r="URQ9"/>
      <c r="URS9"/>
      <c r="URU9"/>
      <c r="URW9"/>
      <c r="URY9"/>
      <c r="USA9"/>
      <c r="USC9"/>
      <c r="USE9"/>
      <c r="USG9"/>
      <c r="USI9"/>
      <c r="USK9"/>
      <c r="USM9"/>
      <c r="USO9"/>
      <c r="USQ9"/>
      <c r="USS9"/>
      <c r="USU9"/>
      <c r="USW9"/>
      <c r="USY9"/>
      <c r="UTA9"/>
      <c r="UTC9"/>
      <c r="UTE9"/>
      <c r="UTG9"/>
      <c r="UTI9"/>
      <c r="UTK9"/>
      <c r="UTM9"/>
      <c r="UTO9"/>
      <c r="UTQ9"/>
      <c r="UTS9"/>
      <c r="UTU9"/>
      <c r="UTW9"/>
      <c r="UTY9"/>
      <c r="UUA9"/>
      <c r="UUC9"/>
      <c r="UUE9"/>
      <c r="UUG9"/>
      <c r="UUI9"/>
      <c r="UUK9"/>
      <c r="UUM9"/>
      <c r="UUO9"/>
      <c r="UUQ9"/>
      <c r="UUS9"/>
      <c r="UUU9"/>
      <c r="UUW9"/>
      <c r="UUY9"/>
      <c r="UVA9"/>
      <c r="UVC9"/>
      <c r="UVE9"/>
      <c r="UVG9"/>
      <c r="UVI9"/>
      <c r="UVK9"/>
      <c r="UVM9"/>
      <c r="UVO9"/>
      <c r="UVQ9"/>
      <c r="UVS9"/>
      <c r="UVU9"/>
      <c r="UVW9"/>
      <c r="UVY9"/>
      <c r="UWA9"/>
      <c r="UWC9"/>
      <c r="UWE9"/>
      <c r="UWG9"/>
      <c r="UWI9"/>
      <c r="UWK9"/>
      <c r="UWM9"/>
      <c r="UWO9"/>
      <c r="UWQ9"/>
      <c r="UWS9"/>
      <c r="UWU9"/>
      <c r="UWW9"/>
      <c r="UWY9"/>
      <c r="UXA9"/>
      <c r="UXC9"/>
      <c r="UXE9"/>
      <c r="UXG9"/>
      <c r="UXI9"/>
      <c r="UXK9"/>
      <c r="UXM9"/>
      <c r="UXO9"/>
      <c r="UXQ9"/>
      <c r="UXS9"/>
      <c r="UXU9"/>
      <c r="UXW9"/>
      <c r="UXY9"/>
      <c r="UYA9"/>
      <c r="UYC9"/>
      <c r="UYE9"/>
      <c r="UYG9"/>
      <c r="UYI9"/>
      <c r="UYK9"/>
      <c r="UYM9"/>
      <c r="UYO9"/>
      <c r="UYQ9"/>
      <c r="UYS9"/>
      <c r="UYU9"/>
      <c r="UYW9"/>
      <c r="UYY9"/>
      <c r="UZA9"/>
      <c r="UZC9"/>
      <c r="UZE9"/>
      <c r="UZG9"/>
      <c r="UZI9"/>
      <c r="UZK9"/>
      <c r="UZM9"/>
      <c r="UZO9"/>
      <c r="UZQ9"/>
      <c r="UZS9"/>
      <c r="UZU9"/>
      <c r="UZW9"/>
      <c r="UZY9"/>
      <c r="VAA9"/>
      <c r="VAC9"/>
      <c r="VAE9"/>
      <c r="VAG9"/>
      <c r="VAI9"/>
      <c r="VAK9"/>
      <c r="VAM9"/>
      <c r="VAO9"/>
      <c r="VAQ9"/>
      <c r="VAS9"/>
      <c r="VAU9"/>
      <c r="VAW9"/>
      <c r="VAY9"/>
      <c r="VBA9"/>
      <c r="VBC9"/>
      <c r="VBE9"/>
      <c r="VBG9"/>
      <c r="VBI9"/>
      <c r="VBK9"/>
      <c r="VBM9"/>
      <c r="VBO9"/>
      <c r="VBQ9"/>
      <c r="VBS9"/>
      <c r="VBU9"/>
      <c r="VBW9"/>
      <c r="VBY9"/>
      <c r="VCA9"/>
      <c r="VCC9"/>
      <c r="VCE9"/>
      <c r="VCG9"/>
      <c r="VCI9"/>
      <c r="VCK9"/>
      <c r="VCM9"/>
      <c r="VCO9"/>
      <c r="VCQ9"/>
      <c r="VCS9"/>
      <c r="VCU9"/>
      <c r="VCW9"/>
      <c r="VCY9"/>
      <c r="VDA9"/>
      <c r="VDC9"/>
      <c r="VDE9"/>
      <c r="VDG9"/>
      <c r="VDI9"/>
      <c r="VDK9"/>
      <c r="VDM9"/>
      <c r="VDO9"/>
      <c r="VDQ9"/>
      <c r="VDS9"/>
      <c r="VDU9"/>
      <c r="VDW9"/>
      <c r="VDY9"/>
      <c r="VEA9"/>
      <c r="VEC9"/>
      <c r="VEE9"/>
      <c r="VEG9"/>
      <c r="VEI9"/>
      <c r="VEK9"/>
      <c r="VEM9"/>
      <c r="VEO9"/>
      <c r="VEQ9"/>
      <c r="VES9"/>
      <c r="VEU9"/>
      <c r="VEW9"/>
      <c r="VEY9"/>
      <c r="VFA9"/>
      <c r="VFC9"/>
      <c r="VFE9"/>
      <c r="VFG9"/>
      <c r="VFI9"/>
      <c r="VFK9"/>
      <c r="VFM9"/>
      <c r="VFO9"/>
      <c r="VFQ9"/>
      <c r="VFS9"/>
      <c r="VFU9"/>
      <c r="VFW9"/>
      <c r="VFY9"/>
      <c r="VGA9"/>
      <c r="VGC9"/>
      <c r="VGE9"/>
      <c r="VGG9"/>
      <c r="VGI9"/>
      <c r="VGK9"/>
      <c r="VGM9"/>
      <c r="VGO9"/>
      <c r="VGQ9"/>
      <c r="VGS9"/>
      <c r="VGU9"/>
      <c r="VGW9"/>
      <c r="VGY9"/>
      <c r="VHA9"/>
      <c r="VHC9"/>
      <c r="VHE9"/>
      <c r="VHG9"/>
      <c r="VHI9"/>
      <c r="VHK9"/>
      <c r="VHM9"/>
      <c r="VHO9"/>
      <c r="VHQ9"/>
      <c r="VHS9"/>
      <c r="VHU9"/>
      <c r="VHW9"/>
      <c r="VHY9"/>
      <c r="VIA9"/>
      <c r="VIC9"/>
      <c r="VIE9"/>
      <c r="VIG9"/>
      <c r="VII9"/>
      <c r="VIK9"/>
      <c r="VIM9"/>
      <c r="VIO9"/>
      <c r="VIQ9"/>
      <c r="VIS9"/>
      <c r="VIU9"/>
      <c r="VIW9"/>
      <c r="VIY9"/>
      <c r="VJA9"/>
      <c r="VJC9"/>
      <c r="VJE9"/>
      <c r="VJG9"/>
      <c r="VJI9"/>
      <c r="VJK9"/>
      <c r="VJM9"/>
      <c r="VJO9"/>
      <c r="VJQ9"/>
      <c r="VJS9"/>
      <c r="VJU9"/>
      <c r="VJW9"/>
      <c r="VJY9"/>
      <c r="VKA9"/>
      <c r="VKC9"/>
      <c r="VKE9"/>
      <c r="VKG9"/>
      <c r="VKI9"/>
      <c r="VKK9"/>
      <c r="VKM9"/>
      <c r="VKO9"/>
      <c r="VKQ9"/>
      <c r="VKS9"/>
      <c r="VKU9"/>
      <c r="VKW9"/>
      <c r="VKY9"/>
      <c r="VLA9"/>
      <c r="VLC9"/>
      <c r="VLE9"/>
      <c r="VLG9"/>
      <c r="VLI9"/>
      <c r="VLK9"/>
      <c r="VLM9"/>
      <c r="VLO9"/>
      <c r="VLQ9"/>
      <c r="VLS9"/>
      <c r="VLU9"/>
      <c r="VLW9"/>
      <c r="VLY9"/>
      <c r="VMA9"/>
      <c r="VMC9"/>
      <c r="VME9"/>
      <c r="VMG9"/>
      <c r="VMI9"/>
      <c r="VMK9"/>
      <c r="VMM9"/>
      <c r="VMO9"/>
      <c r="VMQ9"/>
      <c r="VMS9"/>
      <c r="VMU9"/>
      <c r="VMW9"/>
      <c r="VMY9"/>
      <c r="VNA9"/>
      <c r="VNC9"/>
      <c r="VNE9"/>
      <c r="VNG9"/>
      <c r="VNI9"/>
      <c r="VNK9"/>
      <c r="VNM9"/>
      <c r="VNO9"/>
      <c r="VNQ9"/>
      <c r="VNS9"/>
      <c r="VNU9"/>
      <c r="VNW9"/>
      <c r="VNY9"/>
      <c r="VOA9"/>
      <c r="VOC9"/>
      <c r="VOE9"/>
      <c r="VOG9"/>
      <c r="VOI9"/>
      <c r="VOK9"/>
      <c r="VOM9"/>
      <c r="VOO9"/>
      <c r="VOQ9"/>
      <c r="VOS9"/>
      <c r="VOU9"/>
      <c r="VOW9"/>
      <c r="VOY9"/>
      <c r="VPA9"/>
      <c r="VPC9"/>
      <c r="VPE9"/>
      <c r="VPG9"/>
      <c r="VPI9"/>
      <c r="VPK9"/>
      <c r="VPM9"/>
      <c r="VPO9"/>
      <c r="VPQ9"/>
      <c r="VPS9"/>
      <c r="VPU9"/>
      <c r="VPW9"/>
      <c r="VPY9"/>
      <c r="VQA9"/>
      <c r="VQC9"/>
      <c r="VQE9"/>
      <c r="VQG9"/>
      <c r="VQI9"/>
      <c r="VQK9"/>
      <c r="VQM9"/>
      <c r="VQO9"/>
      <c r="VQQ9"/>
      <c r="VQS9"/>
      <c r="VQU9"/>
      <c r="VQW9"/>
      <c r="VQY9"/>
      <c r="VRA9"/>
      <c r="VRC9"/>
      <c r="VRE9"/>
      <c r="VRG9"/>
      <c r="VRI9"/>
      <c r="VRK9"/>
      <c r="VRM9"/>
      <c r="VRO9"/>
      <c r="VRQ9"/>
      <c r="VRS9"/>
      <c r="VRU9"/>
      <c r="VRW9"/>
      <c r="VRY9"/>
      <c r="VSA9"/>
      <c r="VSC9"/>
      <c r="VSE9"/>
      <c r="VSG9"/>
      <c r="VSI9"/>
      <c r="VSK9"/>
      <c r="VSM9"/>
      <c r="VSO9"/>
      <c r="VSQ9"/>
      <c r="VSS9"/>
      <c r="VSU9"/>
      <c r="VSW9"/>
      <c r="VSY9"/>
      <c r="VTA9"/>
      <c r="VTC9"/>
      <c r="VTE9"/>
      <c r="VTG9"/>
      <c r="VTI9"/>
      <c r="VTK9"/>
      <c r="VTM9"/>
      <c r="VTO9"/>
      <c r="VTQ9"/>
      <c r="VTS9"/>
      <c r="VTU9"/>
      <c r="VTW9"/>
      <c r="VTY9"/>
      <c r="VUA9"/>
      <c r="VUC9"/>
      <c r="VUE9"/>
      <c r="VUG9"/>
      <c r="VUI9"/>
      <c r="VUK9"/>
      <c r="VUM9"/>
      <c r="VUO9"/>
      <c r="VUQ9"/>
      <c r="VUS9"/>
      <c r="VUU9"/>
      <c r="VUW9"/>
      <c r="VUY9"/>
      <c r="VVA9"/>
      <c r="VVC9"/>
      <c r="VVE9"/>
      <c r="VVG9"/>
      <c r="VVI9"/>
      <c r="VVK9"/>
      <c r="VVM9"/>
      <c r="VVO9"/>
      <c r="VVQ9"/>
      <c r="VVS9"/>
      <c r="VVU9"/>
      <c r="VVW9"/>
      <c r="VVY9"/>
      <c r="VWA9"/>
      <c r="VWC9"/>
      <c r="VWE9"/>
      <c r="VWG9"/>
      <c r="VWI9"/>
      <c r="VWK9"/>
      <c r="VWM9"/>
      <c r="VWO9"/>
      <c r="VWQ9"/>
      <c r="VWS9"/>
      <c r="VWU9"/>
      <c r="VWW9"/>
      <c r="VWY9"/>
      <c r="VXA9"/>
      <c r="VXC9"/>
      <c r="VXE9"/>
      <c r="VXG9"/>
      <c r="VXI9"/>
      <c r="VXK9"/>
      <c r="VXM9"/>
      <c r="VXO9"/>
      <c r="VXQ9"/>
      <c r="VXS9"/>
      <c r="VXU9"/>
      <c r="VXW9"/>
      <c r="VXY9"/>
      <c r="VYA9"/>
      <c r="VYC9"/>
      <c r="VYE9"/>
      <c r="VYG9"/>
      <c r="VYI9"/>
      <c r="VYK9"/>
      <c r="VYM9"/>
      <c r="VYO9"/>
      <c r="VYQ9"/>
      <c r="VYS9"/>
      <c r="VYU9"/>
      <c r="VYW9"/>
      <c r="VYY9"/>
      <c r="VZA9"/>
      <c r="VZC9"/>
      <c r="VZE9"/>
      <c r="VZG9"/>
      <c r="VZI9"/>
      <c r="VZK9"/>
      <c r="VZM9"/>
      <c r="VZO9"/>
      <c r="VZQ9"/>
      <c r="VZS9"/>
      <c r="VZU9"/>
      <c r="VZW9"/>
      <c r="VZY9"/>
      <c r="WAA9"/>
      <c r="WAC9"/>
      <c r="WAE9"/>
      <c r="WAG9"/>
      <c r="WAI9"/>
      <c r="WAK9"/>
      <c r="WAM9"/>
      <c r="WAO9"/>
      <c r="WAQ9"/>
      <c r="WAS9"/>
      <c r="WAU9"/>
      <c r="WAW9"/>
      <c r="WAY9"/>
      <c r="WBA9"/>
      <c r="WBC9"/>
      <c r="WBE9"/>
      <c r="WBG9"/>
      <c r="WBI9"/>
      <c r="WBK9"/>
      <c r="WBM9"/>
      <c r="WBO9"/>
      <c r="WBQ9"/>
      <c r="WBS9"/>
      <c r="WBU9"/>
      <c r="WBW9"/>
      <c r="WBY9"/>
      <c r="WCA9"/>
      <c r="WCC9"/>
      <c r="WCE9"/>
      <c r="WCG9"/>
      <c r="WCI9"/>
      <c r="WCK9"/>
      <c r="WCM9"/>
      <c r="WCO9"/>
      <c r="WCQ9"/>
      <c r="WCS9"/>
      <c r="WCU9"/>
      <c r="WCW9"/>
      <c r="WCY9"/>
      <c r="WDA9"/>
      <c r="WDC9"/>
      <c r="WDE9"/>
      <c r="WDG9"/>
      <c r="WDI9"/>
      <c r="WDK9"/>
      <c r="WDM9"/>
      <c r="WDO9"/>
      <c r="WDQ9"/>
      <c r="WDS9"/>
      <c r="WDU9"/>
      <c r="WDW9"/>
      <c r="WDY9"/>
      <c r="WEA9"/>
      <c r="WEC9"/>
      <c r="WEE9"/>
      <c r="WEG9"/>
      <c r="WEI9"/>
      <c r="WEK9"/>
      <c r="WEM9"/>
      <c r="WEO9"/>
      <c r="WEQ9"/>
      <c r="WES9"/>
      <c r="WEU9"/>
      <c r="WEW9"/>
      <c r="WEY9"/>
      <c r="WFA9"/>
      <c r="WFC9"/>
      <c r="WFE9"/>
      <c r="WFG9"/>
      <c r="WFI9"/>
      <c r="WFK9"/>
      <c r="WFM9"/>
      <c r="WFO9"/>
      <c r="WFQ9"/>
      <c r="WFS9"/>
      <c r="WFU9"/>
      <c r="WFW9"/>
      <c r="WFY9"/>
      <c r="WGA9"/>
      <c r="WGC9"/>
      <c r="WGE9"/>
      <c r="WGG9"/>
      <c r="WGI9"/>
      <c r="WGK9"/>
      <c r="WGM9"/>
      <c r="WGO9"/>
      <c r="WGQ9"/>
      <c r="WGS9"/>
      <c r="WGU9"/>
      <c r="WGW9"/>
      <c r="WGY9"/>
      <c r="WHA9"/>
      <c r="WHC9"/>
      <c r="WHE9"/>
      <c r="WHG9"/>
      <c r="WHI9"/>
      <c r="WHK9"/>
      <c r="WHM9"/>
      <c r="WHO9"/>
      <c r="WHQ9"/>
      <c r="WHS9"/>
      <c r="WHU9"/>
      <c r="WHW9"/>
      <c r="WHY9"/>
      <c r="WIA9"/>
      <c r="WIC9"/>
      <c r="WIE9"/>
      <c r="WIG9"/>
      <c r="WII9"/>
      <c r="WIK9"/>
      <c r="WIM9"/>
      <c r="WIO9"/>
      <c r="WIQ9"/>
      <c r="WIS9"/>
      <c r="WIU9"/>
      <c r="WIW9"/>
      <c r="WIY9"/>
      <c r="WJA9"/>
      <c r="WJC9"/>
      <c r="WJE9"/>
      <c r="WJG9"/>
      <c r="WJI9"/>
      <c r="WJK9"/>
      <c r="WJM9"/>
      <c r="WJO9"/>
      <c r="WJQ9"/>
      <c r="WJS9"/>
      <c r="WJU9"/>
      <c r="WJW9"/>
      <c r="WJY9"/>
      <c r="WKA9"/>
      <c r="WKC9"/>
      <c r="WKE9"/>
      <c r="WKG9"/>
      <c r="WKI9"/>
      <c r="WKK9"/>
      <c r="WKM9"/>
      <c r="WKO9"/>
      <c r="WKQ9"/>
      <c r="WKS9"/>
      <c r="WKU9"/>
      <c r="WKW9"/>
      <c r="WKY9"/>
      <c r="WLA9"/>
      <c r="WLC9"/>
      <c r="WLE9"/>
      <c r="WLG9"/>
      <c r="WLI9"/>
      <c r="WLK9"/>
      <c r="WLM9"/>
      <c r="WLO9"/>
      <c r="WLQ9"/>
      <c r="WLS9"/>
      <c r="WLU9"/>
      <c r="WLW9"/>
      <c r="WLY9"/>
      <c r="WMA9"/>
      <c r="WMC9"/>
      <c r="WME9"/>
      <c r="WMG9"/>
      <c r="WMI9"/>
      <c r="WMK9"/>
      <c r="WMM9"/>
      <c r="WMO9"/>
      <c r="WMQ9"/>
      <c r="WMS9"/>
      <c r="WMU9"/>
      <c r="WMW9"/>
      <c r="WMY9"/>
      <c r="WNA9"/>
      <c r="WNC9"/>
      <c r="WNE9"/>
      <c r="WNG9"/>
      <c r="WNI9"/>
      <c r="WNK9"/>
      <c r="WNM9"/>
      <c r="WNO9"/>
      <c r="WNQ9"/>
      <c r="WNS9"/>
      <c r="WNU9"/>
      <c r="WNW9"/>
      <c r="WNY9"/>
      <c r="WOA9"/>
      <c r="WOC9"/>
      <c r="WOE9"/>
      <c r="WOG9"/>
      <c r="WOI9"/>
      <c r="WOK9"/>
      <c r="WOM9"/>
      <c r="WOO9"/>
      <c r="WOQ9"/>
      <c r="WOS9"/>
      <c r="WOU9"/>
      <c r="WOW9"/>
      <c r="WOY9"/>
      <c r="WPA9"/>
      <c r="WPC9"/>
      <c r="WPE9"/>
      <c r="WPG9"/>
      <c r="WPI9"/>
      <c r="WPK9"/>
      <c r="WPM9"/>
      <c r="WPO9"/>
      <c r="WPQ9"/>
      <c r="WPS9"/>
      <c r="WPU9"/>
      <c r="WPW9"/>
      <c r="WPY9"/>
      <c r="WQA9"/>
      <c r="WQC9"/>
      <c r="WQE9"/>
      <c r="WQG9"/>
      <c r="WQI9"/>
      <c r="WQK9"/>
      <c r="WQM9"/>
      <c r="WQO9"/>
      <c r="WQQ9"/>
      <c r="WQS9"/>
      <c r="WQU9"/>
      <c r="WQW9"/>
      <c r="WQY9"/>
      <c r="WRA9"/>
      <c r="WRC9"/>
      <c r="WRE9"/>
      <c r="WRG9"/>
      <c r="WRI9"/>
      <c r="WRK9"/>
      <c r="WRM9"/>
      <c r="WRO9"/>
      <c r="WRQ9"/>
      <c r="WRS9"/>
      <c r="WRU9"/>
      <c r="WRW9"/>
      <c r="WRY9"/>
      <c r="WSA9"/>
      <c r="WSC9"/>
      <c r="WSE9"/>
      <c r="WSG9"/>
      <c r="WSI9"/>
      <c r="WSK9"/>
      <c r="WSM9"/>
      <c r="WSO9"/>
      <c r="WSQ9"/>
      <c r="WSS9"/>
      <c r="WSU9"/>
      <c r="WSW9"/>
      <c r="WSY9"/>
      <c r="WTA9"/>
      <c r="WTC9"/>
      <c r="WTE9"/>
      <c r="WTG9"/>
      <c r="WTI9"/>
      <c r="WTK9"/>
      <c r="WTM9"/>
      <c r="WTO9"/>
      <c r="WTQ9"/>
      <c r="WTS9"/>
      <c r="WTU9"/>
      <c r="WTW9"/>
      <c r="WTY9"/>
      <c r="WUA9"/>
      <c r="WUC9"/>
      <c r="WUE9"/>
      <c r="WUG9"/>
      <c r="WUI9"/>
      <c r="WUK9"/>
      <c r="WUM9"/>
      <c r="WUO9"/>
      <c r="WUQ9"/>
      <c r="WUS9"/>
      <c r="WUU9"/>
      <c r="WUW9"/>
      <c r="WUY9"/>
      <c r="WVA9"/>
      <c r="WVC9"/>
      <c r="WVE9"/>
      <c r="WVG9"/>
      <c r="WVI9"/>
      <c r="WVK9"/>
      <c r="WVM9"/>
      <c r="WVO9"/>
      <c r="WVQ9"/>
      <c r="WVS9"/>
      <c r="WVU9"/>
      <c r="WVW9"/>
      <c r="WVY9"/>
      <c r="WWA9"/>
      <c r="WWC9"/>
      <c r="WWE9"/>
      <c r="WWG9"/>
      <c r="WWI9"/>
      <c r="WWK9"/>
      <c r="WWM9"/>
      <c r="WWO9"/>
      <c r="WWQ9"/>
      <c r="WWS9"/>
      <c r="WWU9"/>
      <c r="WWW9"/>
      <c r="WWY9"/>
      <c r="WXA9"/>
      <c r="WXC9"/>
      <c r="WXE9"/>
      <c r="WXG9"/>
      <c r="WXI9"/>
      <c r="WXK9"/>
      <c r="WXM9"/>
      <c r="WXO9"/>
      <c r="WXQ9"/>
      <c r="WXS9"/>
      <c r="WXU9"/>
      <c r="WXW9"/>
      <c r="WXY9"/>
      <c r="WYA9"/>
      <c r="WYC9"/>
      <c r="WYE9"/>
      <c r="WYG9"/>
      <c r="WYI9"/>
      <c r="WYK9"/>
      <c r="WYM9"/>
      <c r="WYO9"/>
      <c r="WYQ9"/>
      <c r="WYS9"/>
      <c r="WYU9"/>
      <c r="WYW9"/>
      <c r="WYY9"/>
      <c r="WZA9"/>
      <c r="WZC9"/>
      <c r="WZE9"/>
      <c r="WZG9"/>
      <c r="WZI9"/>
      <c r="WZK9"/>
      <c r="WZM9"/>
      <c r="WZO9"/>
      <c r="WZQ9"/>
      <c r="WZS9"/>
      <c r="WZU9"/>
      <c r="WZW9"/>
      <c r="WZY9"/>
      <c r="XAA9"/>
      <c r="XAC9"/>
      <c r="XAE9"/>
      <c r="XAG9"/>
      <c r="XAI9"/>
      <c r="XAK9"/>
      <c r="XAM9"/>
      <c r="XAO9"/>
      <c r="XAQ9"/>
      <c r="XAS9"/>
      <c r="XAU9"/>
      <c r="XAW9"/>
      <c r="XAY9"/>
      <c r="XBA9"/>
      <c r="XBC9"/>
      <c r="XBE9"/>
      <c r="XBG9"/>
      <c r="XBI9"/>
      <c r="XBK9"/>
      <c r="XBM9"/>
      <c r="XBO9"/>
      <c r="XBQ9"/>
      <c r="XBS9"/>
      <c r="XBU9"/>
      <c r="XBW9"/>
      <c r="XBY9"/>
      <c r="XCA9"/>
      <c r="XCC9"/>
      <c r="XCE9"/>
      <c r="XCG9"/>
      <c r="XCI9"/>
      <c r="XCK9"/>
      <c r="XCM9"/>
      <c r="XCO9"/>
      <c r="XCQ9"/>
      <c r="XCS9"/>
      <c r="XCU9"/>
      <c r="XCW9"/>
      <c r="XCY9"/>
      <c r="XDA9"/>
      <c r="XDC9"/>
      <c r="XDE9"/>
      <c r="XDG9"/>
      <c r="XDI9"/>
      <c r="XDK9"/>
      <c r="XDM9"/>
      <c r="XDO9"/>
      <c r="XDQ9"/>
      <c r="XDS9"/>
      <c r="XDU9"/>
      <c r="XDW9"/>
      <c r="XDY9"/>
      <c r="XEA9"/>
      <c r="XEC9"/>
      <c r="XEE9"/>
      <c r="XEG9"/>
      <c r="XEI9"/>
      <c r="XEK9"/>
      <c r="XEM9"/>
      <c r="XEO9"/>
      <c r="XEQ9"/>
      <c r="XES9"/>
      <c r="XEU9"/>
      <c r="XEW9"/>
      <c r="XEY9"/>
      <c r="XFA9"/>
      <c r="XFC9"/>
    </row>
    <row r="10" spans="1:16384" ht="16" thickBot="1" x14ac:dyDescent="0.25">
      <c r="A10" s="13"/>
      <c r="D10" s="511"/>
      <c r="E10" s="478"/>
      <c r="F10" s="512"/>
      <c r="G10" s="510"/>
      <c r="H10" s="124"/>
      <c r="J10" s="739">
        <f>N8*N4+(1-N4)*K8</f>
        <v>9.8037004797683069E-2</v>
      </c>
      <c r="K10" s="740"/>
      <c r="L10" s="740"/>
      <c r="M10" s="740"/>
      <c r="N10" s="741"/>
      <c r="O10"/>
    </row>
    <row r="11" spans="1:16384" ht="10" customHeight="1" x14ac:dyDescent="0.2">
      <c r="A11" s="13"/>
      <c r="K11" s="14"/>
      <c r="L11"/>
      <c r="M11"/>
      <c r="N11"/>
      <c r="O11"/>
    </row>
    <row r="12" spans="1:16384" x14ac:dyDescent="0.2">
      <c r="A12" s="13"/>
      <c r="H12" s="13"/>
      <c r="K12"/>
      <c r="L12"/>
      <c r="M12"/>
      <c r="N12"/>
      <c r="O12"/>
    </row>
    <row r="13" spans="1:16384" x14ac:dyDescent="0.2">
      <c r="A13" s="13"/>
      <c r="K13"/>
      <c r="L13"/>
      <c r="M13"/>
      <c r="N13"/>
      <c r="O13"/>
    </row>
    <row r="14" spans="1:16384" x14ac:dyDescent="0.2">
      <c r="A14" s="13"/>
      <c r="K14"/>
      <c r="L14"/>
      <c r="M14"/>
      <c r="N14"/>
      <c r="O14"/>
    </row>
    <row r="15" spans="1:16384" x14ac:dyDescent="0.2">
      <c r="A15" s="13"/>
      <c r="K15"/>
      <c r="L15"/>
      <c r="M15"/>
      <c r="N15"/>
      <c r="O15"/>
    </row>
    <row r="16" spans="1:16384" x14ac:dyDescent="0.2">
      <c r="A16" s="13"/>
      <c r="K16"/>
      <c r="L16"/>
      <c r="O16"/>
    </row>
    <row r="17" spans="1:15" x14ac:dyDescent="0.2">
      <c r="A17" s="13"/>
      <c r="K17"/>
      <c r="L17"/>
      <c r="O17"/>
    </row>
    <row r="18" spans="1:15" x14ac:dyDescent="0.2">
      <c r="K18"/>
      <c r="L18"/>
      <c r="O18"/>
    </row>
    <row r="19" spans="1:15" x14ac:dyDescent="0.2">
      <c r="K19"/>
      <c r="L19"/>
      <c r="M19"/>
      <c r="N19"/>
      <c r="O19"/>
    </row>
    <row r="20" spans="1:15" x14ac:dyDescent="0.2">
      <c r="B20" s="170"/>
      <c r="C20" s="170"/>
      <c r="D20" s="170"/>
      <c r="E20" s="170"/>
      <c r="F20" s="170"/>
      <c r="G20" s="216"/>
      <c r="H20" s="13"/>
      <c r="K20"/>
      <c r="L20"/>
      <c r="M20"/>
      <c r="N20"/>
      <c r="O20"/>
    </row>
    <row r="21" spans="1:15" x14ac:dyDescent="0.2">
      <c r="B21"/>
      <c r="C21"/>
      <c r="K21"/>
      <c r="L21"/>
      <c r="M21"/>
      <c r="N21"/>
      <c r="O21"/>
    </row>
    <row r="22" spans="1:15" x14ac:dyDescent="0.2">
      <c r="B22"/>
      <c r="C22"/>
    </row>
  </sheetData>
  <mergeCells count="2">
    <mergeCell ref="J10:N10"/>
    <mergeCell ref="J1:N1"/>
  </mergeCells>
  <pageMargins left="0.7" right="0.7" top="0.75" bottom="0.75" header="0.3" footer="0.3"/>
  <pageSetup orientation="portrait" horizontalDpi="0" verticalDpi="0"/>
  <legacyDrawing r:id="rId1"/>
</worksheet>
</file>

<file path=docMetadata/LabelInfo.xml><?xml version="1.0" encoding="utf-8"?>
<clbl:labelList xmlns:clbl="http://schemas.microsoft.com/office/2020/mipLabelMetadata">
  <clbl:label id="{ba5a7f39-e3be-4ab3-b450-67fa80faecad}" enabled="0" method="" siteId="{ba5a7f39-e3be-4ab3-b450-67fa80faeca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Cover Page</vt:lpstr>
      <vt:lpstr>SUMMARY</vt:lpstr>
      <vt:lpstr>Assumption Builds</vt:lpstr>
      <vt:lpstr>Seg Rev Build--Source Data</vt:lpstr>
      <vt:lpstr>Useful Life &amp; SG&amp;A Build</vt:lpstr>
      <vt:lpstr>Forecasts</vt:lpstr>
      <vt:lpstr>Segment Revenue Hist &amp; Forecast</vt:lpstr>
      <vt:lpstr>Three Statement Model</vt:lpstr>
      <vt:lpstr>WACC</vt:lpstr>
      <vt:lpstr>Valuation</vt:lpstr>
      <vt:lpstr>DCF Valuation &amp; Sensitivity</vt:lpstr>
      <vt:lpstr>Comparables</vt:lpstr>
      <vt:lpstr>LBO</vt:lpstr>
      <vt:lpstr>Key Fin vs Street &amp; EV Bridge</vt:lpstr>
      <vt:lpstr>Share Price Projection</vt:lpstr>
      <vt:lpstr>FB Field &amp; Price Projection</vt:lpstr>
      <vt:lpstr>LBO!Circ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CFI</dc:creator>
  <cp:keywords/>
  <dc:description/>
  <cp:lastModifiedBy>Sonad, Daniel</cp:lastModifiedBy>
  <cp:revision/>
  <dcterms:created xsi:type="dcterms:W3CDTF">2014-11-08T22:00:02Z</dcterms:created>
  <dcterms:modified xsi:type="dcterms:W3CDTF">2026-01-06T02:04:54Z</dcterms:modified>
  <cp:category/>
  <cp:contentStatus/>
</cp:coreProperties>
</file>