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/>
  <mc:AlternateContent xmlns:mc="http://schemas.openxmlformats.org/markup-compatibility/2006">
    <mc:Choice Requires="x15">
      <x15ac:absPath xmlns:x15ac="http://schemas.microsoft.com/office/spreadsheetml/2010/11/ac" url="/Users/dans/Desktop/"/>
    </mc:Choice>
  </mc:AlternateContent>
  <xr:revisionPtr revIDLastSave="0" documentId="13_ncr:1_{686E9CEB-3A6A-E44C-903D-B0FB20ED0711}" xr6:coauthVersionLast="47" xr6:coauthVersionMax="47" xr10:uidLastSave="{00000000-0000-0000-0000-000000000000}"/>
  <bookViews>
    <workbookView xWindow="0" yWindow="740" windowWidth="34560" windowHeight="21600" activeTab="11" xr2:uid="{00000000-000D-0000-FFFF-FFFF00000000}"/>
  </bookViews>
  <sheets>
    <sheet name="Cover Page" sheetId="6" r:id="rId1"/>
    <sheet name="Segment Revenue Build" sheetId="7" r:id="rId2"/>
    <sheet name="Segment Revenue Build 2" sheetId="13" r:id="rId3"/>
    <sheet name="Three Statement Model" sheetId="2" r:id="rId4"/>
    <sheet name="Modeled Useful Life+SG&amp;A brkdn" sheetId="5" r:id="rId5"/>
    <sheet name="DCF" sheetId="8" r:id="rId6"/>
    <sheet name="WACC" sheetId="14" r:id="rId7"/>
    <sheet name="One Pager" sheetId="15" r:id="rId8"/>
    <sheet name="Formatted" sheetId="9" r:id="rId9"/>
    <sheet name="Multiples" sheetId="10" r:id="rId10"/>
    <sheet name="FB Field" sheetId="11" r:id="rId11"/>
    <sheet name="General Assumptions" sheetId="12" r:id="rId12"/>
  </sheets>
  <externalReferences>
    <externalReference r:id="rId13"/>
  </externalReferences>
  <definedNames>
    <definedName name="_xlnm._FilterDatabase" localSheetId="4" hidden="1">'Modeled Useful Life+SG&amp;A brkdn'!$A$36:$E$46</definedName>
    <definedName name="_xlchart.v1.0" hidden="1">'Three Statement Model'!$W$158:$W$169</definedName>
    <definedName name="_xlchart.v1.1" hidden="1">'Three Statement Model'!$X$158:$X$169</definedName>
    <definedName name="_xlchart.v1.10" hidden="1">DCF!$F$23:$J$23</definedName>
    <definedName name="_xlchart.v1.11" hidden="1">DCF!$F$5:$J$5</definedName>
    <definedName name="_xlchart.v1.12" hidden="1">DCF!$F$11:$J$11</definedName>
    <definedName name="_xlchart.v1.13" hidden="1">DCF!$F$23:$J$23</definedName>
    <definedName name="_xlchart.v1.14" hidden="1">DCF!$F$5:$J$5</definedName>
    <definedName name="_xlchart.v1.15" hidden="1">DCF!$F$11:$J$11</definedName>
    <definedName name="_xlchart.v1.16" hidden="1">DCF!$F$23:$J$23</definedName>
    <definedName name="_xlchart.v1.17" hidden="1">DCF!$F$5:$J$5</definedName>
    <definedName name="_xlchart.v1.2" hidden="1">'Three Statement Model'!$W$158:$W$169</definedName>
    <definedName name="_xlchart.v1.3" hidden="1">'Three Statement Model'!$X$158:$X$169</definedName>
    <definedName name="_xlchart.v1.4" hidden="1">'Three Statement Model'!$W$158:$W$169</definedName>
    <definedName name="_xlchart.v1.5" hidden="1">'Three Statement Model'!$X$158:$X$169</definedName>
    <definedName name="_xlchart.v1.6" hidden="1">DCF!$F$11:$J$11</definedName>
    <definedName name="_xlchart.v1.7" hidden="1">DCF!$F$23:$J$23</definedName>
    <definedName name="_xlchart.v1.8" hidden="1">DCF!$F$5:$J$5</definedName>
    <definedName name="_xlchart.v1.9" hidden="1">DCF!$F$11:$J$11</definedName>
    <definedName name="CIQWBGuid">"2cd8126d-26c3-430c-b7fa-a069e3a1fc62"</definedName>
    <definedName name="IQ_CH">110000</definedName>
    <definedName name="IQ_CQ">5000</definedName>
    <definedName name="IQ_CY">10000</definedName>
    <definedName name="IQ_DAILY">500000</definedName>
    <definedName name="IQ_DNTM">700000</definedName>
    <definedName name="IQ_FH">100000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LATESTK">1000</definedName>
    <definedName name="IQ_LATESTQ">500</definedName>
    <definedName name="IQ_LTM">2000</definedName>
    <definedName name="IQ_LTMMONTH">120000</definedName>
    <definedName name="IQ_MONTH">15000</definedName>
    <definedName name="IQ_MTD">800000</definedName>
    <definedName name="IQ_NAMES_REVISION_DATE_">"10/01/2018 15:52:08"</definedName>
    <definedName name="IQ_NTM">6000</definedName>
    <definedName name="IQ_QTD">750000</definedName>
    <definedName name="IQ_TODAY">0</definedName>
    <definedName name="IQ_WEEK">50000</definedName>
    <definedName name="IQ_YTD">3000</definedName>
    <definedName name="IQ_YTDMONTH">130000</definedName>
    <definedName name="solver_adj" localSheetId="4" hidden="1">'Modeled Useful Life+SG&amp;A brkdn'!$B$10:$B$12</definedName>
    <definedName name="solver_adj" localSheetId="3" hidden="1">'Three Statement Model'!#REF!</definedName>
    <definedName name="solver_cvg" localSheetId="4" hidden="1">0.0001</definedName>
    <definedName name="solver_cvg" localSheetId="3" hidden="1">0.0001</definedName>
    <definedName name="solver_drv" localSheetId="4" hidden="1">1</definedName>
    <definedName name="solver_drv" localSheetId="3" hidden="1">1</definedName>
    <definedName name="solver_eng" localSheetId="4" hidden="1">1</definedName>
    <definedName name="solver_eng" localSheetId="3" hidden="1">1</definedName>
    <definedName name="solver_itr" localSheetId="4" hidden="1">2147483647</definedName>
    <definedName name="solver_itr" localSheetId="3" hidden="1">2147483647</definedName>
    <definedName name="solver_lhs1" localSheetId="4" hidden="1">'Modeled Useful Life+SG&amp;A brkdn'!$B$10</definedName>
    <definedName name="solver_lhs1" localSheetId="3" hidden="1">'Three Statement Model'!#REF!</definedName>
    <definedName name="solver_lhs2" localSheetId="4" hidden="1">'Modeled Useful Life+SG&amp;A brkdn'!$B$10</definedName>
    <definedName name="solver_lhs2" localSheetId="3" hidden="1">'Three Statement Model'!#REF!</definedName>
    <definedName name="solver_lhs3" localSheetId="4" hidden="1">'Modeled Useful Life+SG&amp;A brkdn'!$B$11</definedName>
    <definedName name="solver_lhs3" localSheetId="3" hidden="1">'Three Statement Model'!#REF!</definedName>
    <definedName name="solver_lhs4" localSheetId="4" hidden="1">'Modeled Useful Life+SG&amp;A brkdn'!$B$11</definedName>
    <definedName name="solver_lhs4" localSheetId="3" hidden="1">'Three Statement Model'!#REF!</definedName>
    <definedName name="solver_lhs5" localSheetId="4" hidden="1">'Modeled Useful Life+SG&amp;A brkdn'!$B$12</definedName>
    <definedName name="solver_lhs5" localSheetId="3" hidden="1">'Three Statement Model'!#REF!</definedName>
    <definedName name="solver_lhs6" localSheetId="4" hidden="1">'Modeled Useful Life+SG&amp;A brkdn'!$B$12</definedName>
    <definedName name="solver_lhs6" localSheetId="3" hidden="1">'Three Statement Model'!#REF!</definedName>
    <definedName name="solver_lin" localSheetId="4" hidden="1">2</definedName>
    <definedName name="solver_lin" localSheetId="3" hidden="1">2</definedName>
    <definedName name="solver_mip" localSheetId="4" hidden="1">2147483647</definedName>
    <definedName name="solver_mip" localSheetId="3" hidden="1">2147483647</definedName>
    <definedName name="solver_mni" localSheetId="4" hidden="1">30</definedName>
    <definedName name="solver_mni" localSheetId="3" hidden="1">30</definedName>
    <definedName name="solver_mrt" localSheetId="4" hidden="1">0.075</definedName>
    <definedName name="solver_mrt" localSheetId="3" hidden="1">0.075</definedName>
    <definedName name="solver_msl" localSheetId="4" hidden="1">2</definedName>
    <definedName name="solver_msl" localSheetId="3" hidden="1">2</definedName>
    <definedName name="solver_neg" localSheetId="4" hidden="1">1</definedName>
    <definedName name="solver_neg" localSheetId="3" hidden="1">1</definedName>
    <definedName name="solver_nod" localSheetId="4" hidden="1">2147483647</definedName>
    <definedName name="solver_nod" localSheetId="3" hidden="1">2147483647</definedName>
    <definedName name="solver_num" localSheetId="4" hidden="1">6</definedName>
    <definedName name="solver_num" localSheetId="3" hidden="1">1</definedName>
    <definedName name="solver_opt" localSheetId="4" hidden="1">'Modeled Useful Life+SG&amp;A brkdn'!$B$19</definedName>
    <definedName name="solver_opt" localSheetId="3" hidden="1">'Three Statement Model'!#REF!</definedName>
    <definedName name="solver_pre" localSheetId="4" hidden="1">0.000001</definedName>
    <definedName name="solver_pre" localSheetId="3" hidden="1">0.000001</definedName>
    <definedName name="solver_rbv" localSheetId="4" hidden="1">1</definedName>
    <definedName name="solver_rbv" localSheetId="3" hidden="1">1</definedName>
    <definedName name="solver_rel1" localSheetId="4" hidden="1">1</definedName>
    <definedName name="solver_rel1" localSheetId="3" hidden="1">2</definedName>
    <definedName name="solver_rel2" localSheetId="4" hidden="1">3</definedName>
    <definedName name="solver_rel2" localSheetId="3" hidden="1">3</definedName>
    <definedName name="solver_rel3" localSheetId="4" hidden="1">1</definedName>
    <definedName name="solver_rel3" localSheetId="3" hidden="1">2</definedName>
    <definedName name="solver_rel4" localSheetId="4" hidden="1">3</definedName>
    <definedName name="solver_rel4" localSheetId="3" hidden="1">2</definedName>
    <definedName name="solver_rel5" localSheetId="4" hidden="1">1</definedName>
    <definedName name="solver_rel5" localSheetId="3" hidden="1">3</definedName>
    <definedName name="solver_rel6" localSheetId="4" hidden="1">3</definedName>
    <definedName name="solver_rel6" localSheetId="3" hidden="1">2</definedName>
    <definedName name="solver_rhs1" localSheetId="4" hidden="1">35</definedName>
    <definedName name="solver_rhs1" localSheetId="3" hidden="1">1</definedName>
    <definedName name="solver_rhs2" localSheetId="4" hidden="1">5</definedName>
    <definedName name="solver_rhs2" localSheetId="3" hidden="1">0.01</definedName>
    <definedName name="solver_rhs3" localSheetId="4" hidden="1">35</definedName>
    <definedName name="solver_rhs3" localSheetId="3" hidden="1">1</definedName>
    <definedName name="solver_rhs4" localSheetId="4" hidden="1">5</definedName>
    <definedName name="solver_rhs4" localSheetId="3" hidden="1">1</definedName>
    <definedName name="solver_rhs5" localSheetId="4" hidden="1">15</definedName>
    <definedName name="solver_rhs5" localSheetId="3" hidden="1">0.01</definedName>
    <definedName name="solver_rhs6" localSheetId="4" hidden="1">2</definedName>
    <definedName name="solver_rhs6" localSheetId="3" hidden="1">1</definedName>
    <definedName name="solver_rlx" localSheetId="4" hidden="1">2</definedName>
    <definedName name="solver_rlx" localSheetId="3" hidden="1">1</definedName>
    <definedName name="solver_rsd" localSheetId="4" hidden="1">0</definedName>
    <definedName name="solver_rsd" localSheetId="3" hidden="1">0</definedName>
    <definedName name="solver_scl" localSheetId="4" hidden="1">1</definedName>
    <definedName name="solver_scl" localSheetId="3" hidden="1">2</definedName>
    <definedName name="solver_sho" localSheetId="4" hidden="1">2</definedName>
    <definedName name="solver_sho" localSheetId="3" hidden="1">2</definedName>
    <definedName name="solver_ssz" localSheetId="4" hidden="1">100</definedName>
    <definedName name="solver_ssz" localSheetId="3" hidden="1">100</definedName>
    <definedName name="solver_tim" localSheetId="4" hidden="1">2147483647</definedName>
    <definedName name="solver_tim" localSheetId="3" hidden="1">2147483647</definedName>
    <definedName name="solver_tol" localSheetId="4" hidden="1">0.01</definedName>
    <definedName name="solver_tol" localSheetId="3" hidden="1">0.01</definedName>
    <definedName name="solver_typ" localSheetId="4" hidden="1">2</definedName>
    <definedName name="solver_typ" localSheetId="3" hidden="1">2</definedName>
    <definedName name="solver_val" localSheetId="4" hidden="1">0</definedName>
    <definedName name="solver_val" localSheetId="3" hidden="1">0</definedName>
    <definedName name="solver_ver" localSheetId="4" hidden="1">2</definedName>
    <definedName name="solver_ver" localSheetId="3" hidden="1">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5" roundtripDataSignature="AMtx7mhWz6wbBQJYzkd08k8WBcMP626QnQ=="/>
    </ext>
  </extLst>
</workbook>
</file>

<file path=xl/calcChain.xml><?xml version="1.0" encoding="utf-8"?>
<calcChain xmlns="http://schemas.openxmlformats.org/spreadsheetml/2006/main">
  <c r="M28" i="5" l="1"/>
  <c r="M31" i="5"/>
  <c r="M30" i="5"/>
  <c r="L35" i="7"/>
  <c r="E182" i="2"/>
  <c r="F182" i="2"/>
  <c r="G182" i="2"/>
  <c r="H182" i="2"/>
  <c r="E183" i="2"/>
  <c r="F183" i="2"/>
  <c r="G183" i="2"/>
  <c r="H183" i="2"/>
  <c r="E181" i="2"/>
  <c r="F181" i="2" s="1"/>
  <c r="G181" i="2" s="1"/>
  <c r="H181" i="2" s="1"/>
  <c r="D183" i="2"/>
  <c r="D182" i="2"/>
  <c r="K63" i="7"/>
  <c r="K60" i="7"/>
  <c r="O27" i="15"/>
  <c r="K32" i="15" a="1"/>
  <c r="I32" i="15" a="1"/>
  <c r="K32" i="15" l="1"/>
  <c r="X19" i="15" s="1"/>
  <c r="I32" i="15"/>
  <c r="D2" i="15"/>
  <c r="E2" i="15" s="1"/>
  <c r="F2" i="15" s="1"/>
  <c r="G2" i="15" s="1"/>
  <c r="J8" i="14"/>
  <c r="J6" i="14"/>
  <c r="J4" i="14"/>
  <c r="G7" i="14"/>
  <c r="G6" i="14"/>
  <c r="G11" i="14" s="1"/>
  <c r="G5" i="14"/>
  <c r="J5" i="14" l="1"/>
  <c r="J7" i="14"/>
  <c r="F13" i="14" l="1"/>
  <c r="J11" i="14"/>
  <c r="M23" i="13"/>
  <c r="M22" i="13"/>
  <c r="N5" i="13"/>
  <c r="P5" i="13"/>
  <c r="Q5" i="13"/>
  <c r="M8" i="13"/>
  <c r="M7" i="13"/>
  <c r="M6" i="13"/>
  <c r="M5" i="13"/>
  <c r="M18" i="13"/>
  <c r="N13" i="13"/>
  <c r="O13" i="13"/>
  <c r="P13" i="13"/>
  <c r="Q13" i="13"/>
  <c r="M13" i="13"/>
  <c r="M14" i="13"/>
  <c r="M12" i="13"/>
  <c r="N2" i="13"/>
  <c r="O2" i="13" s="1"/>
  <c r="P2" i="13" s="1"/>
  <c r="Q2" i="13" s="1"/>
  <c r="F2" i="13"/>
  <c r="G2" i="13"/>
  <c r="H2" i="13"/>
  <c r="E2" i="13"/>
  <c r="I18" i="2"/>
  <c r="L7" i="7"/>
  <c r="M5" i="7"/>
  <c r="N5" i="7" s="1"/>
  <c r="O5" i="7" s="1"/>
  <c r="P5" i="7" s="1"/>
  <c r="Q5" i="7" s="1"/>
  <c r="K18" i="2"/>
  <c r="J18" i="2"/>
  <c r="E14" i="2"/>
  <c r="I14" i="2" s="1"/>
  <c r="F14" i="2"/>
  <c r="G14" i="2"/>
  <c r="H14" i="2"/>
  <c r="D14" i="2"/>
  <c r="M7" i="7"/>
  <c r="N14" i="13" s="1"/>
  <c r="L4" i="7"/>
  <c r="K31" i="8"/>
  <c r="K4" i="7"/>
  <c r="D4" i="7"/>
  <c r="L14" i="7"/>
  <c r="L12" i="7"/>
  <c r="L11" i="7"/>
  <c r="L10" i="7" s="1"/>
  <c r="D12" i="13" s="1"/>
  <c r="D13" i="13" s="1"/>
  <c r="M17" i="13" l="1"/>
  <c r="Q12" i="13"/>
  <c r="O12" i="13"/>
  <c r="N12" i="13"/>
  <c r="P12" i="13"/>
  <c r="J14" i="2"/>
  <c r="K14" i="2" s="1"/>
  <c r="L14" i="2" s="1"/>
  <c r="M14" i="2"/>
  <c r="M4" i="7"/>
  <c r="N7" i="7"/>
  <c r="O14" i="13" s="1"/>
  <c r="M12" i="7"/>
  <c r="N12" i="7" l="1"/>
  <c r="N18" i="13"/>
  <c r="N4" i="7"/>
  <c r="O7" i="7"/>
  <c r="P14" i="13" s="1"/>
  <c r="O12" i="7" l="1"/>
  <c r="O18" i="13"/>
  <c r="P7" i="7"/>
  <c r="Q14" i="13" s="1"/>
  <c r="O4" i="7"/>
  <c r="P12" i="7" l="1"/>
  <c r="P18" i="13"/>
  <c r="Q7" i="7"/>
  <c r="Q4" i="7" s="1"/>
  <c r="P4" i="7"/>
  <c r="Q12" i="7" l="1"/>
  <c r="Q18" i="13"/>
  <c r="C12" i="12"/>
  <c r="K11" i="7"/>
  <c r="E11" i="7"/>
  <c r="F11" i="7"/>
  <c r="G11" i="7"/>
  <c r="H11" i="7"/>
  <c r="I11" i="7"/>
  <c r="J11" i="7"/>
  <c r="D11" i="7"/>
  <c r="M66" i="7"/>
  <c r="L45" i="7"/>
  <c r="K57" i="7"/>
  <c r="K47" i="7"/>
  <c r="M46" i="7" s="1"/>
  <c r="N23" i="13" s="1"/>
  <c r="K48" i="7"/>
  <c r="K62" i="7"/>
  <c r="I8" i="2"/>
  <c r="D40" i="8"/>
  <c r="M32" i="7"/>
  <c r="Q31" i="7"/>
  <c r="M45" i="7"/>
  <c r="N22" i="13" s="1"/>
  <c r="M33" i="7"/>
  <c r="K8" i="2"/>
  <c r="J8" i="2"/>
  <c r="I20" i="8"/>
  <c r="I14" i="8" s="1"/>
  <c r="H20" i="8"/>
  <c r="H14" i="8" s="1"/>
  <c r="G20" i="8"/>
  <c r="G14" i="8" s="1"/>
  <c r="F20" i="8"/>
  <c r="F14" i="8" s="1"/>
  <c r="I5" i="8"/>
  <c r="I6" i="8" s="1"/>
  <c r="H5" i="8"/>
  <c r="H6" i="8" s="1"/>
  <c r="G5" i="8"/>
  <c r="G6" i="8" s="1"/>
  <c r="F5" i="8"/>
  <c r="I2" i="8"/>
  <c r="H2" i="8" s="1"/>
  <c r="G2" i="8" s="1"/>
  <c r="F2" i="8" s="1"/>
  <c r="L42" i="7"/>
  <c r="M21" i="13" s="1"/>
  <c r="J4" i="8"/>
  <c r="I4" i="8" s="1"/>
  <c r="H4" i="8" s="1"/>
  <c r="G4" i="8" s="1"/>
  <c r="F4" i="8" s="1"/>
  <c r="J5" i="8"/>
  <c r="J6" i="8" s="1"/>
  <c r="N31" i="7"/>
  <c r="O5" i="13" s="1"/>
  <c r="E4" i="7"/>
  <c r="E22" i="7" s="1"/>
  <c r="F4" i="7"/>
  <c r="G4" i="7"/>
  <c r="H4" i="7"/>
  <c r="I4" i="7"/>
  <c r="J4" i="7"/>
  <c r="D9" i="7"/>
  <c r="E9" i="7"/>
  <c r="F9" i="7"/>
  <c r="G9" i="7"/>
  <c r="H9" i="7"/>
  <c r="I9" i="7"/>
  <c r="J9" i="7"/>
  <c r="K9" i="7"/>
  <c r="D49" i="8"/>
  <c r="F7" i="2"/>
  <c r="G7" i="2"/>
  <c r="C5" i="15" s="1"/>
  <c r="H7" i="2"/>
  <c r="D5" i="15" s="1"/>
  <c r="O7" i="2"/>
  <c r="P7" i="2"/>
  <c r="Q7" i="2"/>
  <c r="R7" i="2"/>
  <c r="E7" i="2"/>
  <c r="E23" i="10"/>
  <c r="F23" i="10" s="1"/>
  <c r="G23" i="10" s="1"/>
  <c r="J20" i="8"/>
  <c r="J14" i="8" s="1"/>
  <c r="J21" i="8"/>
  <c r="E147" i="2"/>
  <c r="F147" i="2"/>
  <c r="G147" i="2"/>
  <c r="H147" i="2"/>
  <c r="D147" i="2"/>
  <c r="C20" i="12"/>
  <c r="C13" i="12"/>
  <c r="G9" i="11"/>
  <c r="G16" i="10"/>
  <c r="G25" i="10" s="1"/>
  <c r="E8" i="11" s="1"/>
  <c r="F16" i="10"/>
  <c r="F20" i="10" s="1"/>
  <c r="E16" i="10"/>
  <c r="E20" i="10" s="1"/>
  <c r="G15" i="10"/>
  <c r="F15" i="10"/>
  <c r="E15" i="10"/>
  <c r="G19" i="9"/>
  <c r="F19" i="9"/>
  <c r="E19" i="9"/>
  <c r="D19" i="9"/>
  <c r="C19" i="9"/>
  <c r="I19" i="9" s="1"/>
  <c r="G16" i="9"/>
  <c r="F16" i="9"/>
  <c r="E16" i="9"/>
  <c r="D16" i="9"/>
  <c r="C16" i="9"/>
  <c r="I16" i="9" s="1"/>
  <c r="H14" i="9"/>
  <c r="G13" i="9"/>
  <c r="F13" i="9"/>
  <c r="E13" i="9"/>
  <c r="D13" i="9"/>
  <c r="C13" i="9"/>
  <c r="H11" i="9"/>
  <c r="G9" i="9"/>
  <c r="F9" i="9"/>
  <c r="E9" i="9"/>
  <c r="D9" i="9"/>
  <c r="C9" i="9"/>
  <c r="H7" i="9"/>
  <c r="G6" i="9"/>
  <c r="F6" i="9"/>
  <c r="E6" i="9"/>
  <c r="D6" i="9"/>
  <c r="C6" i="9"/>
  <c r="G3" i="9"/>
  <c r="F3" i="9"/>
  <c r="E3" i="9"/>
  <c r="D3" i="9"/>
  <c r="C3" i="9"/>
  <c r="I3" i="9" s="1"/>
  <c r="R93" i="8"/>
  <c r="R94" i="8" s="1"/>
  <c r="R91" i="8"/>
  <c r="R90" i="8" s="1"/>
  <c r="V89" i="8"/>
  <c r="W89" i="8" s="1"/>
  <c r="T89" i="8"/>
  <c r="S89" i="8" s="1"/>
  <c r="V81" i="8"/>
  <c r="W81" i="8" s="1"/>
  <c r="T81" i="8"/>
  <c r="S81" i="8" s="1"/>
  <c r="D52" i="8"/>
  <c r="C17" i="15" s="1"/>
  <c r="D17" i="15" s="1"/>
  <c r="E17" i="15" s="1"/>
  <c r="F17" i="15" s="1"/>
  <c r="G17" i="15" s="1"/>
  <c r="D41" i="8"/>
  <c r="D60" i="8"/>
  <c r="K25" i="8"/>
  <c r="L25" i="8" s="1"/>
  <c r="K2" i="8"/>
  <c r="L2" i="8" s="1"/>
  <c r="M2" i="8" s="1"/>
  <c r="N2" i="8" s="1"/>
  <c r="O2" i="8" s="1"/>
  <c r="O4" i="8" s="1"/>
  <c r="K58" i="7"/>
  <c r="K56" i="7"/>
  <c r="M55" i="7" s="1"/>
  <c r="B27" i="7"/>
  <c r="F35" i="7"/>
  <c r="E35" i="7"/>
  <c r="D19" i="7"/>
  <c r="E19" i="7"/>
  <c r="F19" i="7"/>
  <c r="G19" i="7"/>
  <c r="H19" i="7"/>
  <c r="I19" i="7"/>
  <c r="J19" i="7"/>
  <c r="K19" i="7"/>
  <c r="M36" i="7"/>
  <c r="C27" i="7"/>
  <c r="D27" i="7"/>
  <c r="E27" i="7"/>
  <c r="G35" i="7"/>
  <c r="H35" i="7"/>
  <c r="I35" i="7"/>
  <c r="J35" i="7"/>
  <c r="K35" i="7"/>
  <c r="C16" i="7"/>
  <c r="C22" i="7"/>
  <c r="J29" i="2"/>
  <c r="K29" i="2" s="1"/>
  <c r="L29" i="2" s="1"/>
  <c r="M29" i="2" s="1"/>
  <c r="N29" i="2" s="1"/>
  <c r="O29" i="2" s="1"/>
  <c r="P29" i="2" s="1"/>
  <c r="Q29" i="2" s="1"/>
  <c r="R29" i="2" s="1"/>
  <c r="H58" i="2"/>
  <c r="E58" i="2"/>
  <c r="F58" i="2"/>
  <c r="G58" i="2"/>
  <c r="I172" i="2"/>
  <c r="J24" i="2"/>
  <c r="K24" i="2" s="1"/>
  <c r="L24" i="2" s="1"/>
  <c r="M24" i="2" s="1"/>
  <c r="N24" i="2" s="1"/>
  <c r="O24" i="2" s="1"/>
  <c r="P24" i="2" s="1"/>
  <c r="Q24" i="2" s="1"/>
  <c r="R24" i="2" s="1"/>
  <c r="D171" i="2"/>
  <c r="E171" i="2"/>
  <c r="F171" i="2"/>
  <c r="G171" i="2"/>
  <c r="H171" i="2"/>
  <c r="I171" i="2" s="1"/>
  <c r="J171" i="2" s="1"/>
  <c r="K171" i="2" s="1"/>
  <c r="L171" i="2" s="1"/>
  <c r="M171" i="2" s="1"/>
  <c r="N171" i="2" s="1"/>
  <c r="O171" i="2" s="1"/>
  <c r="P171" i="2" s="1"/>
  <c r="Q171" i="2" s="1"/>
  <c r="R171" i="2" s="1"/>
  <c r="E173" i="2"/>
  <c r="F173" i="2"/>
  <c r="G173" i="2"/>
  <c r="H173" i="2"/>
  <c r="D173" i="2"/>
  <c r="I177" i="2"/>
  <c r="I133" i="2" s="1"/>
  <c r="J22" i="2"/>
  <c r="J177" i="2" s="1"/>
  <c r="J133" i="2" s="1"/>
  <c r="I69" i="2"/>
  <c r="J69" i="2" s="1"/>
  <c r="K69" i="2" s="1"/>
  <c r="L69" i="2" s="1"/>
  <c r="M69" i="2" s="1"/>
  <c r="N69" i="2" s="1"/>
  <c r="O69" i="2" s="1"/>
  <c r="P69" i="2" s="1"/>
  <c r="Q69" i="2" s="1"/>
  <c r="R69" i="2" s="1"/>
  <c r="F165" i="2"/>
  <c r="G165" i="2"/>
  <c r="H165" i="2"/>
  <c r="I165" i="2" s="1"/>
  <c r="J165" i="2" s="1"/>
  <c r="K165" i="2" s="1"/>
  <c r="L165" i="2" s="1"/>
  <c r="M165" i="2" s="1"/>
  <c r="N165" i="2" s="1"/>
  <c r="O165" i="2" s="1"/>
  <c r="P165" i="2" s="1"/>
  <c r="Q165" i="2" s="1"/>
  <c r="R165" i="2" s="1"/>
  <c r="D165" i="2"/>
  <c r="E165" i="2"/>
  <c r="E41" i="2"/>
  <c r="F41" i="2"/>
  <c r="G41" i="2"/>
  <c r="H41" i="2"/>
  <c r="D144" i="2"/>
  <c r="E144" i="2"/>
  <c r="F144" i="2"/>
  <c r="G144" i="2"/>
  <c r="H144" i="2"/>
  <c r="D145" i="2"/>
  <c r="E145" i="2"/>
  <c r="F145" i="2"/>
  <c r="G145" i="2"/>
  <c r="H145" i="2"/>
  <c r="D146" i="2"/>
  <c r="E146" i="2"/>
  <c r="F146" i="2"/>
  <c r="G146" i="2"/>
  <c r="H146" i="2"/>
  <c r="I132" i="2"/>
  <c r="J132" i="2" s="1"/>
  <c r="K132" i="2" s="1"/>
  <c r="L132" i="2" s="1"/>
  <c r="H177" i="2"/>
  <c r="H176" i="2"/>
  <c r="I72" i="2"/>
  <c r="J72" i="2" s="1"/>
  <c r="K72" i="2" s="1"/>
  <c r="L72" i="2" s="1"/>
  <c r="M72" i="2" s="1"/>
  <c r="N72" i="2" s="1"/>
  <c r="O72" i="2" s="1"/>
  <c r="P72" i="2" s="1"/>
  <c r="Q72" i="2" s="1"/>
  <c r="R72" i="2" s="1"/>
  <c r="I95" i="2"/>
  <c r="J95" i="2" s="1"/>
  <c r="K95" i="2" s="1"/>
  <c r="L95" i="2" s="1"/>
  <c r="M95" i="2" s="1"/>
  <c r="N95" i="2" s="1"/>
  <c r="O95" i="2" s="1"/>
  <c r="P95" i="2" s="1"/>
  <c r="Q95" i="2" s="1"/>
  <c r="R95" i="2" s="1"/>
  <c r="I85" i="2"/>
  <c r="J85" i="2" s="1"/>
  <c r="K85" i="2" s="1"/>
  <c r="L85" i="2" s="1"/>
  <c r="M85" i="2" s="1"/>
  <c r="N85" i="2" s="1"/>
  <c r="O85" i="2" s="1"/>
  <c r="P85" i="2" s="1"/>
  <c r="Q85" i="2" s="1"/>
  <c r="R85" i="2" s="1"/>
  <c r="I73" i="2"/>
  <c r="J73" i="2" s="1"/>
  <c r="K73" i="2" s="1"/>
  <c r="L73" i="2" s="1"/>
  <c r="M73" i="2" s="1"/>
  <c r="N73" i="2" s="1"/>
  <c r="O73" i="2" s="1"/>
  <c r="P73" i="2" s="1"/>
  <c r="Q73" i="2" s="1"/>
  <c r="R73" i="2" s="1"/>
  <c r="E153" i="2"/>
  <c r="F153" i="2"/>
  <c r="G153" i="2"/>
  <c r="H153" i="2"/>
  <c r="J153" i="2" s="1"/>
  <c r="D153" i="2"/>
  <c r="I92" i="2"/>
  <c r="J92" i="2" s="1"/>
  <c r="K92" i="2" s="1"/>
  <c r="I89" i="2"/>
  <c r="J89" i="2" s="1"/>
  <c r="K89" i="2" s="1"/>
  <c r="L89" i="2" s="1"/>
  <c r="M89" i="2" s="1"/>
  <c r="N89" i="2" s="1"/>
  <c r="O89" i="2" s="1"/>
  <c r="P89" i="2" s="1"/>
  <c r="Q89" i="2" s="1"/>
  <c r="R89" i="2" s="1"/>
  <c r="I82" i="2"/>
  <c r="I87" i="2"/>
  <c r="J87" i="2" s="1"/>
  <c r="K87" i="2" s="1"/>
  <c r="L87" i="2" s="1"/>
  <c r="M87" i="2" s="1"/>
  <c r="N87" i="2" s="1"/>
  <c r="O87" i="2" s="1"/>
  <c r="P87" i="2" s="1"/>
  <c r="Q87" i="2" s="1"/>
  <c r="R87" i="2" s="1"/>
  <c r="I84" i="2"/>
  <c r="J84" i="2" s="1"/>
  <c r="K84" i="2" s="1"/>
  <c r="L84" i="2" s="1"/>
  <c r="M84" i="2" s="1"/>
  <c r="N84" i="2" s="1"/>
  <c r="O84" i="2" s="1"/>
  <c r="P84" i="2" s="1"/>
  <c r="Q84" i="2" s="1"/>
  <c r="R84" i="2" s="1"/>
  <c r="I81" i="2"/>
  <c r="J81" i="2" s="1"/>
  <c r="K81" i="2" s="1"/>
  <c r="L81" i="2" s="1"/>
  <c r="M81" i="2" s="1"/>
  <c r="N81" i="2" s="1"/>
  <c r="O81" i="2" s="1"/>
  <c r="P81" i="2" s="1"/>
  <c r="Q81" i="2" s="1"/>
  <c r="R81" i="2" s="1"/>
  <c r="J25" i="2"/>
  <c r="K25" i="2" s="1"/>
  <c r="L25" i="2" s="1"/>
  <c r="M25" i="2" s="1"/>
  <c r="N25" i="2" s="1"/>
  <c r="O25" i="2" s="1"/>
  <c r="P25" i="2" s="1"/>
  <c r="Q25" i="2" s="1"/>
  <c r="R25" i="2" s="1"/>
  <c r="D96" i="2"/>
  <c r="E96" i="2"/>
  <c r="F96" i="2"/>
  <c r="G96" i="2"/>
  <c r="H96" i="2"/>
  <c r="I79" i="2"/>
  <c r="J79" i="2" s="1"/>
  <c r="K79" i="2" s="1"/>
  <c r="I74" i="2"/>
  <c r="J74" i="2" s="1"/>
  <c r="K74" i="2" s="1"/>
  <c r="L74" i="2" s="1"/>
  <c r="M74" i="2" s="1"/>
  <c r="N74" i="2" s="1"/>
  <c r="O74" i="2" s="1"/>
  <c r="P74" i="2" s="1"/>
  <c r="Q74" i="2" s="1"/>
  <c r="R74" i="2" s="1"/>
  <c r="I22" i="7" l="1"/>
  <c r="N36" i="7"/>
  <c r="N8" i="13"/>
  <c r="N32" i="7"/>
  <c r="N6" i="13"/>
  <c r="N33" i="7"/>
  <c r="N7" i="13"/>
  <c r="F17" i="9"/>
  <c r="G21" i="10"/>
  <c r="K32" i="8"/>
  <c r="K49" i="7"/>
  <c r="P46" i="7" s="1"/>
  <c r="Q23" i="13" s="1"/>
  <c r="L9" i="7"/>
  <c r="M9" i="7" s="1"/>
  <c r="N9" i="7" s="1"/>
  <c r="O9" i="7" s="1"/>
  <c r="P9" i="7" s="1"/>
  <c r="F22" i="7"/>
  <c r="D71" i="8"/>
  <c r="K33" i="8"/>
  <c r="K34" i="8" s="1"/>
  <c r="K35" i="8" s="1"/>
  <c r="D61" i="8" s="1"/>
  <c r="J11" i="2"/>
  <c r="N66" i="7"/>
  <c r="M59" i="7"/>
  <c r="M51" i="7"/>
  <c r="Q19" i="7"/>
  <c r="K22" i="7"/>
  <c r="J22" i="7"/>
  <c r="D11" i="9"/>
  <c r="D4" i="9"/>
  <c r="E4" i="9"/>
  <c r="F4" i="9"/>
  <c r="G4" i="9"/>
  <c r="I6" i="9"/>
  <c r="C7" i="9"/>
  <c r="D7" i="9"/>
  <c r="E7" i="9"/>
  <c r="F7" i="9"/>
  <c r="G7" i="9"/>
  <c r="C11" i="9"/>
  <c r="I9" i="9"/>
  <c r="D10" i="9"/>
  <c r="E11" i="9"/>
  <c r="E10" i="9"/>
  <c r="F11" i="9"/>
  <c r="F10" i="9"/>
  <c r="G10" i="9"/>
  <c r="G11" i="9"/>
  <c r="H10" i="9"/>
  <c r="C14" i="9"/>
  <c r="I13" i="9"/>
  <c r="D14" i="9"/>
  <c r="E14" i="9"/>
  <c r="F14" i="9"/>
  <c r="G14" i="9"/>
  <c r="D17" i="9"/>
  <c r="H17" i="9"/>
  <c r="G17" i="9"/>
  <c r="D20" i="9"/>
  <c r="E20" i="9"/>
  <c r="F20" i="9"/>
  <c r="G20" i="9"/>
  <c r="H20" i="9"/>
  <c r="F148" i="2"/>
  <c r="G148" i="2"/>
  <c r="E148" i="2"/>
  <c r="H148" i="2"/>
  <c r="D148" i="2"/>
  <c r="K4" i="8"/>
  <c r="N4" i="8"/>
  <c r="M4" i="8"/>
  <c r="L4" i="8"/>
  <c r="L50" i="7"/>
  <c r="I16" i="7"/>
  <c r="K16" i="7"/>
  <c r="D22" i="7"/>
  <c r="G16" i="7"/>
  <c r="J16" i="7"/>
  <c r="H16" i="7"/>
  <c r="G22" i="7"/>
  <c r="H22" i="7"/>
  <c r="N7" i="11"/>
  <c r="D8" i="11"/>
  <c r="C8" i="11"/>
  <c r="M25" i="8"/>
  <c r="L26" i="8"/>
  <c r="G22" i="10"/>
  <c r="G20" i="10" s="1"/>
  <c r="N8" i="11" s="1"/>
  <c r="N6" i="11"/>
  <c r="D68" i="8"/>
  <c r="H4" i="9"/>
  <c r="E17" i="9"/>
  <c r="E21" i="10"/>
  <c r="E22" i="10" s="1"/>
  <c r="E25" i="10" s="1"/>
  <c r="K26" i="8"/>
  <c r="F21" i="10"/>
  <c r="F22" i="10" s="1"/>
  <c r="F25" i="10" s="1"/>
  <c r="E7" i="11" s="1"/>
  <c r="Y6" i="11"/>
  <c r="N45" i="7"/>
  <c r="N55" i="7"/>
  <c r="O55" i="7" s="1"/>
  <c r="P55" i="7" s="1"/>
  <c r="Q55" i="7" s="1"/>
  <c r="L19" i="7"/>
  <c r="L18" i="7" s="1"/>
  <c r="D24" i="13" s="1"/>
  <c r="D25" i="13" s="1"/>
  <c r="M19" i="7"/>
  <c r="D30" i="7"/>
  <c r="P19" i="7"/>
  <c r="E30" i="7"/>
  <c r="D26" i="7" s="1"/>
  <c r="L34" i="7" s="1"/>
  <c r="M4" i="13" s="1"/>
  <c r="O19" i="7"/>
  <c r="N19" i="7"/>
  <c r="C30" i="7"/>
  <c r="F16" i="7"/>
  <c r="E16" i="7"/>
  <c r="D16" i="7"/>
  <c r="D17" i="7" s="1"/>
  <c r="G172" i="2"/>
  <c r="G24" i="2" s="1"/>
  <c r="F172" i="2"/>
  <c r="F24" i="2" s="1"/>
  <c r="D172" i="2"/>
  <c r="D24" i="2" s="1"/>
  <c r="E172" i="2"/>
  <c r="E24" i="2" s="1"/>
  <c r="H172" i="2"/>
  <c r="H24" i="2" s="1"/>
  <c r="I173" i="2"/>
  <c r="I80" i="2" s="1"/>
  <c r="J172" i="2"/>
  <c r="K22" i="2"/>
  <c r="L22" i="2" s="1"/>
  <c r="M22" i="2" s="1"/>
  <c r="N22" i="2" s="1"/>
  <c r="O22" i="2" s="1"/>
  <c r="P22" i="2" s="1"/>
  <c r="Q22" i="2" s="1"/>
  <c r="R22" i="2" s="1"/>
  <c r="R177" i="2" s="1"/>
  <c r="R133" i="2" s="1"/>
  <c r="I135" i="2"/>
  <c r="J82" i="2"/>
  <c r="M132" i="2"/>
  <c r="L79" i="2"/>
  <c r="L92" i="2"/>
  <c r="K153" i="2"/>
  <c r="I167" i="2"/>
  <c r="M64" i="7" l="1"/>
  <c r="M26" i="13" s="1"/>
  <c r="L8" i="7"/>
  <c r="D9" i="13" s="1"/>
  <c r="H17" i="7"/>
  <c r="O45" i="7"/>
  <c r="O22" i="13"/>
  <c r="O32" i="7"/>
  <c r="O6" i="13"/>
  <c r="O33" i="7"/>
  <c r="O7" i="13"/>
  <c r="O36" i="7"/>
  <c r="O8" i="13"/>
  <c r="R84" i="8"/>
  <c r="R85" i="8" s="1"/>
  <c r="R86" i="8" s="1"/>
  <c r="R27" i="15"/>
  <c r="M8" i="7"/>
  <c r="M14" i="7"/>
  <c r="K11" i="2"/>
  <c r="O66" i="7"/>
  <c r="Q46" i="7"/>
  <c r="K39" i="7"/>
  <c r="K38" i="7"/>
  <c r="I22" i="8"/>
  <c r="G22" i="8"/>
  <c r="F22" i="8"/>
  <c r="H22" i="8"/>
  <c r="J22" i="8"/>
  <c r="L177" i="2"/>
  <c r="L133" i="2" s="1"/>
  <c r="Q177" i="2"/>
  <c r="Q133" i="2" s="1"/>
  <c r="K17" i="7"/>
  <c r="L17" i="7" s="1"/>
  <c r="L16" i="7" s="1"/>
  <c r="I17" i="7"/>
  <c r="J17" i="7"/>
  <c r="N177" i="2"/>
  <c r="N133" i="2" s="1"/>
  <c r="I119" i="2"/>
  <c r="I147" i="2"/>
  <c r="N59" i="7"/>
  <c r="O59" i="7" s="1"/>
  <c r="G31" i="10"/>
  <c r="O177" i="2"/>
  <c r="O133" i="2" s="1"/>
  <c r="G27" i="10"/>
  <c r="G29" i="10" s="1"/>
  <c r="E6" i="11"/>
  <c r="M6" i="11"/>
  <c r="L6" i="11"/>
  <c r="N25" i="8"/>
  <c r="M26" i="8"/>
  <c r="F8" i="11"/>
  <c r="U8" i="11"/>
  <c r="L8" i="11"/>
  <c r="O8" i="11" s="1"/>
  <c r="M8" i="11"/>
  <c r="D7" i="11"/>
  <c r="C7" i="11"/>
  <c r="F7" i="11" s="1"/>
  <c r="G8" i="11"/>
  <c r="V8" i="11"/>
  <c r="M7" i="11"/>
  <c r="L7" i="11"/>
  <c r="M18" i="7"/>
  <c r="M42" i="7"/>
  <c r="N51" i="7"/>
  <c r="O51" i="7" s="1"/>
  <c r="P51" i="7" s="1"/>
  <c r="Q51" i="7" s="1"/>
  <c r="D35" i="7"/>
  <c r="C26" i="7"/>
  <c r="L26" i="7" s="1"/>
  <c r="F17" i="7"/>
  <c r="G17" i="7"/>
  <c r="E17" i="7"/>
  <c r="E149" i="2"/>
  <c r="M177" i="2"/>
  <c r="M133" i="2" s="1"/>
  <c r="K177" i="2"/>
  <c r="K133" i="2" s="1"/>
  <c r="K172" i="2"/>
  <c r="J173" i="2"/>
  <c r="J80" i="2" s="1"/>
  <c r="P177" i="2"/>
  <c r="P133" i="2" s="1"/>
  <c r="F149" i="2"/>
  <c r="G149" i="2"/>
  <c r="H149" i="2"/>
  <c r="K82" i="2"/>
  <c r="N132" i="2"/>
  <c r="M92" i="2"/>
  <c r="M79" i="2"/>
  <c r="L153" i="2"/>
  <c r="J167" i="2"/>
  <c r="N8" i="7" l="1"/>
  <c r="E9" i="13"/>
  <c r="E10" i="13" s="1"/>
  <c r="D10" i="13"/>
  <c r="M50" i="7"/>
  <c r="M52" i="7" s="1"/>
  <c r="N21" i="13"/>
  <c r="P45" i="7"/>
  <c r="P22" i="13"/>
  <c r="P33" i="7"/>
  <c r="P7" i="13"/>
  <c r="P36" i="7"/>
  <c r="P8" i="13"/>
  <c r="L37" i="7"/>
  <c r="M9" i="13" s="1"/>
  <c r="P32" i="7"/>
  <c r="P6" i="13"/>
  <c r="R83" i="8"/>
  <c r="R82" i="8" s="1"/>
  <c r="N18" i="7"/>
  <c r="E24" i="13"/>
  <c r="E25" i="13" s="1"/>
  <c r="N14" i="7"/>
  <c r="N11" i="7" s="1"/>
  <c r="O17" i="13" s="1"/>
  <c r="M11" i="7"/>
  <c r="O14" i="7"/>
  <c r="M65" i="7"/>
  <c r="L11" i="2"/>
  <c r="P66" i="7"/>
  <c r="N46" i="7"/>
  <c r="O23" i="13" s="1"/>
  <c r="N42" i="7"/>
  <c r="M34" i="7"/>
  <c r="N4" i="13" s="1"/>
  <c r="M17" i="7"/>
  <c r="N17" i="7" s="1"/>
  <c r="O17" i="7" s="1"/>
  <c r="P17" i="7" s="1"/>
  <c r="Q17" i="7" s="1"/>
  <c r="J119" i="2"/>
  <c r="J147" i="2"/>
  <c r="P8" i="11"/>
  <c r="N64" i="7"/>
  <c r="N26" i="13" s="1"/>
  <c r="G7" i="11"/>
  <c r="N26" i="8"/>
  <c r="O25" i="8"/>
  <c r="O26" i="8" s="1"/>
  <c r="O7" i="11"/>
  <c r="U7" i="11"/>
  <c r="U6" i="11"/>
  <c r="O6" i="11"/>
  <c r="V6" i="11"/>
  <c r="P6" i="11"/>
  <c r="P7" i="11"/>
  <c r="V7" i="11"/>
  <c r="D6" i="11"/>
  <c r="C6" i="11"/>
  <c r="F6" i="11" s="1"/>
  <c r="L21" i="7"/>
  <c r="C35" i="7"/>
  <c r="L172" i="2"/>
  <c r="K173" i="2"/>
  <c r="K80" i="2" s="1"/>
  <c r="L82" i="2"/>
  <c r="O132" i="2"/>
  <c r="N92" i="2"/>
  <c r="N79" i="2"/>
  <c r="K167" i="2"/>
  <c r="M153" i="2"/>
  <c r="O8" i="7" l="1"/>
  <c r="F9" i="13"/>
  <c r="F10" i="13" s="1"/>
  <c r="M10" i="7"/>
  <c r="N17" i="13"/>
  <c r="M16" i="7"/>
  <c r="N16" i="7" s="1"/>
  <c r="O16" i="7" s="1"/>
  <c r="I37" i="2"/>
  <c r="I43" i="2" s="1"/>
  <c r="D21" i="13"/>
  <c r="O42" i="7"/>
  <c r="O21" i="13"/>
  <c r="Q45" i="7"/>
  <c r="Q22" i="13"/>
  <c r="Q36" i="7"/>
  <c r="Q8" i="13"/>
  <c r="L2" i="7"/>
  <c r="D3" i="13" s="1"/>
  <c r="D4" i="13" s="1"/>
  <c r="Q32" i="7"/>
  <c r="Q6" i="13"/>
  <c r="Q33" i="7"/>
  <c r="Q7" i="13"/>
  <c r="O18" i="7"/>
  <c r="F24" i="13"/>
  <c r="F25" i="13" s="1"/>
  <c r="P14" i="7"/>
  <c r="O11" i="7"/>
  <c r="M11" i="2"/>
  <c r="Q66" i="7"/>
  <c r="O46" i="7"/>
  <c r="N50" i="7"/>
  <c r="N34" i="7"/>
  <c r="O4" i="13" s="1"/>
  <c r="M26" i="7"/>
  <c r="K119" i="2"/>
  <c r="K147" i="2"/>
  <c r="P59" i="7"/>
  <c r="O64" i="7"/>
  <c r="O26" i="13" s="1"/>
  <c r="G6" i="11"/>
  <c r="Y11" i="11"/>
  <c r="L20" i="7"/>
  <c r="D18" i="13" s="1"/>
  <c r="M37" i="7"/>
  <c r="P16" i="7"/>
  <c r="M172" i="2"/>
  <c r="L173" i="2"/>
  <c r="L80" i="2" s="1"/>
  <c r="M82" i="2"/>
  <c r="P132" i="2"/>
  <c r="O79" i="2"/>
  <c r="O92" i="2"/>
  <c r="N153" i="2"/>
  <c r="L167" i="2"/>
  <c r="P8" i="7" l="1"/>
  <c r="G9" i="13"/>
  <c r="G10" i="13" s="1"/>
  <c r="P17" i="13"/>
  <c r="N10" i="7"/>
  <c r="F12" i="13" s="1"/>
  <c r="E12" i="13"/>
  <c r="E13" i="13" s="1"/>
  <c r="O50" i="7"/>
  <c r="P23" i="13"/>
  <c r="P42" i="7"/>
  <c r="P21" i="13"/>
  <c r="N37" i="7"/>
  <c r="N9" i="13"/>
  <c r="P18" i="7"/>
  <c r="G24" i="13"/>
  <c r="G25" i="13" s="1"/>
  <c r="Q14" i="7"/>
  <c r="Q11" i="7" s="1"/>
  <c r="P11" i="7"/>
  <c r="O34" i="7"/>
  <c r="P4" i="13" s="1"/>
  <c r="N26" i="7"/>
  <c r="L119" i="2"/>
  <c r="L147" i="2"/>
  <c r="Q59" i="7"/>
  <c r="Q64" i="7" s="1"/>
  <c r="Q26" i="13" s="1"/>
  <c r="P64" i="7"/>
  <c r="P26" i="13" s="1"/>
  <c r="Q16" i="7"/>
  <c r="N172" i="2"/>
  <c r="M173" i="2"/>
  <c r="M80" i="2" s="1"/>
  <c r="N82" i="2"/>
  <c r="Q132" i="2"/>
  <c r="P92" i="2"/>
  <c r="P79" i="2"/>
  <c r="M167" i="2"/>
  <c r="O153" i="2"/>
  <c r="F13" i="13" l="1"/>
  <c r="Q8" i="7"/>
  <c r="H9" i="13"/>
  <c r="Q17" i="13"/>
  <c r="O10" i="7"/>
  <c r="G12" i="13" s="1"/>
  <c r="G13" i="13" s="1"/>
  <c r="Q21" i="13"/>
  <c r="Q42" i="7"/>
  <c r="Q50" i="7" s="1"/>
  <c r="P50" i="7"/>
  <c r="O37" i="7"/>
  <c r="O9" i="13"/>
  <c r="Q18" i="7"/>
  <c r="H24" i="13"/>
  <c r="P34" i="7"/>
  <c r="Q4" i="13" s="1"/>
  <c r="O26" i="7"/>
  <c r="O2" i="7" s="1"/>
  <c r="M119" i="2"/>
  <c r="M147" i="2"/>
  <c r="O172" i="2"/>
  <c r="N173" i="2"/>
  <c r="N80" i="2" s="1"/>
  <c r="N119" i="2" s="1"/>
  <c r="O82" i="2"/>
  <c r="R132" i="2"/>
  <c r="Q79" i="2"/>
  <c r="Q92" i="2"/>
  <c r="P153" i="2"/>
  <c r="N167" i="2"/>
  <c r="H10" i="13" l="1"/>
  <c r="I9" i="13"/>
  <c r="P10" i="7"/>
  <c r="O30" i="7"/>
  <c r="G3" i="13"/>
  <c r="P37" i="7"/>
  <c r="P9" i="13"/>
  <c r="H25" i="13"/>
  <c r="I24" i="13"/>
  <c r="Q34" i="7"/>
  <c r="Q26" i="7" s="1"/>
  <c r="P26" i="7"/>
  <c r="P172" i="2"/>
  <c r="O173" i="2"/>
  <c r="O80" i="2" s="1"/>
  <c r="O119" i="2" s="1"/>
  <c r="P82" i="2"/>
  <c r="R92" i="2"/>
  <c r="R79" i="2"/>
  <c r="O167" i="2"/>
  <c r="Q153" i="2"/>
  <c r="Q10" i="7" l="1"/>
  <c r="H12" i="13"/>
  <c r="Q37" i="7"/>
  <c r="Q9" i="13"/>
  <c r="Q172" i="2"/>
  <c r="P173" i="2"/>
  <c r="P80" i="2" s="1"/>
  <c r="P119" i="2" s="1"/>
  <c r="Q82" i="2"/>
  <c r="R153" i="2"/>
  <c r="P167" i="2"/>
  <c r="H13" i="13" l="1"/>
  <c r="I12" i="13"/>
  <c r="R172" i="2"/>
  <c r="R173" i="2" s="1"/>
  <c r="R80" i="2" s="1"/>
  <c r="Q173" i="2"/>
  <c r="Q80" i="2" s="1"/>
  <c r="Q119" i="2" s="1"/>
  <c r="R82" i="2"/>
  <c r="Q167" i="2"/>
  <c r="R119" i="2" l="1"/>
  <c r="R167" i="2"/>
  <c r="D15" i="2" l="1"/>
  <c r="E15" i="2" s="1"/>
  <c r="F15" i="2" s="1"/>
  <c r="G15" i="2" s="1"/>
  <c r="H15" i="2" s="1"/>
  <c r="I15" i="2" s="1"/>
  <c r="J15" i="2" s="1"/>
  <c r="K15" i="2" s="1"/>
  <c r="L15" i="2" s="1"/>
  <c r="M15" i="2" s="1"/>
  <c r="N15" i="2" s="1"/>
  <c r="O15" i="2" s="1"/>
  <c r="P15" i="2" s="1"/>
  <c r="Q15" i="2" s="1"/>
  <c r="R15" i="2" s="1"/>
  <c r="D13" i="2"/>
  <c r="E13" i="2" s="1"/>
  <c r="F13" i="2" s="1"/>
  <c r="G13" i="2" s="1"/>
  <c r="H13" i="2" s="1"/>
  <c r="I13" i="2" s="1"/>
  <c r="J13" i="2" s="1"/>
  <c r="K13" i="2" s="1"/>
  <c r="L13" i="2" s="1"/>
  <c r="M13" i="2" s="1"/>
  <c r="N13" i="2" s="1"/>
  <c r="O13" i="2" s="1"/>
  <c r="P13" i="2" s="1"/>
  <c r="Q13" i="2" s="1"/>
  <c r="R13" i="2" s="1"/>
  <c r="D12" i="2"/>
  <c r="D155" i="2" s="1"/>
  <c r="C26" i="5"/>
  <c r="D26" i="5"/>
  <c r="E26" i="5"/>
  <c r="F26" i="5"/>
  <c r="G26" i="5"/>
  <c r="H26" i="5"/>
  <c r="B26" i="5"/>
  <c r="I24" i="5" a="1"/>
  <c r="J9" i="2"/>
  <c r="J19" i="2"/>
  <c r="D41" i="2"/>
  <c r="F160" i="2"/>
  <c r="K6" i="5"/>
  <c r="D123" i="2"/>
  <c r="F21" i="8" s="1"/>
  <c r="I27" i="5" a="1"/>
  <c r="I27" i="5" s="1"/>
  <c r="C23" i="5"/>
  <c r="D23" i="5" s="1"/>
  <c r="E23" i="5" s="1"/>
  <c r="F23" i="5" s="1"/>
  <c r="G23" i="5" s="1"/>
  <c r="H23" i="5" s="1"/>
  <c r="I23" i="5" s="1"/>
  <c r="J23" i="5" s="1"/>
  <c r="K23" i="5" s="1"/>
  <c r="L23" i="5" s="1"/>
  <c r="M23" i="5" s="1"/>
  <c r="E31" i="2"/>
  <c r="F31" i="2" s="1"/>
  <c r="G31" i="2" s="1"/>
  <c r="H31" i="2" s="1"/>
  <c r="I31" i="2" s="1"/>
  <c r="K5" i="5"/>
  <c r="K4" i="5"/>
  <c r="C3" i="5"/>
  <c r="D3" i="5" s="1"/>
  <c r="E3" i="5" s="1"/>
  <c r="F3" i="5" s="1"/>
  <c r="G3" i="5" s="1"/>
  <c r="H3" i="5" s="1"/>
  <c r="I3" i="5" s="1"/>
  <c r="J3" i="5" s="1"/>
  <c r="J7" i="5"/>
  <c r="I7" i="5" s="1"/>
  <c r="H7" i="5" s="1"/>
  <c r="G7" i="5" s="1"/>
  <c r="F7" i="5" s="1"/>
  <c r="E7" i="5" s="1"/>
  <c r="D7" i="5" s="1"/>
  <c r="C7" i="5" s="1"/>
  <c r="B7" i="5" s="1"/>
  <c r="G4" i="5" a="1"/>
  <c r="G4" i="5" s="1"/>
  <c r="D19" i="2"/>
  <c r="D20" i="2"/>
  <c r="D21" i="2"/>
  <c r="F19" i="2"/>
  <c r="G19" i="2"/>
  <c r="H19" i="2"/>
  <c r="F20" i="2"/>
  <c r="G20" i="2"/>
  <c r="H20" i="2"/>
  <c r="F21" i="2"/>
  <c r="G21" i="2"/>
  <c r="H21" i="2"/>
  <c r="J21" i="2" s="1"/>
  <c r="K21" i="2" s="1"/>
  <c r="L21" i="2" s="1"/>
  <c r="M21" i="2" s="1"/>
  <c r="N21" i="2" s="1"/>
  <c r="O21" i="2" s="1"/>
  <c r="P21" i="2" s="1"/>
  <c r="Q21" i="2" s="1"/>
  <c r="R21" i="2" s="1"/>
  <c r="E21" i="2"/>
  <c r="E20" i="2"/>
  <c r="E19" i="2"/>
  <c r="H22" i="2"/>
  <c r="E8" i="2"/>
  <c r="F8" i="2"/>
  <c r="G8" i="2"/>
  <c r="H8" i="2"/>
  <c r="D8" i="2"/>
  <c r="D159" i="2"/>
  <c r="E166" i="2"/>
  <c r="F166" i="2"/>
  <c r="G166" i="2"/>
  <c r="H166" i="2"/>
  <c r="D166" i="2"/>
  <c r="I158" i="2"/>
  <c r="I109" i="2" s="1"/>
  <c r="I94" i="2" s="1"/>
  <c r="H159" i="2"/>
  <c r="E159" i="2"/>
  <c r="E160" i="2"/>
  <c r="G160" i="2"/>
  <c r="H160" i="2"/>
  <c r="D160" i="2"/>
  <c r="G123" i="2"/>
  <c r="I21" i="8" s="1"/>
  <c r="F123" i="2"/>
  <c r="H21" i="8" s="1"/>
  <c r="E123" i="2"/>
  <c r="G21" i="8" s="1"/>
  <c r="G133" i="2"/>
  <c r="G177" i="2" s="1"/>
  <c r="F133" i="2"/>
  <c r="F177" i="2" s="1"/>
  <c r="E133" i="2"/>
  <c r="E177" i="2" s="1"/>
  <c r="D133" i="2"/>
  <c r="D177" i="2" s="1"/>
  <c r="E176" i="2"/>
  <c r="F176" i="2"/>
  <c r="G176" i="2"/>
  <c r="D176" i="2"/>
  <c r="D179" i="2"/>
  <c r="I160" i="2" l="1"/>
  <c r="J160" i="2" s="1"/>
  <c r="K160" i="2" s="1"/>
  <c r="L160" i="2" s="1"/>
  <c r="I24" i="5"/>
  <c r="I26" i="5" s="1"/>
  <c r="M26" i="5"/>
  <c r="D28" i="5"/>
  <c r="D29" i="5" s="1"/>
  <c r="K19" i="2"/>
  <c r="K9" i="2"/>
  <c r="E12" i="2"/>
  <c r="F12" i="2" s="1"/>
  <c r="G12" i="2" s="1"/>
  <c r="H12" i="2" s="1"/>
  <c r="I12" i="2" s="1"/>
  <c r="J12" i="2" s="1"/>
  <c r="K12" i="2" s="1"/>
  <c r="L12" i="2" s="1"/>
  <c r="M12" i="2" s="1"/>
  <c r="N12" i="2" s="1"/>
  <c r="O12" i="2" s="1"/>
  <c r="P12" i="2" s="1"/>
  <c r="Q12" i="2" s="1"/>
  <c r="R12" i="2" s="1"/>
  <c r="I161" i="2"/>
  <c r="J31" i="2"/>
  <c r="K31" i="2" s="1"/>
  <c r="L31" i="2" s="1"/>
  <c r="M31" i="2" s="1"/>
  <c r="N31" i="2" s="1"/>
  <c r="O31" i="2" s="1"/>
  <c r="P31" i="2" s="1"/>
  <c r="Q31" i="2" s="1"/>
  <c r="R31" i="2" s="1"/>
  <c r="F28" i="5"/>
  <c r="F29" i="5" s="1"/>
  <c r="G28" i="5"/>
  <c r="G29" i="5" s="1"/>
  <c r="H28" i="5"/>
  <c r="H29" i="5" s="1"/>
  <c r="I28" i="5"/>
  <c r="E28" i="5"/>
  <c r="E29" i="5" s="1"/>
  <c r="L26" i="5"/>
  <c r="K26" i="5"/>
  <c r="J26" i="5"/>
  <c r="I20" i="2"/>
  <c r="G159" i="2"/>
  <c r="F159" i="2"/>
  <c r="B17" i="5"/>
  <c r="B15" i="5"/>
  <c r="B16" i="5"/>
  <c r="F22" i="2"/>
  <c r="E22" i="2"/>
  <c r="D22" i="2"/>
  <c r="G22" i="2"/>
  <c r="J158" i="2"/>
  <c r="J109" i="2" s="1"/>
  <c r="E108" i="2"/>
  <c r="M29" i="5" l="1"/>
  <c r="J28" i="5"/>
  <c r="J29" i="5" s="1"/>
  <c r="K30" i="5"/>
  <c r="K32" i="5" s="1"/>
  <c r="K33" i="5" s="1"/>
  <c r="K28" i="5"/>
  <c r="K29" i="5" s="1"/>
  <c r="I29" i="5"/>
  <c r="M32" i="5"/>
  <c r="M33" i="5" s="1"/>
  <c r="L30" i="5"/>
  <c r="L32" i="5" s="1"/>
  <c r="L33" i="5" s="1"/>
  <c r="L9" i="2"/>
  <c r="L19" i="2"/>
  <c r="L8" i="2"/>
  <c r="J20" i="2"/>
  <c r="L28" i="5"/>
  <c r="L29" i="5" s="1"/>
  <c r="B18" i="5"/>
  <c r="B19" i="5" s="1"/>
  <c r="K158" i="2"/>
  <c r="K109" i="2" s="1"/>
  <c r="J161" i="2"/>
  <c r="J94" i="2" l="1"/>
  <c r="K94" i="2"/>
  <c r="K20" i="2"/>
  <c r="M8" i="2"/>
  <c r="M19" i="2"/>
  <c r="M9" i="2"/>
  <c r="G9" i="2"/>
  <c r="G25" i="2"/>
  <c r="F9" i="2"/>
  <c r="F25" i="2"/>
  <c r="H9" i="2"/>
  <c r="H25" i="2"/>
  <c r="K31" i="5"/>
  <c r="L31" i="5"/>
  <c r="L158" i="2"/>
  <c r="K161" i="2"/>
  <c r="L109" i="2" l="1"/>
  <c r="L94" i="2" s="1"/>
  <c r="L20" i="2"/>
  <c r="N19" i="2"/>
  <c r="N144" i="2" s="1"/>
  <c r="N9" i="2"/>
  <c r="N8" i="2"/>
  <c r="N38" i="2" s="1"/>
  <c r="M158" i="2"/>
  <c r="M109" i="2" s="1"/>
  <c r="L161" i="2"/>
  <c r="N146" i="2" l="1"/>
  <c r="M94" i="2"/>
  <c r="M20" i="2"/>
  <c r="N39" i="2"/>
  <c r="O8" i="2"/>
  <c r="O38" i="2" s="1"/>
  <c r="O19" i="2"/>
  <c r="O144" i="2" s="1"/>
  <c r="O9" i="2"/>
  <c r="N158" i="2"/>
  <c r="N109" i="2" s="1"/>
  <c r="M161" i="2"/>
  <c r="O146" i="2" l="1"/>
  <c r="N20" i="2"/>
  <c r="O39" i="2"/>
  <c r="P8" i="2"/>
  <c r="P38" i="2" s="1"/>
  <c r="P19" i="2"/>
  <c r="P144" i="2" s="1"/>
  <c r="P9" i="2"/>
  <c r="O158" i="2"/>
  <c r="O109" i="2" s="1"/>
  <c r="N161" i="2"/>
  <c r="P146" i="2" l="1"/>
  <c r="N68" i="2"/>
  <c r="N145" i="2"/>
  <c r="N148" i="2" s="1"/>
  <c r="P39" i="2"/>
  <c r="O94" i="2"/>
  <c r="N94" i="2"/>
  <c r="O20" i="2"/>
  <c r="Q8" i="2"/>
  <c r="Q38" i="2" s="1"/>
  <c r="Q9" i="2"/>
  <c r="Q19" i="2"/>
  <c r="Q144" i="2" s="1"/>
  <c r="P158" i="2"/>
  <c r="P109" i="2" s="1"/>
  <c r="O161" i="2"/>
  <c r="O145" i="2" l="1"/>
  <c r="O148" i="2" s="1"/>
  <c r="O68" i="2"/>
  <c r="Q146" i="2"/>
  <c r="P94" i="2"/>
  <c r="Q39" i="2"/>
  <c r="P20" i="2"/>
  <c r="R9" i="2"/>
  <c r="R8" i="2"/>
  <c r="R38" i="2" s="1"/>
  <c r="R19" i="2"/>
  <c r="R144" i="2" s="1"/>
  <c r="Q158" i="2"/>
  <c r="P161" i="2"/>
  <c r="Q109" i="2" l="1"/>
  <c r="Q94" i="2" s="1"/>
  <c r="R146" i="2"/>
  <c r="P145" i="2"/>
  <c r="P148" i="2" s="1"/>
  <c r="P68" i="2"/>
  <c r="O115" i="2"/>
  <c r="Q20" i="2"/>
  <c r="R39" i="2"/>
  <c r="R158" i="2"/>
  <c r="Q161" i="2"/>
  <c r="R109" i="2" l="1"/>
  <c r="R94" i="2" s="1"/>
  <c r="Q68" i="2"/>
  <c r="Q145" i="2"/>
  <c r="Q148" i="2" s="1"/>
  <c r="R20" i="2"/>
  <c r="P115" i="2"/>
  <c r="Q115" i="2"/>
  <c r="R161" i="2"/>
  <c r="G108" i="2"/>
  <c r="D86" i="2"/>
  <c r="D90" i="2" s="1"/>
  <c r="D107" i="2"/>
  <c r="E107" i="2"/>
  <c r="F107" i="2"/>
  <c r="G107" i="2"/>
  <c r="D108" i="2"/>
  <c r="F108" i="2"/>
  <c r="H108" i="2"/>
  <c r="H107" i="2"/>
  <c r="F179" i="2"/>
  <c r="E179" i="2"/>
  <c r="G179" i="2"/>
  <c r="H179" i="2"/>
  <c r="E135" i="2"/>
  <c r="F135" i="2"/>
  <c r="G135" i="2"/>
  <c r="H135" i="2"/>
  <c r="D135" i="2"/>
  <c r="E128" i="2"/>
  <c r="F128" i="2"/>
  <c r="G128" i="2"/>
  <c r="H128" i="2"/>
  <c r="D128" i="2"/>
  <c r="H86" i="2"/>
  <c r="H90" i="2" s="1"/>
  <c r="G86" i="2"/>
  <c r="G90" i="2" s="1"/>
  <c r="F86" i="2"/>
  <c r="F90" i="2" s="1"/>
  <c r="E86" i="2"/>
  <c r="E90" i="2" s="1"/>
  <c r="H70" i="2"/>
  <c r="D39" i="2"/>
  <c r="E39" i="2"/>
  <c r="E47" i="2" s="1"/>
  <c r="F39" i="2"/>
  <c r="F47" i="2" s="1"/>
  <c r="G39" i="2"/>
  <c r="H39" i="2"/>
  <c r="G70" i="2"/>
  <c r="F70" i="2"/>
  <c r="E70" i="2"/>
  <c r="D70" i="2"/>
  <c r="E2" i="2"/>
  <c r="E155" i="2" s="1"/>
  <c r="F52" i="2" l="1"/>
  <c r="F18" i="2" s="1"/>
  <c r="H15" i="8"/>
  <c r="H11" i="8" s="1"/>
  <c r="H12" i="8" s="1"/>
  <c r="E52" i="2"/>
  <c r="E55" i="2" s="1"/>
  <c r="E60" i="2" s="1"/>
  <c r="E29" i="2" s="1"/>
  <c r="G15" i="8"/>
  <c r="G11" i="8" s="1"/>
  <c r="G12" i="8" s="1"/>
  <c r="R68" i="2"/>
  <c r="R145" i="2"/>
  <c r="R148" i="2" s="1"/>
  <c r="R115" i="2"/>
  <c r="F2" i="2"/>
  <c r="E75" i="2"/>
  <c r="G97" i="2"/>
  <c r="H75" i="2"/>
  <c r="G75" i="2"/>
  <c r="H97" i="2"/>
  <c r="F75" i="2"/>
  <c r="D75" i="2"/>
  <c r="G47" i="2"/>
  <c r="D47" i="2"/>
  <c r="D97" i="2"/>
  <c r="E97" i="2"/>
  <c r="D178" i="2"/>
  <c r="D17" i="2" s="1"/>
  <c r="F97" i="2"/>
  <c r="E18" i="2" l="1"/>
  <c r="G17" i="8"/>
  <c r="G18" i="8" s="1"/>
  <c r="G23" i="8" s="1"/>
  <c r="G52" i="2"/>
  <c r="G18" i="2" s="1"/>
  <c r="H17" i="8" s="1"/>
  <c r="H18" i="8" s="1"/>
  <c r="H23" i="8" s="1"/>
  <c r="I15" i="8"/>
  <c r="F55" i="2"/>
  <c r="F60" i="2" s="1"/>
  <c r="F29" i="2" s="1"/>
  <c r="D52" i="2"/>
  <c r="D18" i="2" s="1"/>
  <c r="F15" i="8"/>
  <c r="F17" i="8" s="1"/>
  <c r="F168" i="2"/>
  <c r="F162" i="2"/>
  <c r="F155" i="2"/>
  <c r="E105" i="2"/>
  <c r="E120" i="2" s="1"/>
  <c r="E23" i="2" s="1"/>
  <c r="G2" i="2"/>
  <c r="G168" i="2" s="1"/>
  <c r="F105" i="2"/>
  <c r="F120" i="2" s="1"/>
  <c r="F23" i="2" s="1"/>
  <c r="G99" i="2"/>
  <c r="G3" i="2" s="1"/>
  <c r="H99" i="2"/>
  <c r="F99" i="2"/>
  <c r="F3" i="2" s="1"/>
  <c r="E99" i="2"/>
  <c r="E3" i="2" s="1"/>
  <c r="D99" i="2"/>
  <c r="D3" i="2" s="1"/>
  <c r="E178" i="2"/>
  <c r="E17" i="2" s="1"/>
  <c r="D55" i="2" l="1"/>
  <c r="D105" i="2" s="1"/>
  <c r="I11" i="8"/>
  <c r="F18" i="8"/>
  <c r="F23" i="8" s="1"/>
  <c r="F11" i="8"/>
  <c r="F12" i="8" s="1"/>
  <c r="G55" i="2"/>
  <c r="E137" i="2"/>
  <c r="F137" i="2"/>
  <c r="G155" i="2"/>
  <c r="G162" i="2"/>
  <c r="H2" i="2"/>
  <c r="D60" i="2"/>
  <c r="D29" i="2" s="1"/>
  <c r="D120" i="2"/>
  <c r="D23" i="2" s="1"/>
  <c r="F178" i="2"/>
  <c r="F17" i="2" s="1"/>
  <c r="G105" i="2" l="1"/>
  <c r="G120" i="2" s="1"/>
  <c r="G23" i="2" s="1"/>
  <c r="C18" i="15"/>
  <c r="I12" i="8"/>
  <c r="C7" i="15"/>
  <c r="G60" i="2"/>
  <c r="H168" i="2"/>
  <c r="H155" i="2"/>
  <c r="H162" i="2"/>
  <c r="I2" i="2"/>
  <c r="G137" i="2"/>
  <c r="D137" i="2"/>
  <c r="G178" i="2"/>
  <c r="G17" i="2" s="1"/>
  <c r="G29" i="2" l="1"/>
  <c r="C11" i="15"/>
  <c r="I162" i="2"/>
  <c r="I168" i="2"/>
  <c r="J2" i="2"/>
  <c r="J162" i="2" l="1"/>
  <c r="J168" i="2"/>
  <c r="K2" i="2"/>
  <c r="H3" i="2"/>
  <c r="K162" i="2" l="1"/>
  <c r="K168" i="2"/>
  <c r="L2" i="2"/>
  <c r="L162" i="2" l="1"/>
  <c r="L168" i="2"/>
  <c r="M2" i="2"/>
  <c r="M162" i="2" l="1"/>
  <c r="M168" i="2"/>
  <c r="N2" i="2"/>
  <c r="N162" i="2" l="1"/>
  <c r="N168" i="2"/>
  <c r="O2" i="2"/>
  <c r="O162" i="2" l="1"/>
  <c r="O168" i="2"/>
  <c r="P2" i="2"/>
  <c r="P162" i="2" l="1"/>
  <c r="P168" i="2"/>
  <c r="Q2" i="2"/>
  <c r="H178" i="2"/>
  <c r="Q162" i="2" l="1"/>
  <c r="Q168" i="2"/>
  <c r="R2" i="2"/>
  <c r="H17" i="2"/>
  <c r="I17" i="2" s="1"/>
  <c r="J17" i="2" s="1"/>
  <c r="I176" i="2"/>
  <c r="I178" i="2" s="1"/>
  <c r="I179" i="2" l="1"/>
  <c r="I88" i="2"/>
  <c r="R162" i="2"/>
  <c r="R168" i="2"/>
  <c r="J176" i="2"/>
  <c r="I51" i="2"/>
  <c r="K17" i="2"/>
  <c r="J178" i="2" l="1"/>
  <c r="L17" i="2"/>
  <c r="J88" i="2" l="1"/>
  <c r="J51" i="2"/>
  <c r="J179" i="2"/>
  <c r="K176" i="2"/>
  <c r="M17" i="2"/>
  <c r="K178" i="2" l="1"/>
  <c r="K179" i="2" s="1"/>
  <c r="N17" i="2"/>
  <c r="K88" i="2" l="1"/>
  <c r="K51" i="2"/>
  <c r="L176" i="2"/>
  <c r="O17" i="2"/>
  <c r="L178" i="2" l="1"/>
  <c r="L179" i="2" s="1"/>
  <c r="P17" i="2"/>
  <c r="L88" i="2" l="1"/>
  <c r="L51" i="2"/>
  <c r="M176" i="2"/>
  <c r="Q17" i="2"/>
  <c r="M178" i="2" l="1"/>
  <c r="M179" i="2" s="1"/>
  <c r="R17" i="2"/>
  <c r="M88" i="2" l="1"/>
  <c r="M51" i="2"/>
  <c r="N176" i="2"/>
  <c r="N178" i="2" l="1"/>
  <c r="N179" i="2" s="1"/>
  <c r="F10" i="2"/>
  <c r="H10" i="2"/>
  <c r="G10" i="2"/>
  <c r="I10" i="2" l="1"/>
  <c r="J10" i="2" s="1"/>
  <c r="K10" i="2" s="1"/>
  <c r="L10" i="2" s="1"/>
  <c r="M10" i="2" s="1"/>
  <c r="N10" i="2" s="1"/>
  <c r="O10" i="2" s="1"/>
  <c r="P10" i="2" s="1"/>
  <c r="Q10" i="2" s="1"/>
  <c r="R10" i="2" s="1"/>
  <c r="H47" i="2"/>
  <c r="N88" i="2"/>
  <c r="N51" i="2"/>
  <c r="O176" i="2"/>
  <c r="H52" i="2" l="1"/>
  <c r="H55" i="2" s="1"/>
  <c r="J15" i="8"/>
  <c r="O178" i="2"/>
  <c r="I58" i="2" l="1"/>
  <c r="I57" i="2" s="1"/>
  <c r="D18" i="15"/>
  <c r="H18" i="2"/>
  <c r="J11" i="8"/>
  <c r="H60" i="2"/>
  <c r="H105" i="2"/>
  <c r="H120" i="2" s="1"/>
  <c r="H23" i="2" s="1"/>
  <c r="I23" i="2" s="1"/>
  <c r="O88" i="2"/>
  <c r="O51" i="2"/>
  <c r="O179" i="2"/>
  <c r="P176" i="2"/>
  <c r="H29" i="2" l="1"/>
  <c r="D11" i="15"/>
  <c r="J12" i="8"/>
  <c r="D7" i="15"/>
  <c r="I17" i="8"/>
  <c r="I18" i="8" s="1"/>
  <c r="I23" i="8" s="1"/>
  <c r="C13" i="15" s="1"/>
  <c r="H137" i="2"/>
  <c r="J23" i="2"/>
  <c r="P178" i="2"/>
  <c r="J17" i="8" l="1"/>
  <c r="J18" i="8" s="1"/>
  <c r="J23" i="8" s="1"/>
  <c r="L18" i="2"/>
  <c r="K23" i="2"/>
  <c r="P88" i="2"/>
  <c r="P51" i="2"/>
  <c r="P179" i="2"/>
  <c r="Q176" i="2"/>
  <c r="C22" i="9" l="1" a="1"/>
  <c r="C22" i="9" s="1"/>
  <c r="D13" i="15"/>
  <c r="H23" i="9"/>
  <c r="G23" i="9"/>
  <c r="F23" i="9"/>
  <c r="E23" i="9"/>
  <c r="M18" i="2"/>
  <c r="L23" i="2"/>
  <c r="N41" i="2"/>
  <c r="Q178" i="2"/>
  <c r="I22" i="9" l="1"/>
  <c r="D23" i="9"/>
  <c r="N18" i="2"/>
  <c r="O18" i="2" s="1"/>
  <c r="P18" i="2" s="1"/>
  <c r="Q18" i="2" s="1"/>
  <c r="R18" i="2" s="1"/>
  <c r="M23" i="2"/>
  <c r="O41" i="2"/>
  <c r="Q88" i="2"/>
  <c r="Q51" i="2"/>
  <c r="Q179" i="2"/>
  <c r="R176" i="2"/>
  <c r="P41" i="2"/>
  <c r="N23" i="2" l="1"/>
  <c r="R178" i="2"/>
  <c r="Q41" i="2"/>
  <c r="O23" i="2" l="1"/>
  <c r="R88" i="2"/>
  <c r="R51" i="2"/>
  <c r="R179" i="2"/>
  <c r="R41" i="2"/>
  <c r="P23" i="2" l="1"/>
  <c r="Q23" i="2" l="1"/>
  <c r="R23" i="2" l="1"/>
  <c r="N67" i="2" l="1"/>
  <c r="P149" i="2"/>
  <c r="Q67" i="2"/>
  <c r="P67" i="2"/>
  <c r="O67" i="2"/>
  <c r="R67" i="2"/>
  <c r="R78" i="2"/>
  <c r="Q78" i="2"/>
  <c r="Q86" i="2" s="1"/>
  <c r="Q90" i="2" s="1"/>
  <c r="P78" i="2"/>
  <c r="O78" i="2"/>
  <c r="N78" i="2"/>
  <c r="P117" i="2" l="1"/>
  <c r="Q114" i="2"/>
  <c r="O117" i="2"/>
  <c r="R114" i="2"/>
  <c r="R149" i="2"/>
  <c r="Q117" i="2"/>
  <c r="O114" i="2"/>
  <c r="R117" i="2"/>
  <c r="P86" i="2"/>
  <c r="P90" i="2" s="1"/>
  <c r="O149" i="2"/>
  <c r="P114" i="2"/>
  <c r="Q149" i="2"/>
  <c r="N86" i="2"/>
  <c r="N90" i="2" s="1"/>
  <c r="O86" i="2"/>
  <c r="O90" i="2" s="1"/>
  <c r="R86" i="2"/>
  <c r="R90" i="2" s="1"/>
  <c r="Q2" i="7" l="1"/>
  <c r="P2" i="7"/>
  <c r="H3" i="13" s="1"/>
  <c r="H4" i="13" l="1"/>
  <c r="I3" i="13"/>
  <c r="O35" i="7"/>
  <c r="Q35" i="7" l="1"/>
  <c r="P35" i="7"/>
  <c r="N2" i="7" l="1"/>
  <c r="F3" i="13" s="1"/>
  <c r="M2" i="7"/>
  <c r="E3" i="13" s="1"/>
  <c r="E4" i="13" s="1"/>
  <c r="F4" i="13" l="1"/>
  <c r="G4" i="13"/>
  <c r="N35" i="7"/>
  <c r="M35" i="7"/>
  <c r="M21" i="7" l="1"/>
  <c r="J37" i="2" l="1"/>
  <c r="E21" i="13"/>
  <c r="J43" i="2"/>
  <c r="M20" i="7"/>
  <c r="E18" i="13" s="1"/>
  <c r="Q65" i="7" l="1"/>
  <c r="Q52" i="7" l="1"/>
  <c r="Q20" i="7" s="1"/>
  <c r="N65" i="7"/>
  <c r="N52" i="7"/>
  <c r="N20" i="7" s="1"/>
  <c r="F18" i="13" s="1"/>
  <c r="F19" i="13" s="1"/>
  <c r="N21" i="7" l="1"/>
  <c r="F21" i="13" s="1"/>
  <c r="F22" i="13" s="1"/>
  <c r="Q21" i="7"/>
  <c r="O65" i="7"/>
  <c r="O52" i="7"/>
  <c r="O20" i="7" s="1"/>
  <c r="G18" i="13" s="1"/>
  <c r="G19" i="13" s="1"/>
  <c r="P52" i="7"/>
  <c r="P20" i="7" s="1"/>
  <c r="H18" i="13" s="1"/>
  <c r="P65" i="7"/>
  <c r="H19" i="13" l="1"/>
  <c r="I18" i="13"/>
  <c r="K37" i="2"/>
  <c r="P21" i="7"/>
  <c r="O21" i="7"/>
  <c r="G21" i="13" s="1"/>
  <c r="G22" i="13" s="1"/>
  <c r="M37" i="2" l="1"/>
  <c r="M43" i="2" s="1"/>
  <c r="H21" i="13"/>
  <c r="K43" i="2"/>
  <c r="L37" i="2"/>
  <c r="L43" i="2" s="1"/>
  <c r="L3" i="7"/>
  <c r="M3" i="7" l="1"/>
  <c r="E6" i="13" s="1"/>
  <c r="D7" i="13"/>
  <c r="D6" i="13"/>
  <c r="H22" i="13"/>
  <c r="I21" i="13"/>
  <c r="M15" i="7"/>
  <c r="N3" i="7"/>
  <c r="F6" i="13" s="1"/>
  <c r="F7" i="13" s="1"/>
  <c r="L15" i="7"/>
  <c r="E7" i="13" l="1"/>
  <c r="M22" i="7"/>
  <c r="J36" i="2" s="1"/>
  <c r="E15" i="13"/>
  <c r="L22" i="7"/>
  <c r="I36" i="2" s="1"/>
  <c r="D15" i="13"/>
  <c r="N15" i="7"/>
  <c r="O3" i="7"/>
  <c r="G6" i="13" s="1"/>
  <c r="G7" i="13" l="1"/>
  <c r="J7" i="2"/>
  <c r="F5" i="15" s="1"/>
  <c r="I7" i="2"/>
  <c r="E5" i="15" s="1"/>
  <c r="N22" i="7"/>
  <c r="K7" i="2" s="1"/>
  <c r="G5" i="15" s="1"/>
  <c r="F15" i="13"/>
  <c r="D16" i="13"/>
  <c r="D27" i="13"/>
  <c r="E27" i="13"/>
  <c r="E16" i="13"/>
  <c r="J42" i="2"/>
  <c r="J41" i="2" s="1"/>
  <c r="J144" i="2"/>
  <c r="J38" i="2"/>
  <c r="J35" i="2"/>
  <c r="J152" i="2" s="1"/>
  <c r="J154" i="2" s="1"/>
  <c r="O15" i="7"/>
  <c r="P3" i="7"/>
  <c r="H6" i="13" s="1"/>
  <c r="I6" i="13" s="1"/>
  <c r="I42" i="2"/>
  <c r="I41" i="2" s="1"/>
  <c r="I38" i="2"/>
  <c r="I144" i="2"/>
  <c r="I35" i="2"/>
  <c r="I152" i="2" s="1"/>
  <c r="I154" i="2" s="1"/>
  <c r="I155" i="2" s="1"/>
  <c r="H7" i="13" l="1"/>
  <c r="J155" i="2"/>
  <c r="J123" i="2" s="1"/>
  <c r="K36" i="2"/>
  <c r="K42" i="2" s="1"/>
  <c r="K41" i="2" s="1"/>
  <c r="O22" i="7"/>
  <c r="L7" i="2" s="1"/>
  <c r="G15" i="13"/>
  <c r="F16" i="13"/>
  <c r="F27" i="13"/>
  <c r="I44" i="2"/>
  <c r="I123" i="2"/>
  <c r="K5" i="8"/>
  <c r="I39" i="2"/>
  <c r="I67" i="2"/>
  <c r="I145" i="2"/>
  <c r="I146" i="2"/>
  <c r="I78" i="2" s="1"/>
  <c r="I68" i="2"/>
  <c r="Q3" i="7"/>
  <c r="P15" i="7"/>
  <c r="L5" i="8"/>
  <c r="D3" i="15" s="1"/>
  <c r="D9" i="15" s="1"/>
  <c r="J39" i="2"/>
  <c r="J146" i="2"/>
  <c r="J78" i="2" s="1"/>
  <c r="J145" i="2"/>
  <c r="J68" i="2"/>
  <c r="J67" i="2"/>
  <c r="K38" i="2" l="1"/>
  <c r="K35" i="2"/>
  <c r="K152" i="2" s="1"/>
  <c r="K154" i="2" s="1"/>
  <c r="K155" i="2" s="1"/>
  <c r="K123" i="2" s="1"/>
  <c r="K144" i="2"/>
  <c r="K67" i="2" s="1"/>
  <c r="K6" i="8"/>
  <c r="C3" i="15"/>
  <c r="C9" i="15" s="1"/>
  <c r="J44" i="2"/>
  <c r="L20" i="8" s="1"/>
  <c r="L14" i="8" s="1"/>
  <c r="L36" i="2"/>
  <c r="L144" i="2" s="1"/>
  <c r="P22" i="7"/>
  <c r="M36" i="2" s="1"/>
  <c r="H15" i="13"/>
  <c r="G16" i="13"/>
  <c r="G27" i="13"/>
  <c r="K21" i="8"/>
  <c r="I128" i="2"/>
  <c r="L6" i="8"/>
  <c r="K20" i="8"/>
  <c r="K14" i="8" s="1"/>
  <c r="I106" i="2"/>
  <c r="I71" i="2" s="1"/>
  <c r="L21" i="8"/>
  <c r="J128" i="2"/>
  <c r="J148" i="2"/>
  <c r="J86" i="2"/>
  <c r="J90" i="2" s="1"/>
  <c r="J117" i="2"/>
  <c r="L8" i="8"/>
  <c r="L9" i="8" s="1"/>
  <c r="J47" i="2"/>
  <c r="Q15" i="7"/>
  <c r="Q22" i="7" s="1"/>
  <c r="K145" i="2"/>
  <c r="K68" i="2"/>
  <c r="K146" i="2"/>
  <c r="K78" i="2" s="1"/>
  <c r="M5" i="8"/>
  <c r="I115" i="2"/>
  <c r="J115" i="2"/>
  <c r="I86" i="2"/>
  <c r="I90" i="2" s="1"/>
  <c r="I117" i="2"/>
  <c r="I148" i="2"/>
  <c r="I114" i="2"/>
  <c r="J114" i="2"/>
  <c r="K8" i="8"/>
  <c r="K9" i="8" s="1"/>
  <c r="I47" i="2"/>
  <c r="K39" i="2" l="1"/>
  <c r="K44" i="2"/>
  <c r="L38" i="2"/>
  <c r="L42" i="2"/>
  <c r="L41" i="2" s="1"/>
  <c r="L35" i="2"/>
  <c r="L152" i="2" s="1"/>
  <c r="L154" i="2" s="1"/>
  <c r="L155" i="2" s="1"/>
  <c r="L123" i="2" s="1"/>
  <c r="J106" i="2"/>
  <c r="M6" i="8"/>
  <c r="E3" i="15"/>
  <c r="M7" i="2"/>
  <c r="H27" i="13"/>
  <c r="I27" i="13" s="1"/>
  <c r="H16" i="13"/>
  <c r="I15" i="13"/>
  <c r="J71" i="2"/>
  <c r="K106" i="2"/>
  <c r="M20" i="8"/>
  <c r="M14" i="8" s="1"/>
  <c r="K128" i="2"/>
  <c r="M21" i="8"/>
  <c r="K148" i="2"/>
  <c r="M22" i="8" s="1"/>
  <c r="K15" i="8"/>
  <c r="I52" i="2"/>
  <c r="K22" i="8"/>
  <c r="I149" i="2"/>
  <c r="L22" i="8"/>
  <c r="J149" i="2"/>
  <c r="K114" i="2"/>
  <c r="M8" i="8"/>
  <c r="M9" i="8" s="1"/>
  <c r="K47" i="2"/>
  <c r="K117" i="2"/>
  <c r="K86" i="2"/>
  <c r="K90" i="2" s="1"/>
  <c r="K115" i="2"/>
  <c r="M42" i="2"/>
  <c r="M41" i="2" s="1"/>
  <c r="N7" i="2"/>
  <c r="M38" i="2"/>
  <c r="M35" i="2"/>
  <c r="M152" i="2" s="1"/>
  <c r="M144" i="2"/>
  <c r="L68" i="2"/>
  <c r="L145" i="2"/>
  <c r="L146" i="2"/>
  <c r="L78" i="2" s="1"/>
  <c r="N5" i="8"/>
  <c r="L39" i="2"/>
  <c r="L67" i="2"/>
  <c r="L15" i="8"/>
  <c r="J52" i="2"/>
  <c r="L44" i="2" l="1"/>
  <c r="K71" i="2"/>
  <c r="N6" i="8"/>
  <c r="F3" i="15"/>
  <c r="K149" i="2"/>
  <c r="L128" i="2"/>
  <c r="N21" i="8"/>
  <c r="L106" i="2"/>
  <c r="N20" i="8"/>
  <c r="N14" i="8" s="1"/>
  <c r="N152" i="2"/>
  <c r="M154" i="2"/>
  <c r="M155" i="2" s="1"/>
  <c r="L71" i="2"/>
  <c r="L148" i="2"/>
  <c r="L149" i="2" s="1"/>
  <c r="J53" i="2"/>
  <c r="J55" i="2" s="1"/>
  <c r="F18" i="15" s="1"/>
  <c r="L17" i="8"/>
  <c r="L18" i="8" s="1"/>
  <c r="L23" i="8" s="1"/>
  <c r="L11" i="8"/>
  <c r="L114" i="2"/>
  <c r="N8" i="8"/>
  <c r="N9" i="8" s="1"/>
  <c r="L47" i="2"/>
  <c r="L117" i="2"/>
  <c r="L86" i="2"/>
  <c r="L90" i="2" s="1"/>
  <c r="L115" i="2"/>
  <c r="M67" i="2"/>
  <c r="O5" i="8"/>
  <c r="M39" i="2"/>
  <c r="M68" i="2"/>
  <c r="M145" i="2"/>
  <c r="M146" i="2"/>
  <c r="M78" i="2" s="1"/>
  <c r="M15" i="8"/>
  <c r="K52" i="2"/>
  <c r="I53" i="2"/>
  <c r="I55" i="2" s="1"/>
  <c r="E18" i="15" s="1"/>
  <c r="K11" i="8"/>
  <c r="K17" i="8"/>
  <c r="K18" i="8" s="1"/>
  <c r="K23" i="8" s="1"/>
  <c r="K27" i="8" l="1"/>
  <c r="E13" i="15"/>
  <c r="L27" i="8"/>
  <c r="F13" i="15"/>
  <c r="O6" i="8"/>
  <c r="G3" i="15"/>
  <c r="K12" i="8"/>
  <c r="E7" i="15"/>
  <c r="E9" i="15" s="1"/>
  <c r="L12" i="8"/>
  <c r="F7" i="15"/>
  <c r="F9" i="15" s="1"/>
  <c r="O152" i="2"/>
  <c r="N154" i="2"/>
  <c r="N155" i="2" s="1"/>
  <c r="M123" i="2"/>
  <c r="M44" i="2"/>
  <c r="M47" i="2" s="1"/>
  <c r="N22" i="8"/>
  <c r="I105" i="2"/>
  <c r="I120" i="2" s="1"/>
  <c r="I137" i="2" s="1"/>
  <c r="I66" i="2" s="1"/>
  <c r="I70" i="2" s="1"/>
  <c r="I75" i="2" s="1"/>
  <c r="I60" i="2"/>
  <c r="E11" i="15" s="1"/>
  <c r="I93" i="2"/>
  <c r="K53" i="2"/>
  <c r="K55" i="2" s="1"/>
  <c r="G18" i="15" s="1"/>
  <c r="M11" i="8"/>
  <c r="M17" i="8"/>
  <c r="M18" i="8" s="1"/>
  <c r="M23" i="8" s="1"/>
  <c r="M86" i="2"/>
  <c r="M90" i="2" s="1"/>
  <c r="M117" i="2"/>
  <c r="N117" i="2"/>
  <c r="M148" i="2"/>
  <c r="N115" i="2"/>
  <c r="M115" i="2"/>
  <c r="O8" i="8"/>
  <c r="O9" i="8" s="1"/>
  <c r="N114" i="2"/>
  <c r="M114" i="2"/>
  <c r="N15" i="8"/>
  <c r="L52" i="2"/>
  <c r="J105" i="2"/>
  <c r="J120" i="2" s="1"/>
  <c r="J131" i="2" s="1"/>
  <c r="M27" i="8" l="1"/>
  <c r="G13" i="15"/>
  <c r="M12" i="8"/>
  <c r="G7" i="15"/>
  <c r="G9" i="15" s="1"/>
  <c r="M106" i="2"/>
  <c r="M71" i="2" s="1"/>
  <c r="O20" i="8"/>
  <c r="O14" i="8" s="1"/>
  <c r="M128" i="2"/>
  <c r="O21" i="8"/>
  <c r="N123" i="2"/>
  <c r="N128" i="2" s="1"/>
  <c r="N44" i="2"/>
  <c r="P152" i="2"/>
  <c r="O154" i="2"/>
  <c r="O155" i="2" s="1"/>
  <c r="J135" i="2"/>
  <c r="J137" i="2" s="1"/>
  <c r="J66" i="2" s="1"/>
  <c r="J70" i="2" s="1"/>
  <c r="J75" i="2" s="1"/>
  <c r="J58" i="2"/>
  <c r="J57" i="2" s="1"/>
  <c r="L53" i="2"/>
  <c r="L55" i="2" s="1"/>
  <c r="N17" i="8"/>
  <c r="N18" i="8" s="1"/>
  <c r="N23" i="8" s="1"/>
  <c r="N27" i="8" s="1"/>
  <c r="N11" i="8"/>
  <c r="N12" i="8" s="1"/>
  <c r="M52" i="2"/>
  <c r="O15" i="8"/>
  <c r="N149" i="2"/>
  <c r="M149" i="2"/>
  <c r="O22" i="8"/>
  <c r="K105" i="2"/>
  <c r="K120" i="2" s="1"/>
  <c r="K131" i="2" s="1"/>
  <c r="I96" i="2"/>
  <c r="I97" i="2" s="1"/>
  <c r="I99" i="2" s="1"/>
  <c r="I3" i="2" s="1"/>
  <c r="J93" i="2"/>
  <c r="Q152" i="2" l="1"/>
  <c r="P154" i="2"/>
  <c r="P155" i="2" s="1"/>
  <c r="N106" i="2"/>
  <c r="N71" i="2" s="1"/>
  <c r="N47" i="2"/>
  <c r="N52" i="2" s="1"/>
  <c r="N53" i="2" s="1"/>
  <c r="N55" i="2" s="1"/>
  <c r="N105" i="2" s="1"/>
  <c r="N120" i="2" s="1"/>
  <c r="N131" i="2" s="1"/>
  <c r="N135" i="2" s="1"/>
  <c r="N137" i="2" s="1"/>
  <c r="O123" i="2"/>
  <c r="O128" i="2" s="1"/>
  <c r="O44" i="2"/>
  <c r="J96" i="2"/>
  <c r="J97" i="2" s="1"/>
  <c r="J99" i="2" s="1"/>
  <c r="J3" i="2" s="1"/>
  <c r="K93" i="2"/>
  <c r="K135" i="2"/>
  <c r="K137" i="2" s="1"/>
  <c r="K66" i="2" s="1"/>
  <c r="K70" i="2" s="1"/>
  <c r="K75" i="2" s="1"/>
  <c r="K58" i="2"/>
  <c r="K57" i="2" s="1"/>
  <c r="O17" i="8"/>
  <c r="O18" i="8" s="1"/>
  <c r="O23" i="8" s="1"/>
  <c r="O11" i="8"/>
  <c r="Y14" i="11" s="1"/>
  <c r="M53" i="2"/>
  <c r="M55" i="2" s="1"/>
  <c r="L105" i="2"/>
  <c r="L120" i="2" s="1"/>
  <c r="L131" i="2" s="1"/>
  <c r="J60" i="2"/>
  <c r="F11" i="15" s="1"/>
  <c r="O106" i="2" l="1"/>
  <c r="O71" i="2" s="1"/>
  <c r="O47" i="2"/>
  <c r="O52" i="2" s="1"/>
  <c r="O53" i="2" s="1"/>
  <c r="O55" i="2" s="1"/>
  <c r="O105" i="2" s="1"/>
  <c r="P123" i="2"/>
  <c r="P128" i="2" s="1"/>
  <c r="P44" i="2"/>
  <c r="R152" i="2"/>
  <c r="R154" i="2" s="1"/>
  <c r="R155" i="2" s="1"/>
  <c r="Q154" i="2"/>
  <c r="Q155" i="2" s="1"/>
  <c r="K60" i="2"/>
  <c r="G11" i="15" s="1"/>
  <c r="L135" i="2"/>
  <c r="L137" i="2" s="1"/>
  <c r="L66" i="2" s="1"/>
  <c r="L70" i="2" s="1"/>
  <c r="L75" i="2" s="1"/>
  <c r="L58" i="2"/>
  <c r="L57" i="2" s="1"/>
  <c r="M105" i="2"/>
  <c r="M120" i="2" s="1"/>
  <c r="M131" i="2" s="1"/>
  <c r="Y7" i="11"/>
  <c r="O27" i="8"/>
  <c r="D46" i="8" s="1"/>
  <c r="D39" i="8"/>
  <c r="D42" i="8"/>
  <c r="D44" i="8" s="1"/>
  <c r="O12" i="8"/>
  <c r="D62" i="8"/>
  <c r="D63" i="8" s="1"/>
  <c r="K96" i="2"/>
  <c r="K97" i="2" s="1"/>
  <c r="K99" i="2" s="1"/>
  <c r="K3" i="2" s="1"/>
  <c r="L93" i="2"/>
  <c r="O120" i="2" l="1"/>
  <c r="O131" i="2" s="1"/>
  <c r="O135" i="2" s="1"/>
  <c r="O137" i="2" s="1"/>
  <c r="Q123" i="2"/>
  <c r="Q128" i="2" s="1"/>
  <c r="Q44" i="2"/>
  <c r="R123" i="2"/>
  <c r="R128" i="2" s="1"/>
  <c r="R44" i="2"/>
  <c r="P106" i="2"/>
  <c r="P71" i="2" s="1"/>
  <c r="P47" i="2"/>
  <c r="P52" i="2" s="1"/>
  <c r="P53" i="2" s="1"/>
  <c r="P55" i="2" s="1"/>
  <c r="P105" i="2" s="1"/>
  <c r="D47" i="8"/>
  <c r="L96" i="2"/>
  <c r="L97" i="2" s="1"/>
  <c r="L99" i="2" s="1"/>
  <c r="L3" i="2" s="1"/>
  <c r="M93" i="2"/>
  <c r="Y8" i="11"/>
  <c r="D65" i="8"/>
  <c r="D66" i="8" s="1"/>
  <c r="R28" i="15" s="1"/>
  <c r="M58" i="2"/>
  <c r="M57" i="2" s="1"/>
  <c r="M135" i="2"/>
  <c r="M137" i="2" s="1"/>
  <c r="M66" i="2" s="1"/>
  <c r="L60" i="2"/>
  <c r="P120" i="2" l="1"/>
  <c r="P131" i="2" s="1"/>
  <c r="P135" i="2" s="1"/>
  <c r="P137" i="2" s="1"/>
  <c r="N4" i="11"/>
  <c r="L4" i="11" s="1"/>
  <c r="O28" i="15"/>
  <c r="R106" i="2"/>
  <c r="R47" i="2"/>
  <c r="R52" i="2" s="1"/>
  <c r="R53" i="2" s="1"/>
  <c r="R55" i="2" s="1"/>
  <c r="R105" i="2" s="1"/>
  <c r="Q106" i="2"/>
  <c r="Q71" i="2" s="1"/>
  <c r="Q47" i="2"/>
  <c r="Q52" i="2" s="1"/>
  <c r="Q53" i="2" s="1"/>
  <c r="Q55" i="2" s="1"/>
  <c r="Q105" i="2" s="1"/>
  <c r="Q120" i="2" s="1"/>
  <c r="Q131" i="2" s="1"/>
  <c r="Q135" i="2" s="1"/>
  <c r="Q137" i="2" s="1"/>
  <c r="D50" i="8"/>
  <c r="O29" i="15" s="1"/>
  <c r="M60" i="2"/>
  <c r="N58" i="2"/>
  <c r="N57" i="2" s="1"/>
  <c r="M70" i="2"/>
  <c r="M75" i="2" s="1"/>
  <c r="N66" i="2"/>
  <c r="D79" i="8"/>
  <c r="D80" i="8" s="1"/>
  <c r="N5" i="11"/>
  <c r="D69" i="8"/>
  <c r="M96" i="2"/>
  <c r="M97" i="2" s="1"/>
  <c r="N93" i="2"/>
  <c r="M4" i="11" l="1"/>
  <c r="Y9" i="11" s="1"/>
  <c r="Y12" i="11" s="1"/>
  <c r="V4" i="11" s="1"/>
  <c r="R120" i="2"/>
  <c r="R131" i="2" s="1"/>
  <c r="R135" i="2" s="1"/>
  <c r="R137" i="2" s="1"/>
  <c r="D73" i="8"/>
  <c r="R30" i="15" s="1"/>
  <c r="R29" i="15"/>
  <c r="D54" i="8"/>
  <c r="M99" i="2"/>
  <c r="M3" i="2" s="1"/>
  <c r="R71" i="2"/>
  <c r="N96" i="2"/>
  <c r="N97" i="2" s="1"/>
  <c r="O93" i="2"/>
  <c r="Y10" i="11"/>
  <c r="Y13" i="11" s="1"/>
  <c r="U4" i="11" s="1"/>
  <c r="O4" i="11"/>
  <c r="D75" i="8"/>
  <c r="L5" i="11"/>
  <c r="U5" i="11" s="1"/>
  <c r="M5" i="11"/>
  <c r="V5" i="11" s="1"/>
  <c r="N70" i="2"/>
  <c r="N75" i="2" s="1"/>
  <c r="O66" i="2"/>
  <c r="O58" i="2"/>
  <c r="O57" i="2" s="1"/>
  <c r="N60" i="2"/>
  <c r="P4" i="11" l="1"/>
  <c r="R81" i="8"/>
  <c r="D78" i="8"/>
  <c r="E5" i="11"/>
  <c r="C5" i="11" s="1"/>
  <c r="F5" i="11" s="1"/>
  <c r="E4" i="11"/>
  <c r="C4" i="11" s="1"/>
  <c r="F4" i="11" s="1"/>
  <c r="R89" i="8"/>
  <c r="D56" i="8"/>
  <c r="O30" i="15"/>
  <c r="N32" i="15" s="1"/>
  <c r="O60" i="2"/>
  <c r="P58" i="2"/>
  <c r="P57" i="2" s="1"/>
  <c r="O70" i="2"/>
  <c r="O75" i="2" s="1"/>
  <c r="P66" i="2"/>
  <c r="P5" i="11"/>
  <c r="O5" i="11"/>
  <c r="O96" i="2"/>
  <c r="O97" i="2" s="1"/>
  <c r="P93" i="2"/>
  <c r="N99" i="2"/>
  <c r="N3" i="2" s="1"/>
  <c r="D5" i="11" l="1"/>
  <c r="G5" i="11" s="1"/>
  <c r="D4" i="11"/>
  <c r="G4" i="11" s="1"/>
  <c r="O99" i="2"/>
  <c r="O3" i="2" s="1"/>
  <c r="P96" i="2"/>
  <c r="P97" i="2" s="1"/>
  <c r="Q93" i="2"/>
  <c r="P70" i="2"/>
  <c r="P75" i="2" s="1"/>
  <c r="Q66" i="2"/>
  <c r="Q58" i="2"/>
  <c r="Q57" i="2" s="1"/>
  <c r="P60" i="2"/>
  <c r="R58" i="2" l="1"/>
  <c r="R57" i="2" s="1"/>
  <c r="R60" i="2" s="1"/>
  <c r="Q60" i="2"/>
  <c r="Q70" i="2"/>
  <c r="Q75" i="2" s="1"/>
  <c r="R66" i="2"/>
  <c r="R70" i="2" s="1"/>
  <c r="R75" i="2" s="1"/>
  <c r="R93" i="2"/>
  <c r="R96" i="2" s="1"/>
  <c r="R97" i="2" s="1"/>
  <c r="Q96" i="2"/>
  <c r="Q97" i="2" s="1"/>
  <c r="P99" i="2"/>
  <c r="P3" i="2" s="1"/>
  <c r="Q99" i="2" l="1"/>
  <c r="Q3" i="2" s="1"/>
  <c r="R99" i="2"/>
  <c r="R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Sonad, Daniel</author>
  </authors>
  <commentList>
    <comment ref="I8" authorId="0" shapeId="0" xr:uid="{1A620673-568B-477F-A362-B688F037729A}">
      <text>
        <r>
          <rPr>
            <sz val="11"/>
            <color theme="1"/>
            <rFont val="Calibri"/>
            <family val="2"/>
            <scheme val="minor"/>
          </rPr>
          <t>Sonad, Daniel:
FactSet Consensus til '28, straight-lined thereafter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37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8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0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2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4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6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8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0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2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4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6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8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0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2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4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6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8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0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2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4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6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8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0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2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4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6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8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0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2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4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6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8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0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2"/>
        </ext>
      </extLst>
    </bk>
    <bk>
      <extLst>
        <ext uri="{3e2802c4-a4d2-4d8b-9148-e3be6c30e623}">
          <xlrd:rvb i="363"/>
        </ext>
      </extLst>
    </bk>
    <bk>
      <extLst>
        <ext uri="{3e2802c4-a4d2-4d8b-9148-e3be6c30e623}">
          <xlrd:rvb i="364"/>
        </ext>
      </extLst>
    </bk>
    <bk>
      <extLst>
        <ext uri="{3e2802c4-a4d2-4d8b-9148-e3be6c30e623}">
          <xlrd:rvb i="365"/>
        </ext>
      </extLst>
    </bk>
    <bk>
      <extLst>
        <ext uri="{3e2802c4-a4d2-4d8b-9148-e3be6c30e623}">
          <xlrd:rvb i="366"/>
        </ext>
      </extLst>
    </bk>
    <bk>
      <extLst>
        <ext uri="{3e2802c4-a4d2-4d8b-9148-e3be6c30e623}">
          <xlrd:rvb i="367"/>
        </ext>
      </extLst>
    </bk>
    <bk>
      <extLst>
        <ext uri="{3e2802c4-a4d2-4d8b-9148-e3be6c30e623}">
          <xlrd:rvb i="368"/>
        </ext>
      </extLst>
    </bk>
    <bk>
      <extLst>
        <ext uri="{3e2802c4-a4d2-4d8b-9148-e3be6c30e623}">
          <xlrd:rvb i="369"/>
        </ext>
      </extLst>
    </bk>
    <bk>
      <extLst>
        <ext uri="{3e2802c4-a4d2-4d8b-9148-e3be6c30e623}">
          <xlrd:rvb i="370"/>
        </ext>
      </extLst>
    </bk>
    <bk>
      <extLst>
        <ext uri="{3e2802c4-a4d2-4d8b-9148-e3be6c30e623}">
          <xlrd:rvb i="371"/>
        </ext>
      </extLst>
    </bk>
    <bk>
      <extLst>
        <ext uri="{3e2802c4-a4d2-4d8b-9148-e3be6c30e623}">
          <xlrd:rvb i="372"/>
        </ext>
      </extLst>
    </bk>
    <bk>
      <extLst>
        <ext uri="{3e2802c4-a4d2-4d8b-9148-e3be6c30e623}">
          <xlrd:rvb i="373"/>
        </ext>
      </extLst>
    </bk>
    <bk>
      <extLst>
        <ext uri="{3e2802c4-a4d2-4d8b-9148-e3be6c30e623}">
          <xlrd:rvb i="374"/>
        </ext>
      </extLst>
    </bk>
    <bk>
      <extLst>
        <ext uri="{3e2802c4-a4d2-4d8b-9148-e3be6c30e623}">
          <xlrd:rvb i="375"/>
        </ext>
      </extLst>
    </bk>
    <bk>
      <extLst>
        <ext uri="{3e2802c4-a4d2-4d8b-9148-e3be6c30e623}">
          <xlrd:rvb i="376"/>
        </ext>
      </extLst>
    </bk>
    <bk>
      <extLst>
        <ext uri="{3e2802c4-a4d2-4d8b-9148-e3be6c30e623}">
          <xlrd:rvb i="377"/>
        </ext>
      </extLst>
    </bk>
    <bk>
      <extLst>
        <ext uri="{3e2802c4-a4d2-4d8b-9148-e3be6c30e623}">
          <xlrd:rvb i="378"/>
        </ext>
      </extLst>
    </bk>
    <bk>
      <extLst>
        <ext uri="{3e2802c4-a4d2-4d8b-9148-e3be6c30e623}">
          <xlrd:rvb i="379"/>
        </ext>
      </extLst>
    </bk>
    <bk>
      <extLst>
        <ext uri="{3e2802c4-a4d2-4d8b-9148-e3be6c30e623}">
          <xlrd:rvb i="380"/>
        </ext>
      </extLst>
    </bk>
    <bk>
      <extLst>
        <ext uri="{3e2802c4-a4d2-4d8b-9148-e3be6c30e623}">
          <xlrd:rvb i="381"/>
        </ext>
      </extLst>
    </bk>
    <bk>
      <extLst>
        <ext uri="{3e2802c4-a4d2-4d8b-9148-e3be6c30e623}">
          <xlrd:rvb i="382"/>
        </ext>
      </extLst>
    </bk>
    <bk>
      <extLst>
        <ext uri="{3e2802c4-a4d2-4d8b-9148-e3be6c30e623}">
          <xlrd:rvb i="383"/>
        </ext>
      </extLst>
    </bk>
    <bk>
      <extLst>
        <ext uri="{3e2802c4-a4d2-4d8b-9148-e3be6c30e623}">
          <xlrd:rvb i="384"/>
        </ext>
      </extLst>
    </bk>
    <bk>
      <extLst>
        <ext uri="{3e2802c4-a4d2-4d8b-9148-e3be6c30e623}">
          <xlrd:rvb i="385"/>
        </ext>
      </extLst>
    </bk>
    <bk>
      <extLst>
        <ext uri="{3e2802c4-a4d2-4d8b-9148-e3be6c30e623}">
          <xlrd:rvb i="386"/>
        </ext>
      </extLst>
    </bk>
    <bk>
      <extLst>
        <ext uri="{3e2802c4-a4d2-4d8b-9148-e3be6c30e623}">
          <xlrd:rvb i="387"/>
        </ext>
      </extLst>
    </bk>
    <bk>
      <extLst>
        <ext uri="{3e2802c4-a4d2-4d8b-9148-e3be6c30e623}">
          <xlrd:rvb i="388"/>
        </ext>
      </extLst>
    </bk>
    <bk>
      <extLst>
        <ext uri="{3e2802c4-a4d2-4d8b-9148-e3be6c30e623}">
          <xlrd:rvb i="389"/>
        </ext>
      </extLst>
    </bk>
    <bk>
      <extLst>
        <ext uri="{3e2802c4-a4d2-4d8b-9148-e3be6c30e623}">
          <xlrd:rvb i="390"/>
        </ext>
      </extLst>
    </bk>
    <bk>
      <extLst>
        <ext uri="{3e2802c4-a4d2-4d8b-9148-e3be6c30e623}">
          <xlrd:rvb i="391"/>
        </ext>
      </extLst>
    </bk>
    <bk>
      <extLst>
        <ext uri="{3e2802c4-a4d2-4d8b-9148-e3be6c30e623}">
          <xlrd:rvb i="392"/>
        </ext>
      </extLst>
    </bk>
    <bk>
      <extLst>
        <ext uri="{3e2802c4-a4d2-4d8b-9148-e3be6c30e623}">
          <xlrd:rvb i="393"/>
        </ext>
      </extLst>
    </bk>
    <bk>
      <extLst>
        <ext uri="{3e2802c4-a4d2-4d8b-9148-e3be6c30e623}">
          <xlrd:rvb i="394"/>
        </ext>
      </extLst>
    </bk>
    <bk>
      <extLst>
        <ext uri="{3e2802c4-a4d2-4d8b-9148-e3be6c30e623}">
          <xlrd:rvb i="395"/>
        </ext>
      </extLst>
    </bk>
    <bk>
      <extLst>
        <ext uri="{3e2802c4-a4d2-4d8b-9148-e3be6c30e623}">
          <xlrd:rvb i="396"/>
        </ext>
      </extLst>
    </bk>
    <bk>
      <extLst>
        <ext uri="{3e2802c4-a4d2-4d8b-9148-e3be6c30e623}">
          <xlrd:rvb i="397"/>
        </ext>
      </extLst>
    </bk>
    <bk>
      <extLst>
        <ext uri="{3e2802c4-a4d2-4d8b-9148-e3be6c30e623}">
          <xlrd:rvb i="398"/>
        </ext>
      </extLst>
    </bk>
    <bk>
      <extLst>
        <ext uri="{3e2802c4-a4d2-4d8b-9148-e3be6c30e623}">
          <xlrd:rvb i="399"/>
        </ext>
      </extLst>
    </bk>
    <bk>
      <extLst>
        <ext uri="{3e2802c4-a4d2-4d8b-9148-e3be6c30e623}">
          <xlrd:rvb i="400"/>
        </ext>
      </extLst>
    </bk>
    <bk>
      <extLst>
        <ext uri="{3e2802c4-a4d2-4d8b-9148-e3be6c30e623}">
          <xlrd:rvb i="401"/>
        </ext>
      </extLst>
    </bk>
    <bk>
      <extLst>
        <ext uri="{3e2802c4-a4d2-4d8b-9148-e3be6c30e623}">
          <xlrd:rvb i="402"/>
        </ext>
      </extLst>
    </bk>
    <bk>
      <extLst>
        <ext uri="{3e2802c4-a4d2-4d8b-9148-e3be6c30e623}">
          <xlrd:rvb i="403"/>
        </ext>
      </extLst>
    </bk>
    <bk>
      <extLst>
        <ext uri="{3e2802c4-a4d2-4d8b-9148-e3be6c30e623}">
          <xlrd:rvb i="404"/>
        </ext>
      </extLst>
    </bk>
    <bk>
      <extLst>
        <ext uri="{3e2802c4-a4d2-4d8b-9148-e3be6c30e623}">
          <xlrd:rvb i="405"/>
        </ext>
      </extLst>
    </bk>
    <bk>
      <extLst>
        <ext uri="{3e2802c4-a4d2-4d8b-9148-e3be6c30e623}">
          <xlrd:rvb i="406"/>
        </ext>
      </extLst>
    </bk>
    <bk>
      <extLst>
        <ext uri="{3e2802c4-a4d2-4d8b-9148-e3be6c30e623}">
          <xlrd:rvb i="407"/>
        </ext>
      </extLst>
    </bk>
    <bk>
      <extLst>
        <ext uri="{3e2802c4-a4d2-4d8b-9148-e3be6c30e623}">
          <xlrd:rvb i="408"/>
        </ext>
      </extLst>
    </bk>
    <bk>
      <extLst>
        <ext uri="{3e2802c4-a4d2-4d8b-9148-e3be6c30e623}">
          <xlrd:rvb i="409"/>
        </ext>
      </extLst>
    </bk>
    <bk>
      <extLst>
        <ext uri="{3e2802c4-a4d2-4d8b-9148-e3be6c30e623}">
          <xlrd:rvb i="410"/>
        </ext>
      </extLst>
    </bk>
    <bk>
      <extLst>
        <ext uri="{3e2802c4-a4d2-4d8b-9148-e3be6c30e623}">
          <xlrd:rvb i="411"/>
        </ext>
      </extLst>
    </bk>
    <bk>
      <extLst>
        <ext uri="{3e2802c4-a4d2-4d8b-9148-e3be6c30e623}">
          <xlrd:rvb i="412"/>
        </ext>
      </extLst>
    </bk>
    <bk>
      <extLst>
        <ext uri="{3e2802c4-a4d2-4d8b-9148-e3be6c30e623}">
          <xlrd:rvb i="413"/>
        </ext>
      </extLst>
    </bk>
    <bk>
      <extLst>
        <ext uri="{3e2802c4-a4d2-4d8b-9148-e3be6c30e623}">
          <xlrd:rvb i="414"/>
        </ext>
      </extLst>
    </bk>
    <bk>
      <extLst>
        <ext uri="{3e2802c4-a4d2-4d8b-9148-e3be6c30e623}">
          <xlrd:rvb i="415"/>
        </ext>
      </extLst>
    </bk>
    <bk>
      <extLst>
        <ext uri="{3e2802c4-a4d2-4d8b-9148-e3be6c30e623}">
          <xlrd:rvb i="416"/>
        </ext>
      </extLst>
    </bk>
    <bk>
      <extLst>
        <ext uri="{3e2802c4-a4d2-4d8b-9148-e3be6c30e623}">
          <xlrd:rvb i="417"/>
        </ext>
      </extLst>
    </bk>
    <bk>
      <extLst>
        <ext uri="{3e2802c4-a4d2-4d8b-9148-e3be6c30e623}">
          <xlrd:rvb i="418"/>
        </ext>
      </extLst>
    </bk>
    <bk>
      <extLst>
        <ext uri="{3e2802c4-a4d2-4d8b-9148-e3be6c30e623}">
          <xlrd:rvb i="419"/>
        </ext>
      </extLst>
    </bk>
    <bk>
      <extLst>
        <ext uri="{3e2802c4-a4d2-4d8b-9148-e3be6c30e623}">
          <xlrd:rvb i="420"/>
        </ext>
      </extLst>
    </bk>
    <bk>
      <extLst>
        <ext uri="{3e2802c4-a4d2-4d8b-9148-e3be6c30e623}">
          <xlrd:rvb i="421"/>
        </ext>
      </extLst>
    </bk>
    <bk>
      <extLst>
        <ext uri="{3e2802c4-a4d2-4d8b-9148-e3be6c30e623}">
          <xlrd:rvb i="422"/>
        </ext>
      </extLst>
    </bk>
    <bk>
      <extLst>
        <ext uri="{3e2802c4-a4d2-4d8b-9148-e3be6c30e623}">
          <xlrd:rvb i="423"/>
        </ext>
      </extLst>
    </bk>
    <bk>
      <extLst>
        <ext uri="{3e2802c4-a4d2-4d8b-9148-e3be6c30e623}">
          <xlrd:rvb i="424"/>
        </ext>
      </extLst>
    </bk>
    <bk>
      <extLst>
        <ext uri="{3e2802c4-a4d2-4d8b-9148-e3be6c30e623}">
          <xlrd:rvb i="425"/>
        </ext>
      </extLst>
    </bk>
    <bk>
      <extLst>
        <ext uri="{3e2802c4-a4d2-4d8b-9148-e3be6c30e623}">
          <xlrd:rvb i="426"/>
        </ext>
      </extLst>
    </bk>
    <bk>
      <extLst>
        <ext uri="{3e2802c4-a4d2-4d8b-9148-e3be6c30e623}">
          <xlrd:rvb i="427"/>
        </ext>
      </extLst>
    </bk>
    <bk>
      <extLst>
        <ext uri="{3e2802c4-a4d2-4d8b-9148-e3be6c30e623}">
          <xlrd:rvb i="428"/>
        </ext>
      </extLst>
    </bk>
    <bk>
      <extLst>
        <ext uri="{3e2802c4-a4d2-4d8b-9148-e3be6c30e623}">
          <xlrd:rvb i="429"/>
        </ext>
      </extLst>
    </bk>
    <bk>
      <extLst>
        <ext uri="{3e2802c4-a4d2-4d8b-9148-e3be6c30e623}">
          <xlrd:rvb i="430"/>
        </ext>
      </extLst>
    </bk>
    <bk>
      <extLst>
        <ext uri="{3e2802c4-a4d2-4d8b-9148-e3be6c30e623}">
          <xlrd:rvb i="431"/>
        </ext>
      </extLst>
    </bk>
    <bk>
      <extLst>
        <ext uri="{3e2802c4-a4d2-4d8b-9148-e3be6c30e623}">
          <xlrd:rvb i="432"/>
        </ext>
      </extLst>
    </bk>
    <bk>
      <extLst>
        <ext uri="{3e2802c4-a4d2-4d8b-9148-e3be6c30e623}">
          <xlrd:rvb i="433"/>
        </ext>
      </extLst>
    </bk>
    <bk>
      <extLst>
        <ext uri="{3e2802c4-a4d2-4d8b-9148-e3be6c30e623}">
          <xlrd:rvb i="434"/>
        </ext>
      </extLst>
    </bk>
    <bk>
      <extLst>
        <ext uri="{3e2802c4-a4d2-4d8b-9148-e3be6c30e623}">
          <xlrd:rvb i="435"/>
        </ext>
      </extLst>
    </bk>
    <bk>
      <extLst>
        <ext uri="{3e2802c4-a4d2-4d8b-9148-e3be6c30e623}">
          <xlrd:rvb i="436"/>
        </ext>
      </extLst>
    </bk>
    <bk>
      <extLst>
        <ext uri="{3e2802c4-a4d2-4d8b-9148-e3be6c30e623}">
          <xlrd:rvb i="437"/>
        </ext>
      </extLst>
    </bk>
    <bk>
      <extLst>
        <ext uri="{3e2802c4-a4d2-4d8b-9148-e3be6c30e623}">
          <xlrd:rvb i="438"/>
        </ext>
      </extLst>
    </bk>
    <bk>
      <extLst>
        <ext uri="{3e2802c4-a4d2-4d8b-9148-e3be6c30e623}">
          <xlrd:rvb i="439"/>
        </ext>
      </extLst>
    </bk>
    <bk>
      <extLst>
        <ext uri="{3e2802c4-a4d2-4d8b-9148-e3be6c30e623}">
          <xlrd:rvb i="440"/>
        </ext>
      </extLst>
    </bk>
    <bk>
      <extLst>
        <ext uri="{3e2802c4-a4d2-4d8b-9148-e3be6c30e623}">
          <xlrd:rvb i="441"/>
        </ext>
      </extLst>
    </bk>
    <bk>
      <extLst>
        <ext uri="{3e2802c4-a4d2-4d8b-9148-e3be6c30e623}">
          <xlrd:rvb i="442"/>
        </ext>
      </extLst>
    </bk>
    <bk>
      <extLst>
        <ext uri="{3e2802c4-a4d2-4d8b-9148-e3be6c30e623}">
          <xlrd:rvb i="443"/>
        </ext>
      </extLst>
    </bk>
    <bk>
      <extLst>
        <ext uri="{3e2802c4-a4d2-4d8b-9148-e3be6c30e623}">
          <xlrd:rvb i="444"/>
        </ext>
      </extLst>
    </bk>
    <bk>
      <extLst>
        <ext uri="{3e2802c4-a4d2-4d8b-9148-e3be6c30e623}">
          <xlrd:rvb i="445"/>
        </ext>
      </extLst>
    </bk>
    <bk>
      <extLst>
        <ext uri="{3e2802c4-a4d2-4d8b-9148-e3be6c30e623}">
          <xlrd:rvb i="446"/>
        </ext>
      </extLst>
    </bk>
    <bk>
      <extLst>
        <ext uri="{3e2802c4-a4d2-4d8b-9148-e3be6c30e623}">
          <xlrd:rvb i="447"/>
        </ext>
      </extLst>
    </bk>
    <bk>
      <extLst>
        <ext uri="{3e2802c4-a4d2-4d8b-9148-e3be6c30e623}">
          <xlrd:rvb i="448"/>
        </ext>
      </extLst>
    </bk>
    <bk>
      <extLst>
        <ext uri="{3e2802c4-a4d2-4d8b-9148-e3be6c30e623}">
          <xlrd:rvb i="449"/>
        </ext>
      </extLst>
    </bk>
    <bk>
      <extLst>
        <ext uri="{3e2802c4-a4d2-4d8b-9148-e3be6c30e623}">
          <xlrd:rvb i="450"/>
        </ext>
      </extLst>
    </bk>
    <bk>
      <extLst>
        <ext uri="{3e2802c4-a4d2-4d8b-9148-e3be6c30e623}">
          <xlrd:rvb i="451"/>
        </ext>
      </extLst>
    </bk>
    <bk>
      <extLst>
        <ext uri="{3e2802c4-a4d2-4d8b-9148-e3be6c30e623}">
          <xlrd:rvb i="452"/>
        </ext>
      </extLst>
    </bk>
    <bk>
      <extLst>
        <ext uri="{3e2802c4-a4d2-4d8b-9148-e3be6c30e623}">
          <xlrd:rvb i="453"/>
        </ext>
      </extLst>
    </bk>
    <bk>
      <extLst>
        <ext uri="{3e2802c4-a4d2-4d8b-9148-e3be6c30e623}">
          <xlrd:rvb i="454"/>
        </ext>
      </extLst>
    </bk>
    <bk>
      <extLst>
        <ext uri="{3e2802c4-a4d2-4d8b-9148-e3be6c30e623}">
          <xlrd:rvb i="455"/>
        </ext>
      </extLst>
    </bk>
    <bk>
      <extLst>
        <ext uri="{3e2802c4-a4d2-4d8b-9148-e3be6c30e623}">
          <xlrd:rvb i="456"/>
        </ext>
      </extLst>
    </bk>
    <bk>
      <extLst>
        <ext uri="{3e2802c4-a4d2-4d8b-9148-e3be6c30e623}">
          <xlrd:rvb i="457"/>
        </ext>
      </extLst>
    </bk>
    <bk>
      <extLst>
        <ext uri="{3e2802c4-a4d2-4d8b-9148-e3be6c30e623}">
          <xlrd:rvb i="458"/>
        </ext>
      </extLst>
    </bk>
    <bk>
      <extLst>
        <ext uri="{3e2802c4-a4d2-4d8b-9148-e3be6c30e623}">
          <xlrd:rvb i="459"/>
        </ext>
      </extLst>
    </bk>
    <bk>
      <extLst>
        <ext uri="{3e2802c4-a4d2-4d8b-9148-e3be6c30e623}">
          <xlrd:rvb i="460"/>
        </ext>
      </extLst>
    </bk>
    <bk>
      <extLst>
        <ext uri="{3e2802c4-a4d2-4d8b-9148-e3be6c30e623}">
          <xlrd:rvb i="461"/>
        </ext>
      </extLst>
    </bk>
    <bk>
      <extLst>
        <ext uri="{3e2802c4-a4d2-4d8b-9148-e3be6c30e623}">
          <xlrd:rvb i="462"/>
        </ext>
      </extLst>
    </bk>
    <bk>
      <extLst>
        <ext uri="{3e2802c4-a4d2-4d8b-9148-e3be6c30e623}">
          <xlrd:rvb i="463"/>
        </ext>
      </extLst>
    </bk>
    <bk>
      <extLst>
        <ext uri="{3e2802c4-a4d2-4d8b-9148-e3be6c30e623}">
          <xlrd:rvb i="464"/>
        </ext>
      </extLst>
    </bk>
    <bk>
      <extLst>
        <ext uri="{3e2802c4-a4d2-4d8b-9148-e3be6c30e623}">
          <xlrd:rvb i="465"/>
        </ext>
      </extLst>
    </bk>
    <bk>
      <extLst>
        <ext uri="{3e2802c4-a4d2-4d8b-9148-e3be6c30e623}">
          <xlrd:rvb i="466"/>
        </ext>
      </extLst>
    </bk>
    <bk>
      <extLst>
        <ext uri="{3e2802c4-a4d2-4d8b-9148-e3be6c30e623}">
          <xlrd:rvb i="467"/>
        </ext>
      </extLst>
    </bk>
    <bk>
      <extLst>
        <ext uri="{3e2802c4-a4d2-4d8b-9148-e3be6c30e623}">
          <xlrd:rvb i="468"/>
        </ext>
      </extLst>
    </bk>
    <bk>
      <extLst>
        <ext uri="{3e2802c4-a4d2-4d8b-9148-e3be6c30e623}">
          <xlrd:rvb i="469"/>
        </ext>
      </extLst>
    </bk>
    <bk>
      <extLst>
        <ext uri="{3e2802c4-a4d2-4d8b-9148-e3be6c30e623}">
          <xlrd:rvb i="470"/>
        </ext>
      </extLst>
    </bk>
    <bk>
      <extLst>
        <ext uri="{3e2802c4-a4d2-4d8b-9148-e3be6c30e623}">
          <xlrd:rvb i="471"/>
        </ext>
      </extLst>
    </bk>
    <bk>
      <extLst>
        <ext uri="{3e2802c4-a4d2-4d8b-9148-e3be6c30e623}">
          <xlrd:rvb i="472"/>
        </ext>
      </extLst>
    </bk>
    <bk>
      <extLst>
        <ext uri="{3e2802c4-a4d2-4d8b-9148-e3be6c30e623}">
          <xlrd:rvb i="473"/>
        </ext>
      </extLst>
    </bk>
    <bk>
      <extLst>
        <ext uri="{3e2802c4-a4d2-4d8b-9148-e3be6c30e623}">
          <xlrd:rvb i="474"/>
        </ext>
      </extLst>
    </bk>
    <bk>
      <extLst>
        <ext uri="{3e2802c4-a4d2-4d8b-9148-e3be6c30e623}">
          <xlrd:rvb i="475"/>
        </ext>
      </extLst>
    </bk>
    <bk>
      <extLst>
        <ext uri="{3e2802c4-a4d2-4d8b-9148-e3be6c30e623}">
          <xlrd:rvb i="476"/>
        </ext>
      </extLst>
    </bk>
    <bk>
      <extLst>
        <ext uri="{3e2802c4-a4d2-4d8b-9148-e3be6c30e623}">
          <xlrd:rvb i="477"/>
        </ext>
      </extLst>
    </bk>
    <bk>
      <extLst>
        <ext uri="{3e2802c4-a4d2-4d8b-9148-e3be6c30e623}">
          <xlrd:rvb i="478"/>
        </ext>
      </extLst>
    </bk>
    <bk>
      <extLst>
        <ext uri="{3e2802c4-a4d2-4d8b-9148-e3be6c30e623}">
          <xlrd:rvb i="479"/>
        </ext>
      </extLst>
    </bk>
    <bk>
      <extLst>
        <ext uri="{3e2802c4-a4d2-4d8b-9148-e3be6c30e623}">
          <xlrd:rvb i="480"/>
        </ext>
      </extLst>
    </bk>
    <bk>
      <extLst>
        <ext uri="{3e2802c4-a4d2-4d8b-9148-e3be6c30e623}">
          <xlrd:rvb i="481"/>
        </ext>
      </extLst>
    </bk>
    <bk>
      <extLst>
        <ext uri="{3e2802c4-a4d2-4d8b-9148-e3be6c30e623}">
          <xlrd:rvb i="482"/>
        </ext>
      </extLst>
    </bk>
    <bk>
      <extLst>
        <ext uri="{3e2802c4-a4d2-4d8b-9148-e3be6c30e623}">
          <xlrd:rvb i="483"/>
        </ext>
      </extLst>
    </bk>
    <bk>
      <extLst>
        <ext uri="{3e2802c4-a4d2-4d8b-9148-e3be6c30e623}">
          <xlrd:rvb i="484"/>
        </ext>
      </extLst>
    </bk>
    <bk>
      <extLst>
        <ext uri="{3e2802c4-a4d2-4d8b-9148-e3be6c30e623}">
          <xlrd:rvb i="485"/>
        </ext>
      </extLst>
    </bk>
    <bk>
      <extLst>
        <ext uri="{3e2802c4-a4d2-4d8b-9148-e3be6c30e623}">
          <xlrd:rvb i="486"/>
        </ext>
      </extLst>
    </bk>
    <bk>
      <extLst>
        <ext uri="{3e2802c4-a4d2-4d8b-9148-e3be6c30e623}">
          <xlrd:rvb i="487"/>
        </ext>
      </extLst>
    </bk>
    <bk>
      <extLst>
        <ext uri="{3e2802c4-a4d2-4d8b-9148-e3be6c30e623}">
          <xlrd:rvb i="488"/>
        </ext>
      </extLst>
    </bk>
    <bk>
      <extLst>
        <ext uri="{3e2802c4-a4d2-4d8b-9148-e3be6c30e623}">
          <xlrd:rvb i="489"/>
        </ext>
      </extLst>
    </bk>
    <bk>
      <extLst>
        <ext uri="{3e2802c4-a4d2-4d8b-9148-e3be6c30e623}">
          <xlrd:rvb i="490"/>
        </ext>
      </extLst>
    </bk>
    <bk>
      <extLst>
        <ext uri="{3e2802c4-a4d2-4d8b-9148-e3be6c30e623}">
          <xlrd:rvb i="491"/>
        </ext>
      </extLst>
    </bk>
    <bk>
      <extLst>
        <ext uri="{3e2802c4-a4d2-4d8b-9148-e3be6c30e623}">
          <xlrd:rvb i="492"/>
        </ext>
      </extLst>
    </bk>
    <bk>
      <extLst>
        <ext uri="{3e2802c4-a4d2-4d8b-9148-e3be6c30e623}">
          <xlrd:rvb i="493"/>
        </ext>
      </extLst>
    </bk>
    <bk>
      <extLst>
        <ext uri="{3e2802c4-a4d2-4d8b-9148-e3be6c30e623}">
          <xlrd:rvb i="494"/>
        </ext>
      </extLst>
    </bk>
    <bk>
      <extLst>
        <ext uri="{3e2802c4-a4d2-4d8b-9148-e3be6c30e623}">
          <xlrd:rvb i="495"/>
        </ext>
      </extLst>
    </bk>
    <bk>
      <extLst>
        <ext uri="{3e2802c4-a4d2-4d8b-9148-e3be6c30e623}">
          <xlrd:rvb i="496"/>
        </ext>
      </extLst>
    </bk>
    <bk>
      <extLst>
        <ext uri="{3e2802c4-a4d2-4d8b-9148-e3be6c30e623}">
          <xlrd:rvb i="497"/>
        </ext>
      </extLst>
    </bk>
    <bk>
      <extLst>
        <ext uri="{3e2802c4-a4d2-4d8b-9148-e3be6c30e623}">
          <xlrd:rvb i="498"/>
        </ext>
      </extLst>
    </bk>
    <bk>
      <extLst>
        <ext uri="{3e2802c4-a4d2-4d8b-9148-e3be6c30e623}">
          <xlrd:rvb i="499"/>
        </ext>
      </extLst>
    </bk>
    <bk>
      <extLst>
        <ext uri="{3e2802c4-a4d2-4d8b-9148-e3be6c30e623}">
          <xlrd:rvb i="500"/>
        </ext>
      </extLst>
    </bk>
    <bk>
      <extLst>
        <ext uri="{3e2802c4-a4d2-4d8b-9148-e3be6c30e623}">
          <xlrd:rvb i="501"/>
        </ext>
      </extLst>
    </bk>
    <bk>
      <extLst>
        <ext uri="{3e2802c4-a4d2-4d8b-9148-e3be6c30e623}">
          <xlrd:rvb i="502"/>
        </ext>
      </extLst>
    </bk>
    <bk>
      <extLst>
        <ext uri="{3e2802c4-a4d2-4d8b-9148-e3be6c30e623}">
          <xlrd:rvb i="503"/>
        </ext>
      </extLst>
    </bk>
    <bk>
      <extLst>
        <ext uri="{3e2802c4-a4d2-4d8b-9148-e3be6c30e623}">
          <xlrd:rvb i="504"/>
        </ext>
      </extLst>
    </bk>
    <bk>
      <extLst>
        <ext uri="{3e2802c4-a4d2-4d8b-9148-e3be6c30e623}">
          <xlrd:rvb i="505"/>
        </ext>
      </extLst>
    </bk>
    <bk>
      <extLst>
        <ext uri="{3e2802c4-a4d2-4d8b-9148-e3be6c30e623}">
          <xlrd:rvb i="506"/>
        </ext>
      </extLst>
    </bk>
    <bk>
      <extLst>
        <ext uri="{3e2802c4-a4d2-4d8b-9148-e3be6c30e623}">
          <xlrd:rvb i="507"/>
        </ext>
      </extLst>
    </bk>
    <bk>
      <extLst>
        <ext uri="{3e2802c4-a4d2-4d8b-9148-e3be6c30e623}">
          <xlrd:rvb i="508"/>
        </ext>
      </extLst>
    </bk>
    <bk>
      <extLst>
        <ext uri="{3e2802c4-a4d2-4d8b-9148-e3be6c30e623}">
          <xlrd:rvb i="509"/>
        </ext>
      </extLst>
    </bk>
    <bk>
      <extLst>
        <ext uri="{3e2802c4-a4d2-4d8b-9148-e3be6c30e623}">
          <xlrd:rvb i="510"/>
        </ext>
      </extLst>
    </bk>
    <bk>
      <extLst>
        <ext uri="{3e2802c4-a4d2-4d8b-9148-e3be6c30e623}">
          <xlrd:rvb i="511"/>
        </ext>
      </extLst>
    </bk>
    <bk>
      <extLst>
        <ext uri="{3e2802c4-a4d2-4d8b-9148-e3be6c30e623}">
          <xlrd:rvb i="512"/>
        </ext>
      </extLst>
    </bk>
    <bk>
      <extLst>
        <ext uri="{3e2802c4-a4d2-4d8b-9148-e3be6c30e623}">
          <xlrd:rvb i="513"/>
        </ext>
      </extLst>
    </bk>
    <bk>
      <extLst>
        <ext uri="{3e2802c4-a4d2-4d8b-9148-e3be6c30e623}">
          <xlrd:rvb i="514"/>
        </ext>
      </extLst>
    </bk>
    <bk>
      <extLst>
        <ext uri="{3e2802c4-a4d2-4d8b-9148-e3be6c30e623}">
          <xlrd:rvb i="515"/>
        </ext>
      </extLst>
    </bk>
    <bk>
      <extLst>
        <ext uri="{3e2802c4-a4d2-4d8b-9148-e3be6c30e623}">
          <xlrd:rvb i="516"/>
        </ext>
      </extLst>
    </bk>
    <bk>
      <extLst>
        <ext uri="{3e2802c4-a4d2-4d8b-9148-e3be6c30e623}">
          <xlrd:rvb i="517"/>
        </ext>
      </extLst>
    </bk>
    <bk>
      <extLst>
        <ext uri="{3e2802c4-a4d2-4d8b-9148-e3be6c30e623}">
          <xlrd:rvb i="518"/>
        </ext>
      </extLst>
    </bk>
    <bk>
      <extLst>
        <ext uri="{3e2802c4-a4d2-4d8b-9148-e3be6c30e623}">
          <xlrd:rvb i="519"/>
        </ext>
      </extLst>
    </bk>
    <bk>
      <extLst>
        <ext uri="{3e2802c4-a4d2-4d8b-9148-e3be6c30e623}">
          <xlrd:rvb i="520"/>
        </ext>
      </extLst>
    </bk>
    <bk>
      <extLst>
        <ext uri="{3e2802c4-a4d2-4d8b-9148-e3be6c30e623}">
          <xlrd:rvb i="521"/>
        </ext>
      </extLst>
    </bk>
    <bk>
      <extLst>
        <ext uri="{3e2802c4-a4d2-4d8b-9148-e3be6c30e623}">
          <xlrd:rvb i="522"/>
        </ext>
      </extLst>
    </bk>
    <bk>
      <extLst>
        <ext uri="{3e2802c4-a4d2-4d8b-9148-e3be6c30e623}">
          <xlrd:rvb i="523"/>
        </ext>
      </extLst>
    </bk>
    <bk>
      <extLst>
        <ext uri="{3e2802c4-a4d2-4d8b-9148-e3be6c30e623}">
          <xlrd:rvb i="524"/>
        </ext>
      </extLst>
    </bk>
    <bk>
      <extLst>
        <ext uri="{3e2802c4-a4d2-4d8b-9148-e3be6c30e623}">
          <xlrd:rvb i="525"/>
        </ext>
      </extLst>
    </bk>
    <bk>
      <extLst>
        <ext uri="{3e2802c4-a4d2-4d8b-9148-e3be6c30e623}">
          <xlrd:rvb i="526"/>
        </ext>
      </extLst>
    </bk>
    <bk>
      <extLst>
        <ext uri="{3e2802c4-a4d2-4d8b-9148-e3be6c30e623}">
          <xlrd:rvb i="527"/>
        </ext>
      </extLst>
    </bk>
    <bk>
      <extLst>
        <ext uri="{3e2802c4-a4d2-4d8b-9148-e3be6c30e623}">
          <xlrd:rvb i="528"/>
        </ext>
      </extLst>
    </bk>
    <bk>
      <extLst>
        <ext uri="{3e2802c4-a4d2-4d8b-9148-e3be6c30e623}">
          <xlrd:rvb i="529"/>
        </ext>
      </extLst>
    </bk>
    <bk>
      <extLst>
        <ext uri="{3e2802c4-a4d2-4d8b-9148-e3be6c30e623}">
          <xlrd:rvb i="530"/>
        </ext>
      </extLst>
    </bk>
    <bk>
      <extLst>
        <ext uri="{3e2802c4-a4d2-4d8b-9148-e3be6c30e623}">
          <xlrd:rvb i="531"/>
        </ext>
      </extLst>
    </bk>
    <bk>
      <extLst>
        <ext uri="{3e2802c4-a4d2-4d8b-9148-e3be6c30e623}">
          <xlrd:rvb i="532"/>
        </ext>
      </extLst>
    </bk>
    <bk>
      <extLst>
        <ext uri="{3e2802c4-a4d2-4d8b-9148-e3be6c30e623}">
          <xlrd:rvb i="533"/>
        </ext>
      </extLst>
    </bk>
    <bk>
      <extLst>
        <ext uri="{3e2802c4-a4d2-4d8b-9148-e3be6c30e623}">
          <xlrd:rvb i="534"/>
        </ext>
      </extLst>
    </bk>
    <bk>
      <extLst>
        <ext uri="{3e2802c4-a4d2-4d8b-9148-e3be6c30e623}">
          <xlrd:rvb i="535"/>
        </ext>
      </extLst>
    </bk>
    <bk>
      <extLst>
        <ext uri="{3e2802c4-a4d2-4d8b-9148-e3be6c30e623}">
          <xlrd:rvb i="536"/>
        </ext>
      </extLst>
    </bk>
    <bk>
      <extLst>
        <ext uri="{3e2802c4-a4d2-4d8b-9148-e3be6c30e623}">
          <xlrd:rvb i="537"/>
        </ext>
      </extLst>
    </bk>
    <bk>
      <extLst>
        <ext uri="{3e2802c4-a4d2-4d8b-9148-e3be6c30e623}">
          <xlrd:rvb i="538"/>
        </ext>
      </extLst>
    </bk>
    <bk>
      <extLst>
        <ext uri="{3e2802c4-a4d2-4d8b-9148-e3be6c30e623}">
          <xlrd:rvb i="539"/>
        </ext>
      </extLst>
    </bk>
    <bk>
      <extLst>
        <ext uri="{3e2802c4-a4d2-4d8b-9148-e3be6c30e623}">
          <xlrd:rvb i="540"/>
        </ext>
      </extLst>
    </bk>
    <bk>
      <extLst>
        <ext uri="{3e2802c4-a4d2-4d8b-9148-e3be6c30e623}">
          <xlrd:rvb i="541"/>
        </ext>
      </extLst>
    </bk>
    <bk>
      <extLst>
        <ext uri="{3e2802c4-a4d2-4d8b-9148-e3be6c30e623}">
          <xlrd:rvb i="542"/>
        </ext>
      </extLst>
    </bk>
    <bk>
      <extLst>
        <ext uri="{3e2802c4-a4d2-4d8b-9148-e3be6c30e623}">
          <xlrd:rvb i="543"/>
        </ext>
      </extLst>
    </bk>
    <bk>
      <extLst>
        <ext uri="{3e2802c4-a4d2-4d8b-9148-e3be6c30e623}">
          <xlrd:rvb i="544"/>
        </ext>
      </extLst>
    </bk>
    <bk>
      <extLst>
        <ext uri="{3e2802c4-a4d2-4d8b-9148-e3be6c30e623}">
          <xlrd:rvb i="545"/>
        </ext>
      </extLst>
    </bk>
    <bk>
      <extLst>
        <ext uri="{3e2802c4-a4d2-4d8b-9148-e3be6c30e623}">
          <xlrd:rvb i="546"/>
        </ext>
      </extLst>
    </bk>
    <bk>
      <extLst>
        <ext uri="{3e2802c4-a4d2-4d8b-9148-e3be6c30e623}">
          <xlrd:rvb i="547"/>
        </ext>
      </extLst>
    </bk>
    <bk>
      <extLst>
        <ext uri="{3e2802c4-a4d2-4d8b-9148-e3be6c30e623}">
          <xlrd:rvb i="548"/>
        </ext>
      </extLst>
    </bk>
    <bk>
      <extLst>
        <ext uri="{3e2802c4-a4d2-4d8b-9148-e3be6c30e623}">
          <xlrd:rvb i="549"/>
        </ext>
      </extLst>
    </bk>
    <bk>
      <extLst>
        <ext uri="{3e2802c4-a4d2-4d8b-9148-e3be6c30e623}">
          <xlrd:rvb i="550"/>
        </ext>
      </extLst>
    </bk>
    <bk>
      <extLst>
        <ext uri="{3e2802c4-a4d2-4d8b-9148-e3be6c30e623}">
          <xlrd:rvb i="551"/>
        </ext>
      </extLst>
    </bk>
    <bk>
      <extLst>
        <ext uri="{3e2802c4-a4d2-4d8b-9148-e3be6c30e623}">
          <xlrd:rvb i="552"/>
        </ext>
      </extLst>
    </bk>
    <bk>
      <extLst>
        <ext uri="{3e2802c4-a4d2-4d8b-9148-e3be6c30e623}">
          <xlrd:rvb i="553"/>
        </ext>
      </extLst>
    </bk>
    <bk>
      <extLst>
        <ext uri="{3e2802c4-a4d2-4d8b-9148-e3be6c30e623}">
          <xlrd:rvb i="554"/>
        </ext>
      </extLst>
    </bk>
    <bk>
      <extLst>
        <ext uri="{3e2802c4-a4d2-4d8b-9148-e3be6c30e623}">
          <xlrd:rvb i="555"/>
        </ext>
      </extLst>
    </bk>
    <bk>
      <extLst>
        <ext uri="{3e2802c4-a4d2-4d8b-9148-e3be6c30e623}">
          <xlrd:rvb i="556"/>
        </ext>
      </extLst>
    </bk>
    <bk>
      <extLst>
        <ext uri="{3e2802c4-a4d2-4d8b-9148-e3be6c30e623}">
          <xlrd:rvb i="557"/>
        </ext>
      </extLst>
    </bk>
    <bk>
      <extLst>
        <ext uri="{3e2802c4-a4d2-4d8b-9148-e3be6c30e623}">
          <xlrd:rvb i="558"/>
        </ext>
      </extLst>
    </bk>
    <bk>
      <extLst>
        <ext uri="{3e2802c4-a4d2-4d8b-9148-e3be6c30e623}">
          <xlrd:rvb i="559"/>
        </ext>
      </extLst>
    </bk>
    <bk>
      <extLst>
        <ext uri="{3e2802c4-a4d2-4d8b-9148-e3be6c30e623}">
          <xlrd:rvb i="560"/>
        </ext>
      </extLst>
    </bk>
    <bk>
      <extLst>
        <ext uri="{3e2802c4-a4d2-4d8b-9148-e3be6c30e623}">
          <xlrd:rvb i="561"/>
        </ext>
      </extLst>
    </bk>
    <bk>
      <extLst>
        <ext uri="{3e2802c4-a4d2-4d8b-9148-e3be6c30e623}">
          <xlrd:rvb i="562"/>
        </ext>
      </extLst>
    </bk>
    <bk>
      <extLst>
        <ext uri="{3e2802c4-a4d2-4d8b-9148-e3be6c30e623}">
          <xlrd:rvb i="563"/>
        </ext>
      </extLst>
    </bk>
    <bk>
      <extLst>
        <ext uri="{3e2802c4-a4d2-4d8b-9148-e3be6c30e623}">
          <xlrd:rvb i="564"/>
        </ext>
      </extLst>
    </bk>
    <bk>
      <extLst>
        <ext uri="{3e2802c4-a4d2-4d8b-9148-e3be6c30e623}">
          <xlrd:rvb i="565"/>
        </ext>
      </extLst>
    </bk>
    <bk>
      <extLst>
        <ext uri="{3e2802c4-a4d2-4d8b-9148-e3be6c30e623}">
          <xlrd:rvb i="566"/>
        </ext>
      </extLst>
    </bk>
    <bk>
      <extLst>
        <ext uri="{3e2802c4-a4d2-4d8b-9148-e3be6c30e623}">
          <xlrd:rvb i="567"/>
        </ext>
      </extLst>
    </bk>
    <bk>
      <extLst>
        <ext uri="{3e2802c4-a4d2-4d8b-9148-e3be6c30e623}">
          <xlrd:rvb i="568"/>
        </ext>
      </extLst>
    </bk>
    <bk>
      <extLst>
        <ext uri="{3e2802c4-a4d2-4d8b-9148-e3be6c30e623}">
          <xlrd:rvb i="569"/>
        </ext>
      </extLst>
    </bk>
    <bk>
      <extLst>
        <ext uri="{3e2802c4-a4d2-4d8b-9148-e3be6c30e623}">
          <xlrd:rvb i="570"/>
        </ext>
      </extLst>
    </bk>
    <bk>
      <extLst>
        <ext uri="{3e2802c4-a4d2-4d8b-9148-e3be6c30e623}">
          <xlrd:rvb i="571"/>
        </ext>
      </extLst>
    </bk>
    <bk>
      <extLst>
        <ext uri="{3e2802c4-a4d2-4d8b-9148-e3be6c30e623}">
          <xlrd:rvb i="572"/>
        </ext>
      </extLst>
    </bk>
    <bk>
      <extLst>
        <ext uri="{3e2802c4-a4d2-4d8b-9148-e3be6c30e623}">
          <xlrd:rvb i="573"/>
        </ext>
      </extLst>
    </bk>
    <bk>
      <extLst>
        <ext uri="{3e2802c4-a4d2-4d8b-9148-e3be6c30e623}">
          <xlrd:rvb i="574"/>
        </ext>
      </extLst>
    </bk>
    <bk>
      <extLst>
        <ext uri="{3e2802c4-a4d2-4d8b-9148-e3be6c30e623}">
          <xlrd:rvb i="575"/>
        </ext>
      </extLst>
    </bk>
    <bk>
      <extLst>
        <ext uri="{3e2802c4-a4d2-4d8b-9148-e3be6c30e623}">
          <xlrd:rvb i="576"/>
        </ext>
      </extLst>
    </bk>
    <bk>
      <extLst>
        <ext uri="{3e2802c4-a4d2-4d8b-9148-e3be6c30e623}">
          <xlrd:rvb i="577"/>
        </ext>
      </extLst>
    </bk>
    <bk>
      <extLst>
        <ext uri="{3e2802c4-a4d2-4d8b-9148-e3be6c30e623}">
          <xlrd:rvb i="578"/>
        </ext>
      </extLst>
    </bk>
    <bk>
      <extLst>
        <ext uri="{3e2802c4-a4d2-4d8b-9148-e3be6c30e623}">
          <xlrd:rvb i="579"/>
        </ext>
      </extLst>
    </bk>
    <bk>
      <extLst>
        <ext uri="{3e2802c4-a4d2-4d8b-9148-e3be6c30e623}">
          <xlrd:rvb i="580"/>
        </ext>
      </extLst>
    </bk>
    <bk>
      <extLst>
        <ext uri="{3e2802c4-a4d2-4d8b-9148-e3be6c30e623}">
          <xlrd:rvb i="581"/>
        </ext>
      </extLst>
    </bk>
    <bk>
      <extLst>
        <ext uri="{3e2802c4-a4d2-4d8b-9148-e3be6c30e623}">
          <xlrd:rvb i="582"/>
        </ext>
      </extLst>
    </bk>
    <bk>
      <extLst>
        <ext uri="{3e2802c4-a4d2-4d8b-9148-e3be6c30e623}">
          <xlrd:rvb i="583"/>
        </ext>
      </extLst>
    </bk>
    <bk>
      <extLst>
        <ext uri="{3e2802c4-a4d2-4d8b-9148-e3be6c30e623}">
          <xlrd:rvb i="584"/>
        </ext>
      </extLst>
    </bk>
    <bk>
      <extLst>
        <ext uri="{3e2802c4-a4d2-4d8b-9148-e3be6c30e623}">
          <xlrd:rvb i="585"/>
        </ext>
      </extLst>
    </bk>
    <bk>
      <extLst>
        <ext uri="{3e2802c4-a4d2-4d8b-9148-e3be6c30e623}">
          <xlrd:rvb i="586"/>
        </ext>
      </extLst>
    </bk>
    <bk>
      <extLst>
        <ext uri="{3e2802c4-a4d2-4d8b-9148-e3be6c30e623}">
          <xlrd:rvb i="587"/>
        </ext>
      </extLst>
    </bk>
    <bk>
      <extLst>
        <ext uri="{3e2802c4-a4d2-4d8b-9148-e3be6c30e623}">
          <xlrd:rvb i="588"/>
        </ext>
      </extLst>
    </bk>
    <bk>
      <extLst>
        <ext uri="{3e2802c4-a4d2-4d8b-9148-e3be6c30e623}">
          <xlrd:rvb i="589"/>
        </ext>
      </extLst>
    </bk>
    <bk>
      <extLst>
        <ext uri="{3e2802c4-a4d2-4d8b-9148-e3be6c30e623}">
          <xlrd:rvb i="590"/>
        </ext>
      </extLst>
    </bk>
    <bk>
      <extLst>
        <ext uri="{3e2802c4-a4d2-4d8b-9148-e3be6c30e623}">
          <xlrd:rvb i="591"/>
        </ext>
      </extLst>
    </bk>
    <bk>
      <extLst>
        <ext uri="{3e2802c4-a4d2-4d8b-9148-e3be6c30e623}">
          <xlrd:rvb i="592"/>
        </ext>
      </extLst>
    </bk>
    <bk>
      <extLst>
        <ext uri="{3e2802c4-a4d2-4d8b-9148-e3be6c30e623}">
          <xlrd:rvb i="593"/>
        </ext>
      </extLst>
    </bk>
    <bk>
      <extLst>
        <ext uri="{3e2802c4-a4d2-4d8b-9148-e3be6c30e623}">
          <xlrd:rvb i="594"/>
        </ext>
      </extLst>
    </bk>
    <bk>
      <extLst>
        <ext uri="{3e2802c4-a4d2-4d8b-9148-e3be6c30e623}">
          <xlrd:rvb i="595"/>
        </ext>
      </extLst>
    </bk>
    <bk>
      <extLst>
        <ext uri="{3e2802c4-a4d2-4d8b-9148-e3be6c30e623}">
          <xlrd:rvb i="596"/>
        </ext>
      </extLst>
    </bk>
    <bk>
      <extLst>
        <ext uri="{3e2802c4-a4d2-4d8b-9148-e3be6c30e623}">
          <xlrd:rvb i="597"/>
        </ext>
      </extLst>
    </bk>
    <bk>
      <extLst>
        <ext uri="{3e2802c4-a4d2-4d8b-9148-e3be6c30e623}">
          <xlrd:rvb i="598"/>
        </ext>
      </extLst>
    </bk>
    <bk>
      <extLst>
        <ext uri="{3e2802c4-a4d2-4d8b-9148-e3be6c30e623}">
          <xlrd:rvb i="599"/>
        </ext>
      </extLst>
    </bk>
    <bk>
      <extLst>
        <ext uri="{3e2802c4-a4d2-4d8b-9148-e3be6c30e623}">
          <xlrd:rvb i="600"/>
        </ext>
      </extLst>
    </bk>
    <bk>
      <extLst>
        <ext uri="{3e2802c4-a4d2-4d8b-9148-e3be6c30e623}">
          <xlrd:rvb i="601"/>
        </ext>
      </extLst>
    </bk>
    <bk>
      <extLst>
        <ext uri="{3e2802c4-a4d2-4d8b-9148-e3be6c30e623}">
          <xlrd:rvb i="602"/>
        </ext>
      </extLst>
    </bk>
    <bk>
      <extLst>
        <ext uri="{3e2802c4-a4d2-4d8b-9148-e3be6c30e623}">
          <xlrd:rvb i="603"/>
        </ext>
      </extLst>
    </bk>
    <bk>
      <extLst>
        <ext uri="{3e2802c4-a4d2-4d8b-9148-e3be6c30e623}">
          <xlrd:rvb i="604"/>
        </ext>
      </extLst>
    </bk>
    <bk>
      <extLst>
        <ext uri="{3e2802c4-a4d2-4d8b-9148-e3be6c30e623}">
          <xlrd:rvb i="605"/>
        </ext>
      </extLst>
    </bk>
    <bk>
      <extLst>
        <ext uri="{3e2802c4-a4d2-4d8b-9148-e3be6c30e623}">
          <xlrd:rvb i="606"/>
        </ext>
      </extLst>
    </bk>
    <bk>
      <extLst>
        <ext uri="{3e2802c4-a4d2-4d8b-9148-e3be6c30e623}">
          <xlrd:rvb i="607"/>
        </ext>
      </extLst>
    </bk>
    <bk>
      <extLst>
        <ext uri="{3e2802c4-a4d2-4d8b-9148-e3be6c30e623}">
          <xlrd:rvb i="608"/>
        </ext>
      </extLst>
    </bk>
    <bk>
      <extLst>
        <ext uri="{3e2802c4-a4d2-4d8b-9148-e3be6c30e623}">
          <xlrd:rvb i="609"/>
        </ext>
      </extLst>
    </bk>
    <bk>
      <extLst>
        <ext uri="{3e2802c4-a4d2-4d8b-9148-e3be6c30e623}">
          <xlrd:rvb i="610"/>
        </ext>
      </extLst>
    </bk>
    <bk>
      <extLst>
        <ext uri="{3e2802c4-a4d2-4d8b-9148-e3be6c30e623}">
          <xlrd:rvb i="611"/>
        </ext>
      </extLst>
    </bk>
    <bk>
      <extLst>
        <ext uri="{3e2802c4-a4d2-4d8b-9148-e3be6c30e623}">
          <xlrd:rvb i="612"/>
        </ext>
      </extLst>
    </bk>
    <bk>
      <extLst>
        <ext uri="{3e2802c4-a4d2-4d8b-9148-e3be6c30e623}">
          <xlrd:rvb i="613"/>
        </ext>
      </extLst>
    </bk>
    <bk>
      <extLst>
        <ext uri="{3e2802c4-a4d2-4d8b-9148-e3be6c30e623}">
          <xlrd:rvb i="614"/>
        </ext>
      </extLst>
    </bk>
    <bk>
      <extLst>
        <ext uri="{3e2802c4-a4d2-4d8b-9148-e3be6c30e623}">
          <xlrd:rvb i="615"/>
        </ext>
      </extLst>
    </bk>
    <bk>
      <extLst>
        <ext uri="{3e2802c4-a4d2-4d8b-9148-e3be6c30e623}">
          <xlrd:rvb i="616"/>
        </ext>
      </extLst>
    </bk>
    <bk>
      <extLst>
        <ext uri="{3e2802c4-a4d2-4d8b-9148-e3be6c30e623}">
          <xlrd:rvb i="617"/>
        </ext>
      </extLst>
    </bk>
    <bk>
      <extLst>
        <ext uri="{3e2802c4-a4d2-4d8b-9148-e3be6c30e623}">
          <xlrd:rvb i="618"/>
        </ext>
      </extLst>
    </bk>
    <bk>
      <extLst>
        <ext uri="{3e2802c4-a4d2-4d8b-9148-e3be6c30e623}">
          <xlrd:rvb i="619"/>
        </ext>
      </extLst>
    </bk>
    <bk>
      <extLst>
        <ext uri="{3e2802c4-a4d2-4d8b-9148-e3be6c30e623}">
          <xlrd:rvb i="620"/>
        </ext>
      </extLst>
    </bk>
    <bk>
      <extLst>
        <ext uri="{3e2802c4-a4d2-4d8b-9148-e3be6c30e623}">
          <xlrd:rvb i="621"/>
        </ext>
      </extLst>
    </bk>
    <bk>
      <extLst>
        <ext uri="{3e2802c4-a4d2-4d8b-9148-e3be6c30e623}">
          <xlrd:rvb i="622"/>
        </ext>
      </extLst>
    </bk>
    <bk>
      <extLst>
        <ext uri="{3e2802c4-a4d2-4d8b-9148-e3be6c30e623}">
          <xlrd:rvb i="623"/>
        </ext>
      </extLst>
    </bk>
    <bk>
      <extLst>
        <ext uri="{3e2802c4-a4d2-4d8b-9148-e3be6c30e623}">
          <xlrd:rvb i="624"/>
        </ext>
      </extLst>
    </bk>
    <bk>
      <extLst>
        <ext uri="{3e2802c4-a4d2-4d8b-9148-e3be6c30e623}">
          <xlrd:rvb i="625"/>
        </ext>
      </extLst>
    </bk>
    <bk>
      <extLst>
        <ext uri="{3e2802c4-a4d2-4d8b-9148-e3be6c30e623}">
          <xlrd:rvb i="626"/>
        </ext>
      </extLst>
    </bk>
    <bk>
      <extLst>
        <ext uri="{3e2802c4-a4d2-4d8b-9148-e3be6c30e623}">
          <xlrd:rvb i="627"/>
        </ext>
      </extLst>
    </bk>
    <bk>
      <extLst>
        <ext uri="{3e2802c4-a4d2-4d8b-9148-e3be6c30e623}">
          <xlrd:rvb i="628"/>
        </ext>
      </extLst>
    </bk>
    <bk>
      <extLst>
        <ext uri="{3e2802c4-a4d2-4d8b-9148-e3be6c30e623}">
          <xlrd:rvb i="629"/>
        </ext>
      </extLst>
    </bk>
    <bk>
      <extLst>
        <ext uri="{3e2802c4-a4d2-4d8b-9148-e3be6c30e623}">
          <xlrd:rvb i="630"/>
        </ext>
      </extLst>
    </bk>
    <bk>
      <extLst>
        <ext uri="{3e2802c4-a4d2-4d8b-9148-e3be6c30e623}">
          <xlrd:rvb i="631"/>
        </ext>
      </extLst>
    </bk>
    <bk>
      <extLst>
        <ext uri="{3e2802c4-a4d2-4d8b-9148-e3be6c30e623}">
          <xlrd:rvb i="632"/>
        </ext>
      </extLst>
    </bk>
    <bk>
      <extLst>
        <ext uri="{3e2802c4-a4d2-4d8b-9148-e3be6c30e623}">
          <xlrd:rvb i="633"/>
        </ext>
      </extLst>
    </bk>
    <bk>
      <extLst>
        <ext uri="{3e2802c4-a4d2-4d8b-9148-e3be6c30e623}">
          <xlrd:rvb i="634"/>
        </ext>
      </extLst>
    </bk>
    <bk>
      <extLst>
        <ext uri="{3e2802c4-a4d2-4d8b-9148-e3be6c30e623}">
          <xlrd:rvb i="635"/>
        </ext>
      </extLst>
    </bk>
    <bk>
      <extLst>
        <ext uri="{3e2802c4-a4d2-4d8b-9148-e3be6c30e623}">
          <xlrd:rvb i="636"/>
        </ext>
      </extLst>
    </bk>
    <bk>
      <extLst>
        <ext uri="{3e2802c4-a4d2-4d8b-9148-e3be6c30e623}">
          <xlrd:rvb i="637"/>
        </ext>
      </extLst>
    </bk>
    <bk>
      <extLst>
        <ext uri="{3e2802c4-a4d2-4d8b-9148-e3be6c30e623}">
          <xlrd:rvb i="638"/>
        </ext>
      </extLst>
    </bk>
    <bk>
      <extLst>
        <ext uri="{3e2802c4-a4d2-4d8b-9148-e3be6c30e623}">
          <xlrd:rvb i="639"/>
        </ext>
      </extLst>
    </bk>
    <bk>
      <extLst>
        <ext uri="{3e2802c4-a4d2-4d8b-9148-e3be6c30e623}">
          <xlrd:rvb i="640"/>
        </ext>
      </extLst>
    </bk>
    <bk>
      <extLst>
        <ext uri="{3e2802c4-a4d2-4d8b-9148-e3be6c30e623}">
          <xlrd:rvb i="641"/>
        </ext>
      </extLst>
    </bk>
    <bk>
      <extLst>
        <ext uri="{3e2802c4-a4d2-4d8b-9148-e3be6c30e623}">
          <xlrd:rvb i="642"/>
        </ext>
      </extLst>
    </bk>
    <bk>
      <extLst>
        <ext uri="{3e2802c4-a4d2-4d8b-9148-e3be6c30e623}">
          <xlrd:rvb i="643"/>
        </ext>
      </extLst>
    </bk>
    <bk>
      <extLst>
        <ext uri="{3e2802c4-a4d2-4d8b-9148-e3be6c30e623}">
          <xlrd:rvb i="644"/>
        </ext>
      </extLst>
    </bk>
    <bk>
      <extLst>
        <ext uri="{3e2802c4-a4d2-4d8b-9148-e3be6c30e623}">
          <xlrd:rvb i="645"/>
        </ext>
      </extLst>
    </bk>
    <bk>
      <extLst>
        <ext uri="{3e2802c4-a4d2-4d8b-9148-e3be6c30e623}">
          <xlrd:rvb i="646"/>
        </ext>
      </extLst>
    </bk>
    <bk>
      <extLst>
        <ext uri="{3e2802c4-a4d2-4d8b-9148-e3be6c30e623}">
          <xlrd:rvb i="647"/>
        </ext>
      </extLst>
    </bk>
    <bk>
      <extLst>
        <ext uri="{3e2802c4-a4d2-4d8b-9148-e3be6c30e623}">
          <xlrd:rvb i="648"/>
        </ext>
      </extLst>
    </bk>
    <bk>
      <extLst>
        <ext uri="{3e2802c4-a4d2-4d8b-9148-e3be6c30e623}">
          <xlrd:rvb i="649"/>
        </ext>
      </extLst>
    </bk>
    <bk>
      <extLst>
        <ext uri="{3e2802c4-a4d2-4d8b-9148-e3be6c30e623}">
          <xlrd:rvb i="650"/>
        </ext>
      </extLst>
    </bk>
    <bk>
      <extLst>
        <ext uri="{3e2802c4-a4d2-4d8b-9148-e3be6c30e623}">
          <xlrd:rvb i="651"/>
        </ext>
      </extLst>
    </bk>
    <bk>
      <extLst>
        <ext uri="{3e2802c4-a4d2-4d8b-9148-e3be6c30e623}">
          <xlrd:rvb i="652"/>
        </ext>
      </extLst>
    </bk>
    <bk>
      <extLst>
        <ext uri="{3e2802c4-a4d2-4d8b-9148-e3be6c30e623}">
          <xlrd:rvb i="653"/>
        </ext>
      </extLst>
    </bk>
    <bk>
      <extLst>
        <ext uri="{3e2802c4-a4d2-4d8b-9148-e3be6c30e623}">
          <xlrd:rvb i="654"/>
        </ext>
      </extLst>
    </bk>
    <bk>
      <extLst>
        <ext uri="{3e2802c4-a4d2-4d8b-9148-e3be6c30e623}">
          <xlrd:rvb i="655"/>
        </ext>
      </extLst>
    </bk>
    <bk>
      <extLst>
        <ext uri="{3e2802c4-a4d2-4d8b-9148-e3be6c30e623}">
          <xlrd:rvb i="656"/>
        </ext>
      </extLst>
    </bk>
    <bk>
      <extLst>
        <ext uri="{3e2802c4-a4d2-4d8b-9148-e3be6c30e623}">
          <xlrd:rvb i="657"/>
        </ext>
      </extLst>
    </bk>
    <bk>
      <extLst>
        <ext uri="{3e2802c4-a4d2-4d8b-9148-e3be6c30e623}">
          <xlrd:rvb i="658"/>
        </ext>
      </extLst>
    </bk>
    <bk>
      <extLst>
        <ext uri="{3e2802c4-a4d2-4d8b-9148-e3be6c30e623}">
          <xlrd:rvb i="659"/>
        </ext>
      </extLst>
    </bk>
    <bk>
      <extLst>
        <ext uri="{3e2802c4-a4d2-4d8b-9148-e3be6c30e623}">
          <xlrd:rvb i="660"/>
        </ext>
      </extLst>
    </bk>
    <bk>
      <extLst>
        <ext uri="{3e2802c4-a4d2-4d8b-9148-e3be6c30e623}">
          <xlrd:rvb i="661"/>
        </ext>
      </extLst>
    </bk>
    <bk>
      <extLst>
        <ext uri="{3e2802c4-a4d2-4d8b-9148-e3be6c30e623}">
          <xlrd:rvb i="662"/>
        </ext>
      </extLst>
    </bk>
    <bk>
      <extLst>
        <ext uri="{3e2802c4-a4d2-4d8b-9148-e3be6c30e623}">
          <xlrd:rvb i="663"/>
        </ext>
      </extLst>
    </bk>
    <bk>
      <extLst>
        <ext uri="{3e2802c4-a4d2-4d8b-9148-e3be6c30e623}">
          <xlrd:rvb i="664"/>
        </ext>
      </extLst>
    </bk>
    <bk>
      <extLst>
        <ext uri="{3e2802c4-a4d2-4d8b-9148-e3be6c30e623}">
          <xlrd:rvb i="665"/>
        </ext>
      </extLst>
    </bk>
    <bk>
      <extLst>
        <ext uri="{3e2802c4-a4d2-4d8b-9148-e3be6c30e623}">
          <xlrd:rvb i="666"/>
        </ext>
      </extLst>
    </bk>
    <bk>
      <extLst>
        <ext uri="{3e2802c4-a4d2-4d8b-9148-e3be6c30e623}">
          <xlrd:rvb i="667"/>
        </ext>
      </extLst>
    </bk>
    <bk>
      <extLst>
        <ext uri="{3e2802c4-a4d2-4d8b-9148-e3be6c30e623}">
          <xlrd:rvb i="668"/>
        </ext>
      </extLst>
    </bk>
    <bk>
      <extLst>
        <ext uri="{3e2802c4-a4d2-4d8b-9148-e3be6c30e623}">
          <xlrd:rvb i="669"/>
        </ext>
      </extLst>
    </bk>
    <bk>
      <extLst>
        <ext uri="{3e2802c4-a4d2-4d8b-9148-e3be6c30e623}">
          <xlrd:rvb i="670"/>
        </ext>
      </extLst>
    </bk>
    <bk>
      <extLst>
        <ext uri="{3e2802c4-a4d2-4d8b-9148-e3be6c30e623}">
          <xlrd:rvb i="671"/>
        </ext>
      </extLst>
    </bk>
    <bk>
      <extLst>
        <ext uri="{3e2802c4-a4d2-4d8b-9148-e3be6c30e623}">
          <xlrd:rvb i="672"/>
        </ext>
      </extLst>
    </bk>
    <bk>
      <extLst>
        <ext uri="{3e2802c4-a4d2-4d8b-9148-e3be6c30e623}">
          <xlrd:rvb i="673"/>
        </ext>
      </extLst>
    </bk>
    <bk>
      <extLst>
        <ext uri="{3e2802c4-a4d2-4d8b-9148-e3be6c30e623}">
          <xlrd:rvb i="674"/>
        </ext>
      </extLst>
    </bk>
    <bk>
      <extLst>
        <ext uri="{3e2802c4-a4d2-4d8b-9148-e3be6c30e623}">
          <xlrd:rvb i="675"/>
        </ext>
      </extLst>
    </bk>
    <bk>
      <extLst>
        <ext uri="{3e2802c4-a4d2-4d8b-9148-e3be6c30e623}">
          <xlrd:rvb i="676"/>
        </ext>
      </extLst>
    </bk>
    <bk>
      <extLst>
        <ext uri="{3e2802c4-a4d2-4d8b-9148-e3be6c30e623}">
          <xlrd:rvb i="677"/>
        </ext>
      </extLst>
    </bk>
    <bk>
      <extLst>
        <ext uri="{3e2802c4-a4d2-4d8b-9148-e3be6c30e623}">
          <xlrd:rvb i="678"/>
        </ext>
      </extLst>
    </bk>
    <bk>
      <extLst>
        <ext uri="{3e2802c4-a4d2-4d8b-9148-e3be6c30e623}">
          <xlrd:rvb i="679"/>
        </ext>
      </extLst>
    </bk>
    <bk>
      <extLst>
        <ext uri="{3e2802c4-a4d2-4d8b-9148-e3be6c30e623}">
          <xlrd:rvb i="680"/>
        </ext>
      </extLst>
    </bk>
    <bk>
      <extLst>
        <ext uri="{3e2802c4-a4d2-4d8b-9148-e3be6c30e623}">
          <xlrd:rvb i="681"/>
        </ext>
      </extLst>
    </bk>
    <bk>
      <extLst>
        <ext uri="{3e2802c4-a4d2-4d8b-9148-e3be6c30e623}">
          <xlrd:rvb i="682"/>
        </ext>
      </extLst>
    </bk>
    <bk>
      <extLst>
        <ext uri="{3e2802c4-a4d2-4d8b-9148-e3be6c30e623}">
          <xlrd:rvb i="683"/>
        </ext>
      </extLst>
    </bk>
    <bk>
      <extLst>
        <ext uri="{3e2802c4-a4d2-4d8b-9148-e3be6c30e623}">
          <xlrd:rvb i="684"/>
        </ext>
      </extLst>
    </bk>
    <bk>
      <extLst>
        <ext uri="{3e2802c4-a4d2-4d8b-9148-e3be6c30e623}">
          <xlrd:rvb i="685"/>
        </ext>
      </extLst>
    </bk>
    <bk>
      <extLst>
        <ext uri="{3e2802c4-a4d2-4d8b-9148-e3be6c30e623}">
          <xlrd:rvb i="686"/>
        </ext>
      </extLst>
    </bk>
    <bk>
      <extLst>
        <ext uri="{3e2802c4-a4d2-4d8b-9148-e3be6c30e623}">
          <xlrd:rvb i="687"/>
        </ext>
      </extLst>
    </bk>
    <bk>
      <extLst>
        <ext uri="{3e2802c4-a4d2-4d8b-9148-e3be6c30e623}">
          <xlrd:rvb i="688"/>
        </ext>
      </extLst>
    </bk>
    <bk>
      <extLst>
        <ext uri="{3e2802c4-a4d2-4d8b-9148-e3be6c30e623}">
          <xlrd:rvb i="689"/>
        </ext>
      </extLst>
    </bk>
    <bk>
      <extLst>
        <ext uri="{3e2802c4-a4d2-4d8b-9148-e3be6c30e623}">
          <xlrd:rvb i="690"/>
        </ext>
      </extLst>
    </bk>
    <bk>
      <extLst>
        <ext uri="{3e2802c4-a4d2-4d8b-9148-e3be6c30e623}">
          <xlrd:rvb i="691"/>
        </ext>
      </extLst>
    </bk>
    <bk>
      <extLst>
        <ext uri="{3e2802c4-a4d2-4d8b-9148-e3be6c30e623}">
          <xlrd:rvb i="692"/>
        </ext>
      </extLst>
    </bk>
    <bk>
      <extLst>
        <ext uri="{3e2802c4-a4d2-4d8b-9148-e3be6c30e623}">
          <xlrd:rvb i="693"/>
        </ext>
      </extLst>
    </bk>
    <bk>
      <extLst>
        <ext uri="{3e2802c4-a4d2-4d8b-9148-e3be6c30e623}">
          <xlrd:rvb i="694"/>
        </ext>
      </extLst>
    </bk>
    <bk>
      <extLst>
        <ext uri="{3e2802c4-a4d2-4d8b-9148-e3be6c30e623}">
          <xlrd:rvb i="695"/>
        </ext>
      </extLst>
    </bk>
    <bk>
      <extLst>
        <ext uri="{3e2802c4-a4d2-4d8b-9148-e3be6c30e623}">
          <xlrd:rvb i="696"/>
        </ext>
      </extLst>
    </bk>
    <bk>
      <extLst>
        <ext uri="{3e2802c4-a4d2-4d8b-9148-e3be6c30e623}">
          <xlrd:rvb i="697"/>
        </ext>
      </extLst>
    </bk>
    <bk>
      <extLst>
        <ext uri="{3e2802c4-a4d2-4d8b-9148-e3be6c30e623}">
          <xlrd:rvb i="698"/>
        </ext>
      </extLst>
    </bk>
    <bk>
      <extLst>
        <ext uri="{3e2802c4-a4d2-4d8b-9148-e3be6c30e623}">
          <xlrd:rvb i="699"/>
        </ext>
      </extLst>
    </bk>
    <bk>
      <extLst>
        <ext uri="{3e2802c4-a4d2-4d8b-9148-e3be6c30e623}">
          <xlrd:rvb i="700"/>
        </ext>
      </extLst>
    </bk>
    <bk>
      <extLst>
        <ext uri="{3e2802c4-a4d2-4d8b-9148-e3be6c30e623}">
          <xlrd:rvb i="701"/>
        </ext>
      </extLst>
    </bk>
    <bk>
      <extLst>
        <ext uri="{3e2802c4-a4d2-4d8b-9148-e3be6c30e623}">
          <xlrd:rvb i="702"/>
        </ext>
      </extLst>
    </bk>
    <bk>
      <extLst>
        <ext uri="{3e2802c4-a4d2-4d8b-9148-e3be6c30e623}">
          <xlrd:rvb i="703"/>
        </ext>
      </extLst>
    </bk>
    <bk>
      <extLst>
        <ext uri="{3e2802c4-a4d2-4d8b-9148-e3be6c30e623}">
          <xlrd:rvb i="704"/>
        </ext>
      </extLst>
    </bk>
    <bk>
      <extLst>
        <ext uri="{3e2802c4-a4d2-4d8b-9148-e3be6c30e623}">
          <xlrd:rvb i="705"/>
        </ext>
      </extLst>
    </bk>
    <bk>
      <extLst>
        <ext uri="{3e2802c4-a4d2-4d8b-9148-e3be6c30e623}">
          <xlrd:rvb i="706"/>
        </ext>
      </extLst>
    </bk>
    <bk>
      <extLst>
        <ext uri="{3e2802c4-a4d2-4d8b-9148-e3be6c30e623}">
          <xlrd:rvb i="707"/>
        </ext>
      </extLst>
    </bk>
    <bk>
      <extLst>
        <ext uri="{3e2802c4-a4d2-4d8b-9148-e3be6c30e623}">
          <xlrd:rvb i="708"/>
        </ext>
      </extLst>
    </bk>
    <bk>
      <extLst>
        <ext uri="{3e2802c4-a4d2-4d8b-9148-e3be6c30e623}">
          <xlrd:rvb i="709"/>
        </ext>
      </extLst>
    </bk>
    <bk>
      <extLst>
        <ext uri="{3e2802c4-a4d2-4d8b-9148-e3be6c30e623}">
          <xlrd:rvb i="710"/>
        </ext>
      </extLst>
    </bk>
    <bk>
      <extLst>
        <ext uri="{3e2802c4-a4d2-4d8b-9148-e3be6c30e623}">
          <xlrd:rvb i="711"/>
        </ext>
      </extLst>
    </bk>
    <bk>
      <extLst>
        <ext uri="{3e2802c4-a4d2-4d8b-9148-e3be6c30e623}">
          <xlrd:rvb i="712"/>
        </ext>
      </extLst>
    </bk>
    <bk>
      <extLst>
        <ext uri="{3e2802c4-a4d2-4d8b-9148-e3be6c30e623}">
          <xlrd:rvb i="713"/>
        </ext>
      </extLst>
    </bk>
    <bk>
      <extLst>
        <ext uri="{3e2802c4-a4d2-4d8b-9148-e3be6c30e623}">
          <xlrd:rvb i="714"/>
        </ext>
      </extLst>
    </bk>
    <bk>
      <extLst>
        <ext uri="{3e2802c4-a4d2-4d8b-9148-e3be6c30e623}">
          <xlrd:rvb i="715"/>
        </ext>
      </extLst>
    </bk>
    <bk>
      <extLst>
        <ext uri="{3e2802c4-a4d2-4d8b-9148-e3be6c30e623}">
          <xlrd:rvb i="716"/>
        </ext>
      </extLst>
    </bk>
    <bk>
      <extLst>
        <ext uri="{3e2802c4-a4d2-4d8b-9148-e3be6c30e623}">
          <xlrd:rvb i="717"/>
        </ext>
      </extLst>
    </bk>
    <bk>
      <extLst>
        <ext uri="{3e2802c4-a4d2-4d8b-9148-e3be6c30e623}">
          <xlrd:rvb i="718"/>
        </ext>
      </extLst>
    </bk>
    <bk>
      <extLst>
        <ext uri="{3e2802c4-a4d2-4d8b-9148-e3be6c30e623}">
          <xlrd:rvb i="719"/>
        </ext>
      </extLst>
    </bk>
    <bk>
      <extLst>
        <ext uri="{3e2802c4-a4d2-4d8b-9148-e3be6c30e623}">
          <xlrd:rvb i="720"/>
        </ext>
      </extLst>
    </bk>
    <bk>
      <extLst>
        <ext uri="{3e2802c4-a4d2-4d8b-9148-e3be6c30e623}">
          <xlrd:rvb i="721"/>
        </ext>
      </extLst>
    </bk>
    <bk>
      <extLst>
        <ext uri="{3e2802c4-a4d2-4d8b-9148-e3be6c30e623}">
          <xlrd:rvb i="722"/>
        </ext>
      </extLst>
    </bk>
    <bk>
      <extLst>
        <ext uri="{3e2802c4-a4d2-4d8b-9148-e3be6c30e623}">
          <xlrd:rvb i="723"/>
        </ext>
      </extLst>
    </bk>
    <bk>
      <extLst>
        <ext uri="{3e2802c4-a4d2-4d8b-9148-e3be6c30e623}">
          <xlrd:rvb i="724"/>
        </ext>
      </extLst>
    </bk>
    <bk>
      <extLst>
        <ext uri="{3e2802c4-a4d2-4d8b-9148-e3be6c30e623}">
          <xlrd:rvb i="725"/>
        </ext>
      </extLst>
    </bk>
    <bk>
      <extLst>
        <ext uri="{3e2802c4-a4d2-4d8b-9148-e3be6c30e623}">
          <xlrd:rvb i="726"/>
        </ext>
      </extLst>
    </bk>
    <bk>
      <extLst>
        <ext uri="{3e2802c4-a4d2-4d8b-9148-e3be6c30e623}">
          <xlrd:rvb i="727"/>
        </ext>
      </extLst>
    </bk>
    <bk>
      <extLst>
        <ext uri="{3e2802c4-a4d2-4d8b-9148-e3be6c30e623}">
          <xlrd:rvb i="728"/>
        </ext>
      </extLst>
    </bk>
    <bk>
      <extLst>
        <ext uri="{3e2802c4-a4d2-4d8b-9148-e3be6c30e623}">
          <xlrd:rvb i="729"/>
        </ext>
      </extLst>
    </bk>
    <bk>
      <extLst>
        <ext uri="{3e2802c4-a4d2-4d8b-9148-e3be6c30e623}">
          <xlrd:rvb i="730"/>
        </ext>
      </extLst>
    </bk>
    <bk>
      <extLst>
        <ext uri="{3e2802c4-a4d2-4d8b-9148-e3be6c30e623}">
          <xlrd:rvb i="731"/>
        </ext>
      </extLst>
    </bk>
    <bk>
      <extLst>
        <ext uri="{3e2802c4-a4d2-4d8b-9148-e3be6c30e623}">
          <xlrd:rvb i="732"/>
        </ext>
      </extLst>
    </bk>
    <bk>
      <extLst>
        <ext uri="{3e2802c4-a4d2-4d8b-9148-e3be6c30e623}">
          <xlrd:rvb i="733"/>
        </ext>
      </extLst>
    </bk>
    <bk>
      <extLst>
        <ext uri="{3e2802c4-a4d2-4d8b-9148-e3be6c30e623}">
          <xlrd:rvb i="734"/>
        </ext>
      </extLst>
    </bk>
    <bk>
      <extLst>
        <ext uri="{3e2802c4-a4d2-4d8b-9148-e3be6c30e623}">
          <xlrd:rvb i="735"/>
        </ext>
      </extLst>
    </bk>
    <bk>
      <extLst>
        <ext uri="{3e2802c4-a4d2-4d8b-9148-e3be6c30e623}">
          <xlrd:rvb i="736"/>
        </ext>
      </extLst>
    </bk>
    <bk>
      <extLst>
        <ext uri="{3e2802c4-a4d2-4d8b-9148-e3be6c30e623}">
          <xlrd:rvb i="737"/>
        </ext>
      </extLst>
    </bk>
    <bk>
      <extLst>
        <ext uri="{3e2802c4-a4d2-4d8b-9148-e3be6c30e623}">
          <xlrd:rvb i="738"/>
        </ext>
      </extLst>
    </bk>
    <bk>
      <extLst>
        <ext uri="{3e2802c4-a4d2-4d8b-9148-e3be6c30e623}">
          <xlrd:rvb i="739"/>
        </ext>
      </extLst>
    </bk>
    <bk>
      <extLst>
        <ext uri="{3e2802c4-a4d2-4d8b-9148-e3be6c30e623}">
          <xlrd:rvb i="740"/>
        </ext>
      </extLst>
    </bk>
    <bk>
      <extLst>
        <ext uri="{3e2802c4-a4d2-4d8b-9148-e3be6c30e623}">
          <xlrd:rvb i="741"/>
        </ext>
      </extLst>
    </bk>
    <bk>
      <extLst>
        <ext uri="{3e2802c4-a4d2-4d8b-9148-e3be6c30e623}">
          <xlrd:rvb i="742"/>
        </ext>
      </extLst>
    </bk>
    <bk>
      <extLst>
        <ext uri="{3e2802c4-a4d2-4d8b-9148-e3be6c30e623}">
          <xlrd:rvb i="743"/>
        </ext>
      </extLst>
    </bk>
    <bk>
      <extLst>
        <ext uri="{3e2802c4-a4d2-4d8b-9148-e3be6c30e623}">
          <xlrd:rvb i="744"/>
        </ext>
      </extLst>
    </bk>
    <bk>
      <extLst>
        <ext uri="{3e2802c4-a4d2-4d8b-9148-e3be6c30e623}">
          <xlrd:rvb i="745"/>
        </ext>
      </extLst>
    </bk>
    <bk>
      <extLst>
        <ext uri="{3e2802c4-a4d2-4d8b-9148-e3be6c30e623}">
          <xlrd:rvb i="746"/>
        </ext>
      </extLst>
    </bk>
    <bk>
      <extLst>
        <ext uri="{3e2802c4-a4d2-4d8b-9148-e3be6c30e623}">
          <xlrd:rvb i="747"/>
        </ext>
      </extLst>
    </bk>
    <bk>
      <extLst>
        <ext uri="{3e2802c4-a4d2-4d8b-9148-e3be6c30e623}">
          <xlrd:rvb i="748"/>
        </ext>
      </extLst>
    </bk>
    <bk>
      <extLst>
        <ext uri="{3e2802c4-a4d2-4d8b-9148-e3be6c30e623}">
          <xlrd:rvb i="749"/>
        </ext>
      </extLst>
    </bk>
    <bk>
      <extLst>
        <ext uri="{3e2802c4-a4d2-4d8b-9148-e3be6c30e623}">
          <xlrd:rvb i="750"/>
        </ext>
      </extLst>
    </bk>
    <bk>
      <extLst>
        <ext uri="{3e2802c4-a4d2-4d8b-9148-e3be6c30e623}">
          <xlrd:rvb i="751"/>
        </ext>
      </extLst>
    </bk>
    <bk>
      <extLst>
        <ext uri="{3e2802c4-a4d2-4d8b-9148-e3be6c30e623}">
          <xlrd:rvb i="752"/>
        </ext>
      </extLst>
    </bk>
    <bk>
      <extLst>
        <ext uri="{3e2802c4-a4d2-4d8b-9148-e3be6c30e623}">
          <xlrd:rvb i="753"/>
        </ext>
      </extLst>
    </bk>
    <bk>
      <extLst>
        <ext uri="{3e2802c4-a4d2-4d8b-9148-e3be6c30e623}">
          <xlrd:rvb i="754"/>
        </ext>
      </extLst>
    </bk>
    <bk>
      <extLst>
        <ext uri="{3e2802c4-a4d2-4d8b-9148-e3be6c30e623}">
          <xlrd:rvb i="755"/>
        </ext>
      </extLst>
    </bk>
    <bk>
      <extLst>
        <ext uri="{3e2802c4-a4d2-4d8b-9148-e3be6c30e623}">
          <xlrd:rvb i="756"/>
        </ext>
      </extLst>
    </bk>
    <bk>
      <extLst>
        <ext uri="{3e2802c4-a4d2-4d8b-9148-e3be6c30e623}">
          <xlrd:rvb i="757"/>
        </ext>
      </extLst>
    </bk>
    <bk>
      <extLst>
        <ext uri="{3e2802c4-a4d2-4d8b-9148-e3be6c30e623}">
          <xlrd:rvb i="758"/>
        </ext>
      </extLst>
    </bk>
    <bk>
      <extLst>
        <ext uri="{3e2802c4-a4d2-4d8b-9148-e3be6c30e623}">
          <xlrd:rvb i="759"/>
        </ext>
      </extLst>
    </bk>
    <bk>
      <extLst>
        <ext uri="{3e2802c4-a4d2-4d8b-9148-e3be6c30e623}">
          <xlrd:rvb i="760"/>
        </ext>
      </extLst>
    </bk>
    <bk>
      <extLst>
        <ext uri="{3e2802c4-a4d2-4d8b-9148-e3be6c30e623}">
          <xlrd:rvb i="761"/>
        </ext>
      </extLst>
    </bk>
    <bk>
      <extLst>
        <ext uri="{3e2802c4-a4d2-4d8b-9148-e3be6c30e623}">
          <xlrd:rvb i="762"/>
        </ext>
      </extLst>
    </bk>
    <bk>
      <extLst>
        <ext uri="{3e2802c4-a4d2-4d8b-9148-e3be6c30e623}">
          <xlrd:rvb i="763"/>
        </ext>
      </extLst>
    </bk>
    <bk>
      <extLst>
        <ext uri="{3e2802c4-a4d2-4d8b-9148-e3be6c30e623}">
          <xlrd:rvb i="764"/>
        </ext>
      </extLst>
    </bk>
    <bk>
      <extLst>
        <ext uri="{3e2802c4-a4d2-4d8b-9148-e3be6c30e623}">
          <xlrd:rvb i="765"/>
        </ext>
      </extLst>
    </bk>
    <bk>
      <extLst>
        <ext uri="{3e2802c4-a4d2-4d8b-9148-e3be6c30e623}">
          <xlrd:rvb i="766"/>
        </ext>
      </extLst>
    </bk>
    <bk>
      <extLst>
        <ext uri="{3e2802c4-a4d2-4d8b-9148-e3be6c30e623}">
          <xlrd:rvb i="767"/>
        </ext>
      </extLst>
    </bk>
    <bk>
      <extLst>
        <ext uri="{3e2802c4-a4d2-4d8b-9148-e3be6c30e623}">
          <xlrd:rvb i="768"/>
        </ext>
      </extLst>
    </bk>
    <bk>
      <extLst>
        <ext uri="{3e2802c4-a4d2-4d8b-9148-e3be6c30e623}">
          <xlrd:rvb i="769"/>
        </ext>
      </extLst>
    </bk>
    <bk>
      <extLst>
        <ext uri="{3e2802c4-a4d2-4d8b-9148-e3be6c30e623}">
          <xlrd:rvb i="770"/>
        </ext>
      </extLst>
    </bk>
    <bk>
      <extLst>
        <ext uri="{3e2802c4-a4d2-4d8b-9148-e3be6c30e623}">
          <xlrd:rvb i="771"/>
        </ext>
      </extLst>
    </bk>
    <bk>
      <extLst>
        <ext uri="{3e2802c4-a4d2-4d8b-9148-e3be6c30e623}">
          <xlrd:rvb i="772"/>
        </ext>
      </extLst>
    </bk>
    <bk>
      <extLst>
        <ext uri="{3e2802c4-a4d2-4d8b-9148-e3be6c30e623}">
          <xlrd:rvb i="773"/>
        </ext>
      </extLst>
    </bk>
    <bk>
      <extLst>
        <ext uri="{3e2802c4-a4d2-4d8b-9148-e3be6c30e623}">
          <xlrd:rvb i="774"/>
        </ext>
      </extLst>
    </bk>
    <bk>
      <extLst>
        <ext uri="{3e2802c4-a4d2-4d8b-9148-e3be6c30e623}">
          <xlrd:rvb i="775"/>
        </ext>
      </extLst>
    </bk>
    <bk>
      <extLst>
        <ext uri="{3e2802c4-a4d2-4d8b-9148-e3be6c30e623}">
          <xlrd:rvb i="776"/>
        </ext>
      </extLst>
    </bk>
    <bk>
      <extLst>
        <ext uri="{3e2802c4-a4d2-4d8b-9148-e3be6c30e623}">
          <xlrd:rvb i="777"/>
        </ext>
      </extLst>
    </bk>
    <bk>
      <extLst>
        <ext uri="{3e2802c4-a4d2-4d8b-9148-e3be6c30e623}">
          <xlrd:rvb i="778"/>
        </ext>
      </extLst>
    </bk>
    <bk>
      <extLst>
        <ext uri="{3e2802c4-a4d2-4d8b-9148-e3be6c30e623}">
          <xlrd:rvb i="779"/>
        </ext>
      </extLst>
    </bk>
    <bk>
      <extLst>
        <ext uri="{3e2802c4-a4d2-4d8b-9148-e3be6c30e623}">
          <xlrd:rvb i="780"/>
        </ext>
      </extLst>
    </bk>
    <bk>
      <extLst>
        <ext uri="{3e2802c4-a4d2-4d8b-9148-e3be6c30e623}">
          <xlrd:rvb i="781"/>
        </ext>
      </extLst>
    </bk>
    <bk>
      <extLst>
        <ext uri="{3e2802c4-a4d2-4d8b-9148-e3be6c30e623}">
          <xlrd:rvb i="782"/>
        </ext>
      </extLst>
    </bk>
    <bk>
      <extLst>
        <ext uri="{3e2802c4-a4d2-4d8b-9148-e3be6c30e623}">
          <xlrd:rvb i="783"/>
        </ext>
      </extLst>
    </bk>
    <bk>
      <extLst>
        <ext uri="{3e2802c4-a4d2-4d8b-9148-e3be6c30e623}">
          <xlrd:rvb i="784"/>
        </ext>
      </extLst>
    </bk>
    <bk>
      <extLst>
        <ext uri="{3e2802c4-a4d2-4d8b-9148-e3be6c30e623}">
          <xlrd:rvb i="785"/>
        </ext>
      </extLst>
    </bk>
    <bk>
      <extLst>
        <ext uri="{3e2802c4-a4d2-4d8b-9148-e3be6c30e623}">
          <xlrd:rvb i="786"/>
        </ext>
      </extLst>
    </bk>
    <bk>
      <extLst>
        <ext uri="{3e2802c4-a4d2-4d8b-9148-e3be6c30e623}">
          <xlrd:rvb i="787"/>
        </ext>
      </extLst>
    </bk>
    <bk>
      <extLst>
        <ext uri="{3e2802c4-a4d2-4d8b-9148-e3be6c30e623}">
          <xlrd:rvb i="788"/>
        </ext>
      </extLst>
    </bk>
    <bk>
      <extLst>
        <ext uri="{3e2802c4-a4d2-4d8b-9148-e3be6c30e623}">
          <xlrd:rvb i="789"/>
        </ext>
      </extLst>
    </bk>
    <bk>
      <extLst>
        <ext uri="{3e2802c4-a4d2-4d8b-9148-e3be6c30e623}">
          <xlrd:rvb i="790"/>
        </ext>
      </extLst>
    </bk>
    <bk>
      <extLst>
        <ext uri="{3e2802c4-a4d2-4d8b-9148-e3be6c30e623}">
          <xlrd:rvb i="791"/>
        </ext>
      </extLst>
    </bk>
    <bk>
      <extLst>
        <ext uri="{3e2802c4-a4d2-4d8b-9148-e3be6c30e623}">
          <xlrd:rvb i="792"/>
        </ext>
      </extLst>
    </bk>
    <bk>
      <extLst>
        <ext uri="{3e2802c4-a4d2-4d8b-9148-e3be6c30e623}">
          <xlrd:rvb i="793"/>
        </ext>
      </extLst>
    </bk>
    <bk>
      <extLst>
        <ext uri="{3e2802c4-a4d2-4d8b-9148-e3be6c30e623}">
          <xlrd:rvb i="794"/>
        </ext>
      </extLst>
    </bk>
    <bk>
      <extLst>
        <ext uri="{3e2802c4-a4d2-4d8b-9148-e3be6c30e623}">
          <xlrd:rvb i="795"/>
        </ext>
      </extLst>
    </bk>
    <bk>
      <extLst>
        <ext uri="{3e2802c4-a4d2-4d8b-9148-e3be6c30e623}">
          <xlrd:rvb i="796"/>
        </ext>
      </extLst>
    </bk>
    <bk>
      <extLst>
        <ext uri="{3e2802c4-a4d2-4d8b-9148-e3be6c30e623}">
          <xlrd:rvb i="797"/>
        </ext>
      </extLst>
    </bk>
    <bk>
      <extLst>
        <ext uri="{3e2802c4-a4d2-4d8b-9148-e3be6c30e623}">
          <xlrd:rvb i="798"/>
        </ext>
      </extLst>
    </bk>
    <bk>
      <extLst>
        <ext uri="{3e2802c4-a4d2-4d8b-9148-e3be6c30e623}">
          <xlrd:rvb i="799"/>
        </ext>
      </extLst>
    </bk>
    <bk>
      <extLst>
        <ext uri="{3e2802c4-a4d2-4d8b-9148-e3be6c30e623}">
          <xlrd:rvb i="800"/>
        </ext>
      </extLst>
    </bk>
    <bk>
      <extLst>
        <ext uri="{3e2802c4-a4d2-4d8b-9148-e3be6c30e623}">
          <xlrd:rvb i="801"/>
        </ext>
      </extLst>
    </bk>
    <bk>
      <extLst>
        <ext uri="{3e2802c4-a4d2-4d8b-9148-e3be6c30e623}">
          <xlrd:rvb i="802"/>
        </ext>
      </extLst>
    </bk>
    <bk>
      <extLst>
        <ext uri="{3e2802c4-a4d2-4d8b-9148-e3be6c30e623}">
          <xlrd:rvb i="803"/>
        </ext>
      </extLst>
    </bk>
    <bk>
      <extLst>
        <ext uri="{3e2802c4-a4d2-4d8b-9148-e3be6c30e623}">
          <xlrd:rvb i="804"/>
        </ext>
      </extLst>
    </bk>
    <bk>
      <extLst>
        <ext uri="{3e2802c4-a4d2-4d8b-9148-e3be6c30e623}">
          <xlrd:rvb i="805"/>
        </ext>
      </extLst>
    </bk>
    <bk>
      <extLst>
        <ext uri="{3e2802c4-a4d2-4d8b-9148-e3be6c30e623}">
          <xlrd:rvb i="806"/>
        </ext>
      </extLst>
    </bk>
    <bk>
      <extLst>
        <ext uri="{3e2802c4-a4d2-4d8b-9148-e3be6c30e623}">
          <xlrd:rvb i="807"/>
        </ext>
      </extLst>
    </bk>
    <bk>
      <extLst>
        <ext uri="{3e2802c4-a4d2-4d8b-9148-e3be6c30e623}">
          <xlrd:rvb i="808"/>
        </ext>
      </extLst>
    </bk>
    <bk>
      <extLst>
        <ext uri="{3e2802c4-a4d2-4d8b-9148-e3be6c30e623}">
          <xlrd:rvb i="809"/>
        </ext>
      </extLst>
    </bk>
    <bk>
      <extLst>
        <ext uri="{3e2802c4-a4d2-4d8b-9148-e3be6c30e623}">
          <xlrd:rvb i="810"/>
        </ext>
      </extLst>
    </bk>
    <bk>
      <extLst>
        <ext uri="{3e2802c4-a4d2-4d8b-9148-e3be6c30e623}">
          <xlrd:rvb i="811"/>
        </ext>
      </extLst>
    </bk>
    <bk>
      <extLst>
        <ext uri="{3e2802c4-a4d2-4d8b-9148-e3be6c30e623}">
          <xlrd:rvb i="812"/>
        </ext>
      </extLst>
    </bk>
    <bk>
      <extLst>
        <ext uri="{3e2802c4-a4d2-4d8b-9148-e3be6c30e623}">
          <xlrd:rvb i="813"/>
        </ext>
      </extLst>
    </bk>
    <bk>
      <extLst>
        <ext uri="{3e2802c4-a4d2-4d8b-9148-e3be6c30e623}">
          <xlrd:rvb i="814"/>
        </ext>
      </extLst>
    </bk>
    <bk>
      <extLst>
        <ext uri="{3e2802c4-a4d2-4d8b-9148-e3be6c30e623}">
          <xlrd:rvb i="815"/>
        </ext>
      </extLst>
    </bk>
    <bk>
      <extLst>
        <ext uri="{3e2802c4-a4d2-4d8b-9148-e3be6c30e623}">
          <xlrd:rvb i="816"/>
        </ext>
      </extLst>
    </bk>
    <bk>
      <extLst>
        <ext uri="{3e2802c4-a4d2-4d8b-9148-e3be6c30e623}">
          <xlrd:rvb i="817"/>
        </ext>
      </extLst>
    </bk>
    <bk>
      <extLst>
        <ext uri="{3e2802c4-a4d2-4d8b-9148-e3be6c30e623}">
          <xlrd:rvb i="818"/>
        </ext>
      </extLst>
    </bk>
    <bk>
      <extLst>
        <ext uri="{3e2802c4-a4d2-4d8b-9148-e3be6c30e623}">
          <xlrd:rvb i="819"/>
        </ext>
      </extLst>
    </bk>
    <bk>
      <extLst>
        <ext uri="{3e2802c4-a4d2-4d8b-9148-e3be6c30e623}">
          <xlrd:rvb i="820"/>
        </ext>
      </extLst>
    </bk>
    <bk>
      <extLst>
        <ext uri="{3e2802c4-a4d2-4d8b-9148-e3be6c30e623}">
          <xlrd:rvb i="821"/>
        </ext>
      </extLst>
    </bk>
    <bk>
      <extLst>
        <ext uri="{3e2802c4-a4d2-4d8b-9148-e3be6c30e623}">
          <xlrd:rvb i="822"/>
        </ext>
      </extLst>
    </bk>
    <bk>
      <extLst>
        <ext uri="{3e2802c4-a4d2-4d8b-9148-e3be6c30e623}">
          <xlrd:rvb i="823"/>
        </ext>
      </extLst>
    </bk>
    <bk>
      <extLst>
        <ext uri="{3e2802c4-a4d2-4d8b-9148-e3be6c30e623}">
          <xlrd:rvb i="824"/>
        </ext>
      </extLst>
    </bk>
    <bk>
      <extLst>
        <ext uri="{3e2802c4-a4d2-4d8b-9148-e3be6c30e623}">
          <xlrd:rvb i="825"/>
        </ext>
      </extLst>
    </bk>
    <bk>
      <extLst>
        <ext uri="{3e2802c4-a4d2-4d8b-9148-e3be6c30e623}">
          <xlrd:rvb i="826"/>
        </ext>
      </extLst>
    </bk>
    <bk>
      <extLst>
        <ext uri="{3e2802c4-a4d2-4d8b-9148-e3be6c30e623}">
          <xlrd:rvb i="827"/>
        </ext>
      </extLst>
    </bk>
    <bk>
      <extLst>
        <ext uri="{3e2802c4-a4d2-4d8b-9148-e3be6c30e623}">
          <xlrd:rvb i="828"/>
        </ext>
      </extLst>
    </bk>
    <bk>
      <extLst>
        <ext uri="{3e2802c4-a4d2-4d8b-9148-e3be6c30e623}">
          <xlrd:rvb i="829"/>
        </ext>
      </extLst>
    </bk>
    <bk>
      <extLst>
        <ext uri="{3e2802c4-a4d2-4d8b-9148-e3be6c30e623}">
          <xlrd:rvb i="830"/>
        </ext>
      </extLst>
    </bk>
    <bk>
      <extLst>
        <ext uri="{3e2802c4-a4d2-4d8b-9148-e3be6c30e623}">
          <xlrd:rvb i="831"/>
        </ext>
      </extLst>
    </bk>
    <bk>
      <extLst>
        <ext uri="{3e2802c4-a4d2-4d8b-9148-e3be6c30e623}">
          <xlrd:rvb i="832"/>
        </ext>
      </extLst>
    </bk>
    <bk>
      <extLst>
        <ext uri="{3e2802c4-a4d2-4d8b-9148-e3be6c30e623}">
          <xlrd:rvb i="833"/>
        </ext>
      </extLst>
    </bk>
    <bk>
      <extLst>
        <ext uri="{3e2802c4-a4d2-4d8b-9148-e3be6c30e623}">
          <xlrd:rvb i="834"/>
        </ext>
      </extLst>
    </bk>
    <bk>
      <extLst>
        <ext uri="{3e2802c4-a4d2-4d8b-9148-e3be6c30e623}">
          <xlrd:rvb i="835"/>
        </ext>
      </extLst>
    </bk>
    <bk>
      <extLst>
        <ext uri="{3e2802c4-a4d2-4d8b-9148-e3be6c30e623}">
          <xlrd:rvb i="836"/>
        </ext>
      </extLst>
    </bk>
    <bk>
      <extLst>
        <ext uri="{3e2802c4-a4d2-4d8b-9148-e3be6c30e623}">
          <xlrd:rvb i="837"/>
        </ext>
      </extLst>
    </bk>
    <bk>
      <extLst>
        <ext uri="{3e2802c4-a4d2-4d8b-9148-e3be6c30e623}">
          <xlrd:rvb i="838"/>
        </ext>
      </extLst>
    </bk>
    <bk>
      <extLst>
        <ext uri="{3e2802c4-a4d2-4d8b-9148-e3be6c30e623}">
          <xlrd:rvb i="839"/>
        </ext>
      </extLst>
    </bk>
    <bk>
      <extLst>
        <ext uri="{3e2802c4-a4d2-4d8b-9148-e3be6c30e623}">
          <xlrd:rvb i="840"/>
        </ext>
      </extLst>
    </bk>
    <bk>
      <extLst>
        <ext uri="{3e2802c4-a4d2-4d8b-9148-e3be6c30e623}">
          <xlrd:rvb i="841"/>
        </ext>
      </extLst>
    </bk>
    <bk>
      <extLst>
        <ext uri="{3e2802c4-a4d2-4d8b-9148-e3be6c30e623}">
          <xlrd:rvb i="842"/>
        </ext>
      </extLst>
    </bk>
    <bk>
      <extLst>
        <ext uri="{3e2802c4-a4d2-4d8b-9148-e3be6c30e623}">
          <xlrd:rvb i="843"/>
        </ext>
      </extLst>
    </bk>
    <bk>
      <extLst>
        <ext uri="{3e2802c4-a4d2-4d8b-9148-e3be6c30e623}">
          <xlrd:rvb i="844"/>
        </ext>
      </extLst>
    </bk>
    <bk>
      <extLst>
        <ext uri="{3e2802c4-a4d2-4d8b-9148-e3be6c30e623}">
          <xlrd:rvb i="845"/>
        </ext>
      </extLst>
    </bk>
    <bk>
      <extLst>
        <ext uri="{3e2802c4-a4d2-4d8b-9148-e3be6c30e623}">
          <xlrd:rvb i="846"/>
        </ext>
      </extLst>
    </bk>
    <bk>
      <extLst>
        <ext uri="{3e2802c4-a4d2-4d8b-9148-e3be6c30e623}">
          <xlrd:rvb i="847"/>
        </ext>
      </extLst>
    </bk>
    <bk>
      <extLst>
        <ext uri="{3e2802c4-a4d2-4d8b-9148-e3be6c30e623}">
          <xlrd:rvb i="848"/>
        </ext>
      </extLst>
    </bk>
    <bk>
      <extLst>
        <ext uri="{3e2802c4-a4d2-4d8b-9148-e3be6c30e623}">
          <xlrd:rvb i="849"/>
        </ext>
      </extLst>
    </bk>
    <bk>
      <extLst>
        <ext uri="{3e2802c4-a4d2-4d8b-9148-e3be6c30e623}">
          <xlrd:rvb i="850"/>
        </ext>
      </extLst>
    </bk>
    <bk>
      <extLst>
        <ext uri="{3e2802c4-a4d2-4d8b-9148-e3be6c30e623}">
          <xlrd:rvb i="851"/>
        </ext>
      </extLst>
    </bk>
    <bk>
      <extLst>
        <ext uri="{3e2802c4-a4d2-4d8b-9148-e3be6c30e623}">
          <xlrd:rvb i="852"/>
        </ext>
      </extLst>
    </bk>
    <bk>
      <extLst>
        <ext uri="{3e2802c4-a4d2-4d8b-9148-e3be6c30e623}">
          <xlrd:rvb i="853"/>
        </ext>
      </extLst>
    </bk>
    <bk>
      <extLst>
        <ext uri="{3e2802c4-a4d2-4d8b-9148-e3be6c30e623}">
          <xlrd:rvb i="854"/>
        </ext>
      </extLst>
    </bk>
    <bk>
      <extLst>
        <ext uri="{3e2802c4-a4d2-4d8b-9148-e3be6c30e623}">
          <xlrd:rvb i="855"/>
        </ext>
      </extLst>
    </bk>
    <bk>
      <extLst>
        <ext uri="{3e2802c4-a4d2-4d8b-9148-e3be6c30e623}">
          <xlrd:rvb i="856"/>
        </ext>
      </extLst>
    </bk>
    <bk>
      <extLst>
        <ext uri="{3e2802c4-a4d2-4d8b-9148-e3be6c30e623}">
          <xlrd:rvb i="857"/>
        </ext>
      </extLst>
    </bk>
    <bk>
      <extLst>
        <ext uri="{3e2802c4-a4d2-4d8b-9148-e3be6c30e623}">
          <xlrd:rvb i="858"/>
        </ext>
      </extLst>
    </bk>
    <bk>
      <extLst>
        <ext uri="{3e2802c4-a4d2-4d8b-9148-e3be6c30e623}">
          <xlrd:rvb i="859"/>
        </ext>
      </extLst>
    </bk>
    <bk>
      <extLst>
        <ext uri="{3e2802c4-a4d2-4d8b-9148-e3be6c30e623}">
          <xlrd:rvb i="860"/>
        </ext>
      </extLst>
    </bk>
    <bk>
      <extLst>
        <ext uri="{3e2802c4-a4d2-4d8b-9148-e3be6c30e623}">
          <xlrd:rvb i="861"/>
        </ext>
      </extLst>
    </bk>
    <bk>
      <extLst>
        <ext uri="{3e2802c4-a4d2-4d8b-9148-e3be6c30e623}">
          <xlrd:rvb i="862"/>
        </ext>
      </extLst>
    </bk>
    <bk>
      <extLst>
        <ext uri="{3e2802c4-a4d2-4d8b-9148-e3be6c30e623}">
          <xlrd:rvb i="863"/>
        </ext>
      </extLst>
    </bk>
    <bk>
      <extLst>
        <ext uri="{3e2802c4-a4d2-4d8b-9148-e3be6c30e623}">
          <xlrd:rvb i="864"/>
        </ext>
      </extLst>
    </bk>
    <bk>
      <extLst>
        <ext uri="{3e2802c4-a4d2-4d8b-9148-e3be6c30e623}">
          <xlrd:rvb i="865"/>
        </ext>
      </extLst>
    </bk>
    <bk>
      <extLst>
        <ext uri="{3e2802c4-a4d2-4d8b-9148-e3be6c30e623}">
          <xlrd:rvb i="866"/>
        </ext>
      </extLst>
    </bk>
    <bk>
      <extLst>
        <ext uri="{3e2802c4-a4d2-4d8b-9148-e3be6c30e623}">
          <xlrd:rvb i="867"/>
        </ext>
      </extLst>
    </bk>
    <bk>
      <extLst>
        <ext uri="{3e2802c4-a4d2-4d8b-9148-e3be6c30e623}">
          <xlrd:rvb i="868"/>
        </ext>
      </extLst>
    </bk>
    <bk>
      <extLst>
        <ext uri="{3e2802c4-a4d2-4d8b-9148-e3be6c30e623}">
          <xlrd:rvb i="869"/>
        </ext>
      </extLst>
    </bk>
    <bk>
      <extLst>
        <ext uri="{3e2802c4-a4d2-4d8b-9148-e3be6c30e623}">
          <xlrd:rvb i="870"/>
        </ext>
      </extLst>
    </bk>
    <bk>
      <extLst>
        <ext uri="{3e2802c4-a4d2-4d8b-9148-e3be6c30e623}">
          <xlrd:rvb i="871"/>
        </ext>
      </extLst>
    </bk>
    <bk>
      <extLst>
        <ext uri="{3e2802c4-a4d2-4d8b-9148-e3be6c30e623}">
          <xlrd:rvb i="872"/>
        </ext>
      </extLst>
    </bk>
    <bk>
      <extLst>
        <ext uri="{3e2802c4-a4d2-4d8b-9148-e3be6c30e623}">
          <xlrd:rvb i="873"/>
        </ext>
      </extLst>
    </bk>
    <bk>
      <extLst>
        <ext uri="{3e2802c4-a4d2-4d8b-9148-e3be6c30e623}">
          <xlrd:rvb i="874"/>
        </ext>
      </extLst>
    </bk>
    <bk>
      <extLst>
        <ext uri="{3e2802c4-a4d2-4d8b-9148-e3be6c30e623}">
          <xlrd:rvb i="875"/>
        </ext>
      </extLst>
    </bk>
    <bk>
      <extLst>
        <ext uri="{3e2802c4-a4d2-4d8b-9148-e3be6c30e623}">
          <xlrd:rvb i="876"/>
        </ext>
      </extLst>
    </bk>
    <bk>
      <extLst>
        <ext uri="{3e2802c4-a4d2-4d8b-9148-e3be6c30e623}">
          <xlrd:rvb i="877"/>
        </ext>
      </extLst>
    </bk>
    <bk>
      <extLst>
        <ext uri="{3e2802c4-a4d2-4d8b-9148-e3be6c30e623}">
          <xlrd:rvb i="878"/>
        </ext>
      </extLst>
    </bk>
    <bk>
      <extLst>
        <ext uri="{3e2802c4-a4d2-4d8b-9148-e3be6c30e623}">
          <xlrd:rvb i="879"/>
        </ext>
      </extLst>
    </bk>
    <bk>
      <extLst>
        <ext uri="{3e2802c4-a4d2-4d8b-9148-e3be6c30e623}">
          <xlrd:rvb i="880"/>
        </ext>
      </extLst>
    </bk>
    <bk>
      <extLst>
        <ext uri="{3e2802c4-a4d2-4d8b-9148-e3be6c30e623}">
          <xlrd:rvb i="881"/>
        </ext>
      </extLst>
    </bk>
    <bk>
      <extLst>
        <ext uri="{3e2802c4-a4d2-4d8b-9148-e3be6c30e623}">
          <xlrd:rvb i="882"/>
        </ext>
      </extLst>
    </bk>
    <bk>
      <extLst>
        <ext uri="{3e2802c4-a4d2-4d8b-9148-e3be6c30e623}">
          <xlrd:rvb i="883"/>
        </ext>
      </extLst>
    </bk>
    <bk>
      <extLst>
        <ext uri="{3e2802c4-a4d2-4d8b-9148-e3be6c30e623}">
          <xlrd:rvb i="884"/>
        </ext>
      </extLst>
    </bk>
    <bk>
      <extLst>
        <ext uri="{3e2802c4-a4d2-4d8b-9148-e3be6c30e623}">
          <xlrd:rvb i="885"/>
        </ext>
      </extLst>
    </bk>
    <bk>
      <extLst>
        <ext uri="{3e2802c4-a4d2-4d8b-9148-e3be6c30e623}">
          <xlrd:rvb i="886"/>
        </ext>
      </extLst>
    </bk>
    <bk>
      <extLst>
        <ext uri="{3e2802c4-a4d2-4d8b-9148-e3be6c30e623}">
          <xlrd:rvb i="887"/>
        </ext>
      </extLst>
    </bk>
    <bk>
      <extLst>
        <ext uri="{3e2802c4-a4d2-4d8b-9148-e3be6c30e623}">
          <xlrd:rvb i="888"/>
        </ext>
      </extLst>
    </bk>
    <bk>
      <extLst>
        <ext uri="{3e2802c4-a4d2-4d8b-9148-e3be6c30e623}">
          <xlrd:rvb i="889"/>
        </ext>
      </extLst>
    </bk>
    <bk>
      <extLst>
        <ext uri="{3e2802c4-a4d2-4d8b-9148-e3be6c30e623}">
          <xlrd:rvb i="890"/>
        </ext>
      </extLst>
    </bk>
    <bk>
      <extLst>
        <ext uri="{3e2802c4-a4d2-4d8b-9148-e3be6c30e623}">
          <xlrd:rvb i="891"/>
        </ext>
      </extLst>
    </bk>
    <bk>
      <extLst>
        <ext uri="{3e2802c4-a4d2-4d8b-9148-e3be6c30e623}">
          <xlrd:rvb i="892"/>
        </ext>
      </extLst>
    </bk>
    <bk>
      <extLst>
        <ext uri="{3e2802c4-a4d2-4d8b-9148-e3be6c30e623}">
          <xlrd:rvb i="893"/>
        </ext>
      </extLst>
    </bk>
    <bk>
      <extLst>
        <ext uri="{3e2802c4-a4d2-4d8b-9148-e3be6c30e623}">
          <xlrd:rvb i="894"/>
        </ext>
      </extLst>
    </bk>
    <bk>
      <extLst>
        <ext uri="{3e2802c4-a4d2-4d8b-9148-e3be6c30e623}">
          <xlrd:rvb i="895"/>
        </ext>
      </extLst>
    </bk>
    <bk>
      <extLst>
        <ext uri="{3e2802c4-a4d2-4d8b-9148-e3be6c30e623}">
          <xlrd:rvb i="896"/>
        </ext>
      </extLst>
    </bk>
    <bk>
      <extLst>
        <ext uri="{3e2802c4-a4d2-4d8b-9148-e3be6c30e623}">
          <xlrd:rvb i="897"/>
        </ext>
      </extLst>
    </bk>
    <bk>
      <extLst>
        <ext uri="{3e2802c4-a4d2-4d8b-9148-e3be6c30e623}">
          <xlrd:rvb i="898"/>
        </ext>
      </extLst>
    </bk>
    <bk>
      <extLst>
        <ext uri="{3e2802c4-a4d2-4d8b-9148-e3be6c30e623}">
          <xlrd:rvb i="899"/>
        </ext>
      </extLst>
    </bk>
    <bk>
      <extLst>
        <ext uri="{3e2802c4-a4d2-4d8b-9148-e3be6c30e623}">
          <xlrd:rvb i="900"/>
        </ext>
      </extLst>
    </bk>
    <bk>
      <extLst>
        <ext uri="{3e2802c4-a4d2-4d8b-9148-e3be6c30e623}">
          <xlrd:rvb i="901"/>
        </ext>
      </extLst>
    </bk>
    <bk>
      <extLst>
        <ext uri="{3e2802c4-a4d2-4d8b-9148-e3be6c30e623}">
          <xlrd:rvb i="902"/>
        </ext>
      </extLst>
    </bk>
    <bk>
      <extLst>
        <ext uri="{3e2802c4-a4d2-4d8b-9148-e3be6c30e623}">
          <xlrd:rvb i="903"/>
        </ext>
      </extLst>
    </bk>
    <bk>
      <extLst>
        <ext uri="{3e2802c4-a4d2-4d8b-9148-e3be6c30e623}">
          <xlrd:rvb i="904"/>
        </ext>
      </extLst>
    </bk>
    <bk>
      <extLst>
        <ext uri="{3e2802c4-a4d2-4d8b-9148-e3be6c30e623}">
          <xlrd:rvb i="905"/>
        </ext>
      </extLst>
    </bk>
    <bk>
      <extLst>
        <ext uri="{3e2802c4-a4d2-4d8b-9148-e3be6c30e623}">
          <xlrd:rvb i="906"/>
        </ext>
      </extLst>
    </bk>
    <bk>
      <extLst>
        <ext uri="{3e2802c4-a4d2-4d8b-9148-e3be6c30e623}">
          <xlrd:rvb i="907"/>
        </ext>
      </extLst>
    </bk>
    <bk>
      <extLst>
        <ext uri="{3e2802c4-a4d2-4d8b-9148-e3be6c30e623}">
          <xlrd:rvb i="908"/>
        </ext>
      </extLst>
    </bk>
    <bk>
      <extLst>
        <ext uri="{3e2802c4-a4d2-4d8b-9148-e3be6c30e623}">
          <xlrd:rvb i="909"/>
        </ext>
      </extLst>
    </bk>
    <bk>
      <extLst>
        <ext uri="{3e2802c4-a4d2-4d8b-9148-e3be6c30e623}">
          <xlrd:rvb i="910"/>
        </ext>
      </extLst>
    </bk>
    <bk>
      <extLst>
        <ext uri="{3e2802c4-a4d2-4d8b-9148-e3be6c30e623}">
          <xlrd:rvb i="911"/>
        </ext>
      </extLst>
    </bk>
    <bk>
      <extLst>
        <ext uri="{3e2802c4-a4d2-4d8b-9148-e3be6c30e623}">
          <xlrd:rvb i="912"/>
        </ext>
      </extLst>
    </bk>
    <bk>
      <extLst>
        <ext uri="{3e2802c4-a4d2-4d8b-9148-e3be6c30e623}">
          <xlrd:rvb i="913"/>
        </ext>
      </extLst>
    </bk>
    <bk>
      <extLst>
        <ext uri="{3e2802c4-a4d2-4d8b-9148-e3be6c30e623}">
          <xlrd:rvb i="914"/>
        </ext>
      </extLst>
    </bk>
    <bk>
      <extLst>
        <ext uri="{3e2802c4-a4d2-4d8b-9148-e3be6c30e623}">
          <xlrd:rvb i="915"/>
        </ext>
      </extLst>
    </bk>
    <bk>
      <extLst>
        <ext uri="{3e2802c4-a4d2-4d8b-9148-e3be6c30e623}">
          <xlrd:rvb i="916"/>
        </ext>
      </extLst>
    </bk>
    <bk>
      <extLst>
        <ext uri="{3e2802c4-a4d2-4d8b-9148-e3be6c30e623}">
          <xlrd:rvb i="917"/>
        </ext>
      </extLst>
    </bk>
    <bk>
      <extLst>
        <ext uri="{3e2802c4-a4d2-4d8b-9148-e3be6c30e623}">
          <xlrd:rvb i="918"/>
        </ext>
      </extLst>
    </bk>
    <bk>
      <extLst>
        <ext uri="{3e2802c4-a4d2-4d8b-9148-e3be6c30e623}">
          <xlrd:rvb i="919"/>
        </ext>
      </extLst>
    </bk>
    <bk>
      <extLst>
        <ext uri="{3e2802c4-a4d2-4d8b-9148-e3be6c30e623}">
          <xlrd:rvb i="920"/>
        </ext>
      </extLst>
    </bk>
    <bk>
      <extLst>
        <ext uri="{3e2802c4-a4d2-4d8b-9148-e3be6c30e623}">
          <xlrd:rvb i="921"/>
        </ext>
      </extLst>
    </bk>
    <bk>
      <extLst>
        <ext uri="{3e2802c4-a4d2-4d8b-9148-e3be6c30e623}">
          <xlrd:rvb i="922"/>
        </ext>
      </extLst>
    </bk>
    <bk>
      <extLst>
        <ext uri="{3e2802c4-a4d2-4d8b-9148-e3be6c30e623}">
          <xlrd:rvb i="923"/>
        </ext>
      </extLst>
    </bk>
    <bk>
      <extLst>
        <ext uri="{3e2802c4-a4d2-4d8b-9148-e3be6c30e623}">
          <xlrd:rvb i="924"/>
        </ext>
      </extLst>
    </bk>
    <bk>
      <extLst>
        <ext uri="{3e2802c4-a4d2-4d8b-9148-e3be6c30e623}">
          <xlrd:rvb i="925"/>
        </ext>
      </extLst>
    </bk>
    <bk>
      <extLst>
        <ext uri="{3e2802c4-a4d2-4d8b-9148-e3be6c30e623}">
          <xlrd:rvb i="926"/>
        </ext>
      </extLst>
    </bk>
    <bk>
      <extLst>
        <ext uri="{3e2802c4-a4d2-4d8b-9148-e3be6c30e623}">
          <xlrd:rvb i="927"/>
        </ext>
      </extLst>
    </bk>
    <bk>
      <extLst>
        <ext uri="{3e2802c4-a4d2-4d8b-9148-e3be6c30e623}">
          <xlrd:rvb i="928"/>
        </ext>
      </extLst>
    </bk>
    <bk>
      <extLst>
        <ext uri="{3e2802c4-a4d2-4d8b-9148-e3be6c30e623}">
          <xlrd:rvb i="929"/>
        </ext>
      </extLst>
    </bk>
    <bk>
      <extLst>
        <ext uri="{3e2802c4-a4d2-4d8b-9148-e3be6c30e623}">
          <xlrd:rvb i="930"/>
        </ext>
      </extLst>
    </bk>
    <bk>
      <extLst>
        <ext uri="{3e2802c4-a4d2-4d8b-9148-e3be6c30e623}">
          <xlrd:rvb i="931"/>
        </ext>
      </extLst>
    </bk>
    <bk>
      <extLst>
        <ext uri="{3e2802c4-a4d2-4d8b-9148-e3be6c30e623}">
          <xlrd:rvb i="932"/>
        </ext>
      </extLst>
    </bk>
    <bk>
      <extLst>
        <ext uri="{3e2802c4-a4d2-4d8b-9148-e3be6c30e623}">
          <xlrd:rvb i="933"/>
        </ext>
      </extLst>
    </bk>
    <bk>
      <extLst>
        <ext uri="{3e2802c4-a4d2-4d8b-9148-e3be6c30e623}">
          <xlrd:rvb i="934"/>
        </ext>
      </extLst>
    </bk>
    <bk>
      <extLst>
        <ext uri="{3e2802c4-a4d2-4d8b-9148-e3be6c30e623}">
          <xlrd:rvb i="935"/>
        </ext>
      </extLst>
    </bk>
    <bk>
      <extLst>
        <ext uri="{3e2802c4-a4d2-4d8b-9148-e3be6c30e623}">
          <xlrd:rvb i="936"/>
        </ext>
      </extLst>
    </bk>
    <bk>
      <extLst>
        <ext uri="{3e2802c4-a4d2-4d8b-9148-e3be6c30e623}">
          <xlrd:rvb i="937"/>
        </ext>
      </extLst>
    </bk>
    <bk>
      <extLst>
        <ext uri="{3e2802c4-a4d2-4d8b-9148-e3be6c30e623}">
          <xlrd:rvb i="938"/>
        </ext>
      </extLst>
    </bk>
    <bk>
      <extLst>
        <ext uri="{3e2802c4-a4d2-4d8b-9148-e3be6c30e623}">
          <xlrd:rvb i="939"/>
        </ext>
      </extLst>
    </bk>
    <bk>
      <extLst>
        <ext uri="{3e2802c4-a4d2-4d8b-9148-e3be6c30e623}">
          <xlrd:rvb i="940"/>
        </ext>
      </extLst>
    </bk>
    <bk>
      <extLst>
        <ext uri="{3e2802c4-a4d2-4d8b-9148-e3be6c30e623}">
          <xlrd:rvb i="941"/>
        </ext>
      </extLst>
    </bk>
    <bk>
      <extLst>
        <ext uri="{3e2802c4-a4d2-4d8b-9148-e3be6c30e623}">
          <xlrd:rvb i="942"/>
        </ext>
      </extLst>
    </bk>
    <bk>
      <extLst>
        <ext uri="{3e2802c4-a4d2-4d8b-9148-e3be6c30e623}">
          <xlrd:rvb i="943"/>
        </ext>
      </extLst>
    </bk>
    <bk>
      <extLst>
        <ext uri="{3e2802c4-a4d2-4d8b-9148-e3be6c30e623}">
          <xlrd:rvb i="944"/>
        </ext>
      </extLst>
    </bk>
    <bk>
      <extLst>
        <ext uri="{3e2802c4-a4d2-4d8b-9148-e3be6c30e623}">
          <xlrd:rvb i="945"/>
        </ext>
      </extLst>
    </bk>
    <bk>
      <extLst>
        <ext uri="{3e2802c4-a4d2-4d8b-9148-e3be6c30e623}">
          <xlrd:rvb i="946"/>
        </ext>
      </extLst>
    </bk>
    <bk>
      <extLst>
        <ext uri="{3e2802c4-a4d2-4d8b-9148-e3be6c30e623}">
          <xlrd:rvb i="947"/>
        </ext>
      </extLst>
    </bk>
    <bk>
      <extLst>
        <ext uri="{3e2802c4-a4d2-4d8b-9148-e3be6c30e623}">
          <xlrd:rvb i="948"/>
        </ext>
      </extLst>
    </bk>
    <bk>
      <extLst>
        <ext uri="{3e2802c4-a4d2-4d8b-9148-e3be6c30e623}">
          <xlrd:rvb i="949"/>
        </ext>
      </extLst>
    </bk>
    <bk>
      <extLst>
        <ext uri="{3e2802c4-a4d2-4d8b-9148-e3be6c30e623}">
          <xlrd:rvb i="950"/>
        </ext>
      </extLst>
    </bk>
    <bk>
      <extLst>
        <ext uri="{3e2802c4-a4d2-4d8b-9148-e3be6c30e623}">
          <xlrd:rvb i="951"/>
        </ext>
      </extLst>
    </bk>
    <bk>
      <extLst>
        <ext uri="{3e2802c4-a4d2-4d8b-9148-e3be6c30e623}">
          <xlrd:rvb i="952"/>
        </ext>
      </extLst>
    </bk>
    <bk>
      <extLst>
        <ext uri="{3e2802c4-a4d2-4d8b-9148-e3be6c30e623}">
          <xlrd:rvb i="953"/>
        </ext>
      </extLst>
    </bk>
    <bk>
      <extLst>
        <ext uri="{3e2802c4-a4d2-4d8b-9148-e3be6c30e623}">
          <xlrd:rvb i="954"/>
        </ext>
      </extLst>
    </bk>
    <bk>
      <extLst>
        <ext uri="{3e2802c4-a4d2-4d8b-9148-e3be6c30e623}">
          <xlrd:rvb i="955"/>
        </ext>
      </extLst>
    </bk>
    <bk>
      <extLst>
        <ext uri="{3e2802c4-a4d2-4d8b-9148-e3be6c30e623}">
          <xlrd:rvb i="956"/>
        </ext>
      </extLst>
    </bk>
    <bk>
      <extLst>
        <ext uri="{3e2802c4-a4d2-4d8b-9148-e3be6c30e623}">
          <xlrd:rvb i="957"/>
        </ext>
      </extLst>
    </bk>
    <bk>
      <extLst>
        <ext uri="{3e2802c4-a4d2-4d8b-9148-e3be6c30e623}">
          <xlrd:rvb i="958"/>
        </ext>
      </extLst>
    </bk>
    <bk>
      <extLst>
        <ext uri="{3e2802c4-a4d2-4d8b-9148-e3be6c30e623}">
          <xlrd:rvb i="959"/>
        </ext>
      </extLst>
    </bk>
    <bk>
      <extLst>
        <ext uri="{3e2802c4-a4d2-4d8b-9148-e3be6c30e623}">
          <xlrd:rvb i="960"/>
        </ext>
      </extLst>
    </bk>
    <bk>
      <extLst>
        <ext uri="{3e2802c4-a4d2-4d8b-9148-e3be6c30e623}">
          <xlrd:rvb i="961"/>
        </ext>
      </extLst>
    </bk>
    <bk>
      <extLst>
        <ext uri="{3e2802c4-a4d2-4d8b-9148-e3be6c30e623}">
          <xlrd:rvb i="962"/>
        </ext>
      </extLst>
    </bk>
    <bk>
      <extLst>
        <ext uri="{3e2802c4-a4d2-4d8b-9148-e3be6c30e623}">
          <xlrd:rvb i="963"/>
        </ext>
      </extLst>
    </bk>
    <bk>
      <extLst>
        <ext uri="{3e2802c4-a4d2-4d8b-9148-e3be6c30e623}">
          <xlrd:rvb i="964"/>
        </ext>
      </extLst>
    </bk>
    <bk>
      <extLst>
        <ext uri="{3e2802c4-a4d2-4d8b-9148-e3be6c30e623}">
          <xlrd:rvb i="965"/>
        </ext>
      </extLst>
    </bk>
    <bk>
      <extLst>
        <ext uri="{3e2802c4-a4d2-4d8b-9148-e3be6c30e623}">
          <xlrd:rvb i="966"/>
        </ext>
      </extLst>
    </bk>
    <bk>
      <extLst>
        <ext uri="{3e2802c4-a4d2-4d8b-9148-e3be6c30e623}">
          <xlrd:rvb i="967"/>
        </ext>
      </extLst>
    </bk>
    <bk>
      <extLst>
        <ext uri="{3e2802c4-a4d2-4d8b-9148-e3be6c30e623}">
          <xlrd:rvb i="968"/>
        </ext>
      </extLst>
    </bk>
    <bk>
      <extLst>
        <ext uri="{3e2802c4-a4d2-4d8b-9148-e3be6c30e623}">
          <xlrd:rvb i="969"/>
        </ext>
      </extLst>
    </bk>
    <bk>
      <extLst>
        <ext uri="{3e2802c4-a4d2-4d8b-9148-e3be6c30e623}">
          <xlrd:rvb i="970"/>
        </ext>
      </extLst>
    </bk>
    <bk>
      <extLst>
        <ext uri="{3e2802c4-a4d2-4d8b-9148-e3be6c30e623}">
          <xlrd:rvb i="971"/>
        </ext>
      </extLst>
    </bk>
    <bk>
      <extLst>
        <ext uri="{3e2802c4-a4d2-4d8b-9148-e3be6c30e623}">
          <xlrd:rvb i="972"/>
        </ext>
      </extLst>
    </bk>
    <bk>
      <extLst>
        <ext uri="{3e2802c4-a4d2-4d8b-9148-e3be6c30e623}">
          <xlrd:rvb i="973"/>
        </ext>
      </extLst>
    </bk>
    <bk>
      <extLst>
        <ext uri="{3e2802c4-a4d2-4d8b-9148-e3be6c30e623}">
          <xlrd:rvb i="974"/>
        </ext>
      </extLst>
    </bk>
    <bk>
      <extLst>
        <ext uri="{3e2802c4-a4d2-4d8b-9148-e3be6c30e623}">
          <xlrd:rvb i="975"/>
        </ext>
      </extLst>
    </bk>
    <bk>
      <extLst>
        <ext uri="{3e2802c4-a4d2-4d8b-9148-e3be6c30e623}">
          <xlrd:rvb i="976"/>
        </ext>
      </extLst>
    </bk>
    <bk>
      <extLst>
        <ext uri="{3e2802c4-a4d2-4d8b-9148-e3be6c30e623}">
          <xlrd:rvb i="977"/>
        </ext>
      </extLst>
    </bk>
    <bk>
      <extLst>
        <ext uri="{3e2802c4-a4d2-4d8b-9148-e3be6c30e623}">
          <xlrd:rvb i="978"/>
        </ext>
      </extLst>
    </bk>
    <bk>
      <extLst>
        <ext uri="{3e2802c4-a4d2-4d8b-9148-e3be6c30e623}">
          <xlrd:rvb i="979"/>
        </ext>
      </extLst>
    </bk>
    <bk>
      <extLst>
        <ext uri="{3e2802c4-a4d2-4d8b-9148-e3be6c30e623}">
          <xlrd:rvb i="980"/>
        </ext>
      </extLst>
    </bk>
    <bk>
      <extLst>
        <ext uri="{3e2802c4-a4d2-4d8b-9148-e3be6c30e623}">
          <xlrd:rvb i="981"/>
        </ext>
      </extLst>
    </bk>
    <bk>
      <extLst>
        <ext uri="{3e2802c4-a4d2-4d8b-9148-e3be6c30e623}">
          <xlrd:rvb i="982"/>
        </ext>
      </extLst>
    </bk>
    <bk>
      <extLst>
        <ext uri="{3e2802c4-a4d2-4d8b-9148-e3be6c30e623}">
          <xlrd:rvb i="983"/>
        </ext>
      </extLst>
    </bk>
    <bk>
      <extLst>
        <ext uri="{3e2802c4-a4d2-4d8b-9148-e3be6c30e623}">
          <xlrd:rvb i="984"/>
        </ext>
      </extLst>
    </bk>
    <bk>
      <extLst>
        <ext uri="{3e2802c4-a4d2-4d8b-9148-e3be6c30e623}">
          <xlrd:rvb i="985"/>
        </ext>
      </extLst>
    </bk>
    <bk>
      <extLst>
        <ext uri="{3e2802c4-a4d2-4d8b-9148-e3be6c30e623}">
          <xlrd:rvb i="986"/>
        </ext>
      </extLst>
    </bk>
    <bk>
      <extLst>
        <ext uri="{3e2802c4-a4d2-4d8b-9148-e3be6c30e623}">
          <xlrd:rvb i="987"/>
        </ext>
      </extLst>
    </bk>
    <bk>
      <extLst>
        <ext uri="{3e2802c4-a4d2-4d8b-9148-e3be6c30e623}">
          <xlrd:rvb i="988"/>
        </ext>
      </extLst>
    </bk>
    <bk>
      <extLst>
        <ext uri="{3e2802c4-a4d2-4d8b-9148-e3be6c30e623}">
          <xlrd:rvb i="989"/>
        </ext>
      </extLst>
    </bk>
    <bk>
      <extLst>
        <ext uri="{3e2802c4-a4d2-4d8b-9148-e3be6c30e623}">
          <xlrd:rvb i="990"/>
        </ext>
      </extLst>
    </bk>
    <bk>
      <extLst>
        <ext uri="{3e2802c4-a4d2-4d8b-9148-e3be6c30e623}">
          <xlrd:rvb i="991"/>
        </ext>
      </extLst>
    </bk>
    <bk>
      <extLst>
        <ext uri="{3e2802c4-a4d2-4d8b-9148-e3be6c30e623}">
          <xlrd:rvb i="992"/>
        </ext>
      </extLst>
    </bk>
    <bk>
      <extLst>
        <ext uri="{3e2802c4-a4d2-4d8b-9148-e3be6c30e623}">
          <xlrd:rvb i="993"/>
        </ext>
      </extLst>
    </bk>
    <bk>
      <extLst>
        <ext uri="{3e2802c4-a4d2-4d8b-9148-e3be6c30e623}">
          <xlrd:rvb i="994"/>
        </ext>
      </extLst>
    </bk>
    <bk>
      <extLst>
        <ext uri="{3e2802c4-a4d2-4d8b-9148-e3be6c30e623}">
          <xlrd:rvb i="995"/>
        </ext>
      </extLst>
    </bk>
    <bk>
      <extLst>
        <ext uri="{3e2802c4-a4d2-4d8b-9148-e3be6c30e623}">
          <xlrd:rvb i="996"/>
        </ext>
      </extLst>
    </bk>
    <bk>
      <extLst>
        <ext uri="{3e2802c4-a4d2-4d8b-9148-e3be6c30e623}">
          <xlrd:rvb i="997"/>
        </ext>
      </extLst>
    </bk>
    <bk>
      <extLst>
        <ext uri="{3e2802c4-a4d2-4d8b-9148-e3be6c30e623}">
          <xlrd:rvb i="998"/>
        </ext>
      </extLst>
    </bk>
    <bk>
      <extLst>
        <ext uri="{3e2802c4-a4d2-4d8b-9148-e3be6c30e623}">
          <xlrd:rvb i="999"/>
        </ext>
      </extLst>
    </bk>
    <bk>
      <extLst>
        <ext uri="{3e2802c4-a4d2-4d8b-9148-e3be6c30e623}">
          <xlrd:rvb i="1000"/>
        </ext>
      </extLst>
    </bk>
    <bk>
      <extLst>
        <ext uri="{3e2802c4-a4d2-4d8b-9148-e3be6c30e623}">
          <xlrd:rvb i="1001"/>
        </ext>
      </extLst>
    </bk>
    <bk>
      <extLst>
        <ext uri="{3e2802c4-a4d2-4d8b-9148-e3be6c30e623}">
          <xlrd:rvb i="1002"/>
        </ext>
      </extLst>
    </bk>
    <bk>
      <extLst>
        <ext uri="{3e2802c4-a4d2-4d8b-9148-e3be6c30e623}">
          <xlrd:rvb i="1003"/>
        </ext>
      </extLst>
    </bk>
    <bk>
      <extLst>
        <ext uri="{3e2802c4-a4d2-4d8b-9148-e3be6c30e623}">
          <xlrd:rvb i="1004"/>
        </ext>
      </extLst>
    </bk>
    <bk>
      <extLst>
        <ext uri="{3e2802c4-a4d2-4d8b-9148-e3be6c30e623}">
          <xlrd:rvb i="1005"/>
        </ext>
      </extLst>
    </bk>
    <bk>
      <extLst>
        <ext uri="{3e2802c4-a4d2-4d8b-9148-e3be6c30e623}">
          <xlrd:rvb i="1006"/>
        </ext>
      </extLst>
    </bk>
    <bk>
      <extLst>
        <ext uri="{3e2802c4-a4d2-4d8b-9148-e3be6c30e623}">
          <xlrd:rvb i="1007"/>
        </ext>
      </extLst>
    </bk>
    <bk>
      <extLst>
        <ext uri="{3e2802c4-a4d2-4d8b-9148-e3be6c30e623}">
          <xlrd:rvb i="1008"/>
        </ext>
      </extLst>
    </bk>
    <bk>
      <extLst>
        <ext uri="{3e2802c4-a4d2-4d8b-9148-e3be6c30e623}">
          <xlrd:rvb i="1009"/>
        </ext>
      </extLst>
    </bk>
    <bk>
      <extLst>
        <ext uri="{3e2802c4-a4d2-4d8b-9148-e3be6c30e623}">
          <xlrd:rvb i="1010"/>
        </ext>
      </extLst>
    </bk>
    <bk>
      <extLst>
        <ext uri="{3e2802c4-a4d2-4d8b-9148-e3be6c30e623}">
          <xlrd:rvb i="1011"/>
        </ext>
      </extLst>
    </bk>
    <bk>
      <extLst>
        <ext uri="{3e2802c4-a4d2-4d8b-9148-e3be6c30e623}">
          <xlrd:rvb i="1012"/>
        </ext>
      </extLst>
    </bk>
    <bk>
      <extLst>
        <ext uri="{3e2802c4-a4d2-4d8b-9148-e3be6c30e623}">
          <xlrd:rvb i="1013"/>
        </ext>
      </extLst>
    </bk>
    <bk>
      <extLst>
        <ext uri="{3e2802c4-a4d2-4d8b-9148-e3be6c30e623}">
          <xlrd:rvb i="1014"/>
        </ext>
      </extLst>
    </bk>
    <bk>
      <extLst>
        <ext uri="{3e2802c4-a4d2-4d8b-9148-e3be6c30e623}">
          <xlrd:rvb i="1015"/>
        </ext>
      </extLst>
    </bk>
    <bk>
      <extLst>
        <ext uri="{3e2802c4-a4d2-4d8b-9148-e3be6c30e623}">
          <xlrd:rvb i="1016"/>
        </ext>
      </extLst>
    </bk>
    <bk>
      <extLst>
        <ext uri="{3e2802c4-a4d2-4d8b-9148-e3be6c30e623}">
          <xlrd:rvb i="1017"/>
        </ext>
      </extLst>
    </bk>
    <bk>
      <extLst>
        <ext uri="{3e2802c4-a4d2-4d8b-9148-e3be6c30e623}">
          <xlrd:rvb i="1018"/>
        </ext>
      </extLst>
    </bk>
    <bk>
      <extLst>
        <ext uri="{3e2802c4-a4d2-4d8b-9148-e3be6c30e623}">
          <xlrd:rvb i="1019"/>
        </ext>
      </extLst>
    </bk>
    <bk>
      <extLst>
        <ext uri="{3e2802c4-a4d2-4d8b-9148-e3be6c30e623}">
          <xlrd:rvb i="1020"/>
        </ext>
      </extLst>
    </bk>
    <bk>
      <extLst>
        <ext uri="{3e2802c4-a4d2-4d8b-9148-e3be6c30e623}">
          <xlrd:rvb i="1021"/>
        </ext>
      </extLst>
    </bk>
    <bk>
      <extLst>
        <ext uri="{3e2802c4-a4d2-4d8b-9148-e3be6c30e623}">
          <xlrd:rvb i="1022"/>
        </ext>
      </extLst>
    </bk>
    <bk>
      <extLst>
        <ext uri="{3e2802c4-a4d2-4d8b-9148-e3be6c30e623}">
          <xlrd:rvb i="1023"/>
        </ext>
      </extLst>
    </bk>
    <bk>
      <extLst>
        <ext uri="{3e2802c4-a4d2-4d8b-9148-e3be6c30e623}">
          <xlrd:rvb i="1024"/>
        </ext>
      </extLst>
    </bk>
    <bk>
      <extLst>
        <ext uri="{3e2802c4-a4d2-4d8b-9148-e3be6c30e623}">
          <xlrd:rvb i="1025"/>
        </ext>
      </extLst>
    </bk>
    <bk>
      <extLst>
        <ext uri="{3e2802c4-a4d2-4d8b-9148-e3be6c30e623}">
          <xlrd:rvb i="1026"/>
        </ext>
      </extLst>
    </bk>
    <bk>
      <extLst>
        <ext uri="{3e2802c4-a4d2-4d8b-9148-e3be6c30e623}">
          <xlrd:rvb i="1027"/>
        </ext>
      </extLst>
    </bk>
    <bk>
      <extLst>
        <ext uri="{3e2802c4-a4d2-4d8b-9148-e3be6c30e623}">
          <xlrd:rvb i="1028"/>
        </ext>
      </extLst>
    </bk>
    <bk>
      <extLst>
        <ext uri="{3e2802c4-a4d2-4d8b-9148-e3be6c30e623}">
          <xlrd:rvb i="1029"/>
        </ext>
      </extLst>
    </bk>
    <bk>
      <extLst>
        <ext uri="{3e2802c4-a4d2-4d8b-9148-e3be6c30e623}">
          <xlrd:rvb i="1030"/>
        </ext>
      </extLst>
    </bk>
    <bk>
      <extLst>
        <ext uri="{3e2802c4-a4d2-4d8b-9148-e3be6c30e623}">
          <xlrd:rvb i="1031"/>
        </ext>
      </extLst>
    </bk>
    <bk>
      <extLst>
        <ext uri="{3e2802c4-a4d2-4d8b-9148-e3be6c30e623}">
          <xlrd:rvb i="1032"/>
        </ext>
      </extLst>
    </bk>
    <bk>
      <extLst>
        <ext uri="{3e2802c4-a4d2-4d8b-9148-e3be6c30e623}">
          <xlrd:rvb i="1033"/>
        </ext>
      </extLst>
    </bk>
    <bk>
      <extLst>
        <ext uri="{3e2802c4-a4d2-4d8b-9148-e3be6c30e623}">
          <xlrd:rvb i="1034"/>
        </ext>
      </extLst>
    </bk>
    <bk>
      <extLst>
        <ext uri="{3e2802c4-a4d2-4d8b-9148-e3be6c30e623}">
          <xlrd:rvb i="1035"/>
        </ext>
      </extLst>
    </bk>
    <bk>
      <extLst>
        <ext uri="{3e2802c4-a4d2-4d8b-9148-e3be6c30e623}">
          <xlrd:rvb i="1036"/>
        </ext>
      </extLst>
    </bk>
    <bk>
      <extLst>
        <ext uri="{3e2802c4-a4d2-4d8b-9148-e3be6c30e623}">
          <xlrd:rvb i="1037"/>
        </ext>
      </extLst>
    </bk>
    <bk>
      <extLst>
        <ext uri="{3e2802c4-a4d2-4d8b-9148-e3be6c30e623}">
          <xlrd:rvb i="1038"/>
        </ext>
      </extLst>
    </bk>
    <bk>
      <extLst>
        <ext uri="{3e2802c4-a4d2-4d8b-9148-e3be6c30e623}">
          <xlrd:rvb i="1039"/>
        </ext>
      </extLst>
    </bk>
    <bk>
      <extLst>
        <ext uri="{3e2802c4-a4d2-4d8b-9148-e3be6c30e623}">
          <xlrd:rvb i="1040"/>
        </ext>
      </extLst>
    </bk>
    <bk>
      <extLst>
        <ext uri="{3e2802c4-a4d2-4d8b-9148-e3be6c30e623}">
          <xlrd:rvb i="1041"/>
        </ext>
      </extLst>
    </bk>
    <bk>
      <extLst>
        <ext uri="{3e2802c4-a4d2-4d8b-9148-e3be6c30e623}">
          <xlrd:rvb i="1042"/>
        </ext>
      </extLst>
    </bk>
    <bk>
      <extLst>
        <ext uri="{3e2802c4-a4d2-4d8b-9148-e3be6c30e623}">
          <xlrd:rvb i="1043"/>
        </ext>
      </extLst>
    </bk>
    <bk>
      <extLst>
        <ext uri="{3e2802c4-a4d2-4d8b-9148-e3be6c30e623}">
          <xlrd:rvb i="1044"/>
        </ext>
      </extLst>
    </bk>
    <bk>
      <extLst>
        <ext uri="{3e2802c4-a4d2-4d8b-9148-e3be6c30e623}">
          <xlrd:rvb i="1045"/>
        </ext>
      </extLst>
    </bk>
    <bk>
      <extLst>
        <ext uri="{3e2802c4-a4d2-4d8b-9148-e3be6c30e623}">
          <xlrd:rvb i="1046"/>
        </ext>
      </extLst>
    </bk>
    <bk>
      <extLst>
        <ext uri="{3e2802c4-a4d2-4d8b-9148-e3be6c30e623}">
          <xlrd:rvb i="1047"/>
        </ext>
      </extLst>
    </bk>
    <bk>
      <extLst>
        <ext uri="{3e2802c4-a4d2-4d8b-9148-e3be6c30e623}">
          <xlrd:rvb i="1048"/>
        </ext>
      </extLst>
    </bk>
    <bk>
      <extLst>
        <ext uri="{3e2802c4-a4d2-4d8b-9148-e3be6c30e623}">
          <xlrd:rvb i="1049"/>
        </ext>
      </extLst>
    </bk>
    <bk>
      <extLst>
        <ext uri="{3e2802c4-a4d2-4d8b-9148-e3be6c30e623}">
          <xlrd:rvb i="1050"/>
        </ext>
      </extLst>
    </bk>
    <bk>
      <extLst>
        <ext uri="{3e2802c4-a4d2-4d8b-9148-e3be6c30e623}">
          <xlrd:rvb i="1051"/>
        </ext>
      </extLst>
    </bk>
    <bk>
      <extLst>
        <ext uri="{3e2802c4-a4d2-4d8b-9148-e3be6c30e623}">
          <xlrd:rvb i="1052"/>
        </ext>
      </extLst>
    </bk>
    <bk>
      <extLst>
        <ext uri="{3e2802c4-a4d2-4d8b-9148-e3be6c30e623}">
          <xlrd:rvb i="1053"/>
        </ext>
      </extLst>
    </bk>
    <bk>
      <extLst>
        <ext uri="{3e2802c4-a4d2-4d8b-9148-e3be6c30e623}">
          <xlrd:rvb i="1054"/>
        </ext>
      </extLst>
    </bk>
    <bk>
      <extLst>
        <ext uri="{3e2802c4-a4d2-4d8b-9148-e3be6c30e623}">
          <xlrd:rvb i="1055"/>
        </ext>
      </extLst>
    </bk>
    <bk>
      <extLst>
        <ext uri="{3e2802c4-a4d2-4d8b-9148-e3be6c30e623}">
          <xlrd:rvb i="1056"/>
        </ext>
      </extLst>
    </bk>
    <bk>
      <extLst>
        <ext uri="{3e2802c4-a4d2-4d8b-9148-e3be6c30e623}">
          <xlrd:rvb i="1057"/>
        </ext>
      </extLst>
    </bk>
    <bk>
      <extLst>
        <ext uri="{3e2802c4-a4d2-4d8b-9148-e3be6c30e623}">
          <xlrd:rvb i="1058"/>
        </ext>
      </extLst>
    </bk>
    <bk>
      <extLst>
        <ext uri="{3e2802c4-a4d2-4d8b-9148-e3be6c30e623}">
          <xlrd:rvb i="1059"/>
        </ext>
      </extLst>
    </bk>
    <bk>
      <extLst>
        <ext uri="{3e2802c4-a4d2-4d8b-9148-e3be6c30e623}">
          <xlrd:rvb i="1060"/>
        </ext>
      </extLst>
    </bk>
    <bk>
      <extLst>
        <ext uri="{3e2802c4-a4d2-4d8b-9148-e3be6c30e623}">
          <xlrd:rvb i="1061"/>
        </ext>
      </extLst>
    </bk>
    <bk>
      <extLst>
        <ext uri="{3e2802c4-a4d2-4d8b-9148-e3be6c30e623}">
          <xlrd:rvb i="1062"/>
        </ext>
      </extLst>
    </bk>
    <bk>
      <extLst>
        <ext uri="{3e2802c4-a4d2-4d8b-9148-e3be6c30e623}">
          <xlrd:rvb i="1063"/>
        </ext>
      </extLst>
    </bk>
    <bk>
      <extLst>
        <ext uri="{3e2802c4-a4d2-4d8b-9148-e3be6c30e623}">
          <xlrd:rvb i="1064"/>
        </ext>
      </extLst>
    </bk>
    <bk>
      <extLst>
        <ext uri="{3e2802c4-a4d2-4d8b-9148-e3be6c30e623}">
          <xlrd:rvb i="1065"/>
        </ext>
      </extLst>
    </bk>
    <bk>
      <extLst>
        <ext uri="{3e2802c4-a4d2-4d8b-9148-e3be6c30e623}">
          <xlrd:rvb i="1066"/>
        </ext>
      </extLst>
    </bk>
    <bk>
      <extLst>
        <ext uri="{3e2802c4-a4d2-4d8b-9148-e3be6c30e623}">
          <xlrd:rvb i="1067"/>
        </ext>
      </extLst>
    </bk>
    <bk>
      <extLst>
        <ext uri="{3e2802c4-a4d2-4d8b-9148-e3be6c30e623}">
          <xlrd:rvb i="1068"/>
        </ext>
      </extLst>
    </bk>
    <bk>
      <extLst>
        <ext uri="{3e2802c4-a4d2-4d8b-9148-e3be6c30e623}">
          <xlrd:rvb i="1069"/>
        </ext>
      </extLst>
    </bk>
    <bk>
      <extLst>
        <ext uri="{3e2802c4-a4d2-4d8b-9148-e3be6c30e623}">
          <xlrd:rvb i="1070"/>
        </ext>
      </extLst>
    </bk>
    <bk>
      <extLst>
        <ext uri="{3e2802c4-a4d2-4d8b-9148-e3be6c30e623}">
          <xlrd:rvb i="1071"/>
        </ext>
      </extLst>
    </bk>
    <bk>
      <extLst>
        <ext uri="{3e2802c4-a4d2-4d8b-9148-e3be6c30e623}">
          <xlrd:rvb i="1072"/>
        </ext>
      </extLst>
    </bk>
    <bk>
      <extLst>
        <ext uri="{3e2802c4-a4d2-4d8b-9148-e3be6c30e623}">
          <xlrd:rvb i="1073"/>
        </ext>
      </extLst>
    </bk>
    <bk>
      <extLst>
        <ext uri="{3e2802c4-a4d2-4d8b-9148-e3be6c30e623}">
          <xlrd:rvb i="1074"/>
        </ext>
      </extLst>
    </bk>
    <bk>
      <extLst>
        <ext uri="{3e2802c4-a4d2-4d8b-9148-e3be6c30e623}">
          <xlrd:rvb i="1075"/>
        </ext>
      </extLst>
    </bk>
    <bk>
      <extLst>
        <ext uri="{3e2802c4-a4d2-4d8b-9148-e3be6c30e623}">
          <xlrd:rvb i="1076"/>
        </ext>
      </extLst>
    </bk>
    <bk>
      <extLst>
        <ext uri="{3e2802c4-a4d2-4d8b-9148-e3be6c30e623}">
          <xlrd:rvb i="1077"/>
        </ext>
      </extLst>
    </bk>
    <bk>
      <extLst>
        <ext uri="{3e2802c4-a4d2-4d8b-9148-e3be6c30e623}">
          <xlrd:rvb i="1078"/>
        </ext>
      </extLst>
    </bk>
    <bk>
      <extLst>
        <ext uri="{3e2802c4-a4d2-4d8b-9148-e3be6c30e623}">
          <xlrd:rvb i="1079"/>
        </ext>
      </extLst>
    </bk>
    <bk>
      <extLst>
        <ext uri="{3e2802c4-a4d2-4d8b-9148-e3be6c30e623}">
          <xlrd:rvb i="1080"/>
        </ext>
      </extLst>
    </bk>
    <bk>
      <extLst>
        <ext uri="{3e2802c4-a4d2-4d8b-9148-e3be6c30e623}">
          <xlrd:rvb i="1081"/>
        </ext>
      </extLst>
    </bk>
    <bk>
      <extLst>
        <ext uri="{3e2802c4-a4d2-4d8b-9148-e3be6c30e623}">
          <xlrd:rvb i="1082"/>
        </ext>
      </extLst>
    </bk>
    <bk>
      <extLst>
        <ext uri="{3e2802c4-a4d2-4d8b-9148-e3be6c30e623}">
          <xlrd:rvb i="1083"/>
        </ext>
      </extLst>
    </bk>
    <bk>
      <extLst>
        <ext uri="{3e2802c4-a4d2-4d8b-9148-e3be6c30e623}">
          <xlrd:rvb i="1084"/>
        </ext>
      </extLst>
    </bk>
    <bk>
      <extLst>
        <ext uri="{3e2802c4-a4d2-4d8b-9148-e3be6c30e623}">
          <xlrd:rvb i="1085"/>
        </ext>
      </extLst>
    </bk>
    <bk>
      <extLst>
        <ext uri="{3e2802c4-a4d2-4d8b-9148-e3be6c30e623}">
          <xlrd:rvb i="1086"/>
        </ext>
      </extLst>
    </bk>
    <bk>
      <extLst>
        <ext uri="{3e2802c4-a4d2-4d8b-9148-e3be6c30e623}">
          <xlrd:rvb i="1087"/>
        </ext>
      </extLst>
    </bk>
    <bk>
      <extLst>
        <ext uri="{3e2802c4-a4d2-4d8b-9148-e3be6c30e623}">
          <xlrd:rvb i="1088"/>
        </ext>
      </extLst>
    </bk>
    <bk>
      <extLst>
        <ext uri="{3e2802c4-a4d2-4d8b-9148-e3be6c30e623}">
          <xlrd:rvb i="1089"/>
        </ext>
      </extLst>
    </bk>
    <bk>
      <extLst>
        <ext uri="{3e2802c4-a4d2-4d8b-9148-e3be6c30e623}">
          <xlrd:rvb i="1090"/>
        </ext>
      </extLst>
    </bk>
    <bk>
      <extLst>
        <ext uri="{3e2802c4-a4d2-4d8b-9148-e3be6c30e623}">
          <xlrd:rvb i="1091"/>
        </ext>
      </extLst>
    </bk>
    <bk>
      <extLst>
        <ext uri="{3e2802c4-a4d2-4d8b-9148-e3be6c30e623}">
          <xlrd:rvb i="1092"/>
        </ext>
      </extLst>
    </bk>
    <bk>
      <extLst>
        <ext uri="{3e2802c4-a4d2-4d8b-9148-e3be6c30e623}">
          <xlrd:rvb i="1093"/>
        </ext>
      </extLst>
    </bk>
    <bk>
      <extLst>
        <ext uri="{3e2802c4-a4d2-4d8b-9148-e3be6c30e623}">
          <xlrd:rvb i="1094"/>
        </ext>
      </extLst>
    </bk>
    <bk>
      <extLst>
        <ext uri="{3e2802c4-a4d2-4d8b-9148-e3be6c30e623}">
          <xlrd:rvb i="1095"/>
        </ext>
      </extLst>
    </bk>
    <bk>
      <extLst>
        <ext uri="{3e2802c4-a4d2-4d8b-9148-e3be6c30e623}">
          <xlrd:rvb i="1096"/>
        </ext>
      </extLst>
    </bk>
    <bk>
      <extLst>
        <ext uri="{3e2802c4-a4d2-4d8b-9148-e3be6c30e623}">
          <xlrd:rvb i="1097"/>
        </ext>
      </extLst>
    </bk>
    <bk>
      <extLst>
        <ext uri="{3e2802c4-a4d2-4d8b-9148-e3be6c30e623}">
          <xlrd:rvb i="1098"/>
        </ext>
      </extLst>
    </bk>
    <bk>
      <extLst>
        <ext uri="{3e2802c4-a4d2-4d8b-9148-e3be6c30e623}">
          <xlrd:rvb i="1099"/>
        </ext>
      </extLst>
    </bk>
    <bk>
      <extLst>
        <ext uri="{3e2802c4-a4d2-4d8b-9148-e3be6c30e623}">
          <xlrd:rvb i="1100"/>
        </ext>
      </extLst>
    </bk>
    <bk>
      <extLst>
        <ext uri="{3e2802c4-a4d2-4d8b-9148-e3be6c30e623}">
          <xlrd:rvb i="1101"/>
        </ext>
      </extLst>
    </bk>
    <bk>
      <extLst>
        <ext uri="{3e2802c4-a4d2-4d8b-9148-e3be6c30e623}">
          <xlrd:rvb i="1102"/>
        </ext>
      </extLst>
    </bk>
    <bk>
      <extLst>
        <ext uri="{3e2802c4-a4d2-4d8b-9148-e3be6c30e623}">
          <xlrd:rvb i="1103"/>
        </ext>
      </extLst>
    </bk>
    <bk>
      <extLst>
        <ext uri="{3e2802c4-a4d2-4d8b-9148-e3be6c30e623}">
          <xlrd:rvb i="1104"/>
        </ext>
      </extLst>
    </bk>
    <bk>
      <extLst>
        <ext uri="{3e2802c4-a4d2-4d8b-9148-e3be6c30e623}">
          <xlrd:rvb i="1105"/>
        </ext>
      </extLst>
    </bk>
    <bk>
      <extLst>
        <ext uri="{3e2802c4-a4d2-4d8b-9148-e3be6c30e623}">
          <xlrd:rvb i="1106"/>
        </ext>
      </extLst>
    </bk>
    <bk>
      <extLst>
        <ext uri="{3e2802c4-a4d2-4d8b-9148-e3be6c30e623}">
          <xlrd:rvb i="1107"/>
        </ext>
      </extLst>
    </bk>
    <bk>
      <extLst>
        <ext uri="{3e2802c4-a4d2-4d8b-9148-e3be6c30e623}">
          <xlrd:rvb i="1108"/>
        </ext>
      </extLst>
    </bk>
    <bk>
      <extLst>
        <ext uri="{3e2802c4-a4d2-4d8b-9148-e3be6c30e623}">
          <xlrd:rvb i="1109"/>
        </ext>
      </extLst>
    </bk>
    <bk>
      <extLst>
        <ext uri="{3e2802c4-a4d2-4d8b-9148-e3be6c30e623}">
          <xlrd:rvb i="1110"/>
        </ext>
      </extLst>
    </bk>
    <bk>
      <extLst>
        <ext uri="{3e2802c4-a4d2-4d8b-9148-e3be6c30e623}">
          <xlrd:rvb i="1111"/>
        </ext>
      </extLst>
    </bk>
    <bk>
      <extLst>
        <ext uri="{3e2802c4-a4d2-4d8b-9148-e3be6c30e623}">
          <xlrd:rvb i="1112"/>
        </ext>
      </extLst>
    </bk>
    <bk>
      <extLst>
        <ext uri="{3e2802c4-a4d2-4d8b-9148-e3be6c30e623}">
          <xlrd:rvb i="1113"/>
        </ext>
      </extLst>
    </bk>
    <bk>
      <extLst>
        <ext uri="{3e2802c4-a4d2-4d8b-9148-e3be6c30e623}">
          <xlrd:rvb i="1114"/>
        </ext>
      </extLst>
    </bk>
    <bk>
      <extLst>
        <ext uri="{3e2802c4-a4d2-4d8b-9148-e3be6c30e623}">
          <xlrd:rvb i="1115"/>
        </ext>
      </extLst>
    </bk>
    <bk>
      <extLst>
        <ext uri="{3e2802c4-a4d2-4d8b-9148-e3be6c30e623}">
          <xlrd:rvb i="1116"/>
        </ext>
      </extLst>
    </bk>
    <bk>
      <extLst>
        <ext uri="{3e2802c4-a4d2-4d8b-9148-e3be6c30e623}">
          <xlrd:rvb i="1117"/>
        </ext>
      </extLst>
    </bk>
    <bk>
      <extLst>
        <ext uri="{3e2802c4-a4d2-4d8b-9148-e3be6c30e623}">
          <xlrd:rvb i="1118"/>
        </ext>
      </extLst>
    </bk>
    <bk>
      <extLst>
        <ext uri="{3e2802c4-a4d2-4d8b-9148-e3be6c30e623}">
          <xlrd:rvb i="1119"/>
        </ext>
      </extLst>
    </bk>
    <bk>
      <extLst>
        <ext uri="{3e2802c4-a4d2-4d8b-9148-e3be6c30e623}">
          <xlrd:rvb i="1120"/>
        </ext>
      </extLst>
    </bk>
    <bk>
      <extLst>
        <ext uri="{3e2802c4-a4d2-4d8b-9148-e3be6c30e623}">
          <xlrd:rvb i="1121"/>
        </ext>
      </extLst>
    </bk>
    <bk>
      <extLst>
        <ext uri="{3e2802c4-a4d2-4d8b-9148-e3be6c30e623}">
          <xlrd:rvb i="1122"/>
        </ext>
      </extLst>
    </bk>
    <bk>
      <extLst>
        <ext uri="{3e2802c4-a4d2-4d8b-9148-e3be6c30e623}">
          <xlrd:rvb i="1123"/>
        </ext>
      </extLst>
    </bk>
    <bk>
      <extLst>
        <ext uri="{3e2802c4-a4d2-4d8b-9148-e3be6c30e623}">
          <xlrd:rvb i="1124"/>
        </ext>
      </extLst>
    </bk>
    <bk>
      <extLst>
        <ext uri="{3e2802c4-a4d2-4d8b-9148-e3be6c30e623}">
          <xlrd:rvb i="1125"/>
        </ext>
      </extLst>
    </bk>
    <bk>
      <extLst>
        <ext uri="{3e2802c4-a4d2-4d8b-9148-e3be6c30e623}">
          <xlrd:rvb i="1126"/>
        </ext>
      </extLst>
    </bk>
    <bk>
      <extLst>
        <ext uri="{3e2802c4-a4d2-4d8b-9148-e3be6c30e623}">
          <xlrd:rvb i="1127"/>
        </ext>
      </extLst>
    </bk>
    <bk>
      <extLst>
        <ext uri="{3e2802c4-a4d2-4d8b-9148-e3be6c30e623}">
          <xlrd:rvb i="1128"/>
        </ext>
      </extLst>
    </bk>
    <bk>
      <extLst>
        <ext uri="{3e2802c4-a4d2-4d8b-9148-e3be6c30e623}">
          <xlrd:rvb i="1129"/>
        </ext>
      </extLst>
    </bk>
    <bk>
      <extLst>
        <ext uri="{3e2802c4-a4d2-4d8b-9148-e3be6c30e623}">
          <xlrd:rvb i="1130"/>
        </ext>
      </extLst>
    </bk>
    <bk>
      <extLst>
        <ext uri="{3e2802c4-a4d2-4d8b-9148-e3be6c30e623}">
          <xlrd:rvb i="1131"/>
        </ext>
      </extLst>
    </bk>
    <bk>
      <extLst>
        <ext uri="{3e2802c4-a4d2-4d8b-9148-e3be6c30e623}">
          <xlrd:rvb i="1132"/>
        </ext>
      </extLst>
    </bk>
    <bk>
      <extLst>
        <ext uri="{3e2802c4-a4d2-4d8b-9148-e3be6c30e623}">
          <xlrd:rvb i="1133"/>
        </ext>
      </extLst>
    </bk>
    <bk>
      <extLst>
        <ext uri="{3e2802c4-a4d2-4d8b-9148-e3be6c30e623}">
          <xlrd:rvb i="1134"/>
        </ext>
      </extLst>
    </bk>
    <bk>
      <extLst>
        <ext uri="{3e2802c4-a4d2-4d8b-9148-e3be6c30e623}">
          <xlrd:rvb i="1135"/>
        </ext>
      </extLst>
    </bk>
    <bk>
      <extLst>
        <ext uri="{3e2802c4-a4d2-4d8b-9148-e3be6c30e623}">
          <xlrd:rvb i="1136"/>
        </ext>
      </extLst>
    </bk>
    <bk>
      <extLst>
        <ext uri="{3e2802c4-a4d2-4d8b-9148-e3be6c30e623}">
          <xlrd:rvb i="1137"/>
        </ext>
      </extLst>
    </bk>
    <bk>
      <extLst>
        <ext uri="{3e2802c4-a4d2-4d8b-9148-e3be6c30e623}">
          <xlrd:rvb i="1138"/>
        </ext>
      </extLst>
    </bk>
    <bk>
      <extLst>
        <ext uri="{3e2802c4-a4d2-4d8b-9148-e3be6c30e623}">
          <xlrd:rvb i="1139"/>
        </ext>
      </extLst>
    </bk>
    <bk>
      <extLst>
        <ext uri="{3e2802c4-a4d2-4d8b-9148-e3be6c30e623}">
          <xlrd:rvb i="1140"/>
        </ext>
      </extLst>
    </bk>
    <bk>
      <extLst>
        <ext uri="{3e2802c4-a4d2-4d8b-9148-e3be6c30e623}">
          <xlrd:rvb i="1141"/>
        </ext>
      </extLst>
    </bk>
    <bk>
      <extLst>
        <ext uri="{3e2802c4-a4d2-4d8b-9148-e3be6c30e623}">
          <xlrd:rvb i="1142"/>
        </ext>
      </extLst>
    </bk>
    <bk>
      <extLst>
        <ext uri="{3e2802c4-a4d2-4d8b-9148-e3be6c30e623}">
          <xlrd:rvb i="1143"/>
        </ext>
      </extLst>
    </bk>
    <bk>
      <extLst>
        <ext uri="{3e2802c4-a4d2-4d8b-9148-e3be6c30e623}">
          <xlrd:rvb i="1144"/>
        </ext>
      </extLst>
    </bk>
    <bk>
      <extLst>
        <ext uri="{3e2802c4-a4d2-4d8b-9148-e3be6c30e623}">
          <xlrd:rvb i="1145"/>
        </ext>
      </extLst>
    </bk>
    <bk>
      <extLst>
        <ext uri="{3e2802c4-a4d2-4d8b-9148-e3be6c30e623}">
          <xlrd:rvb i="1146"/>
        </ext>
      </extLst>
    </bk>
    <bk>
      <extLst>
        <ext uri="{3e2802c4-a4d2-4d8b-9148-e3be6c30e623}">
          <xlrd:rvb i="1147"/>
        </ext>
      </extLst>
    </bk>
    <bk>
      <extLst>
        <ext uri="{3e2802c4-a4d2-4d8b-9148-e3be6c30e623}">
          <xlrd:rvb i="1148"/>
        </ext>
      </extLst>
    </bk>
    <bk>
      <extLst>
        <ext uri="{3e2802c4-a4d2-4d8b-9148-e3be6c30e623}">
          <xlrd:rvb i="1149"/>
        </ext>
      </extLst>
    </bk>
    <bk>
      <extLst>
        <ext uri="{3e2802c4-a4d2-4d8b-9148-e3be6c30e623}">
          <xlrd:rvb i="1150"/>
        </ext>
      </extLst>
    </bk>
    <bk>
      <extLst>
        <ext uri="{3e2802c4-a4d2-4d8b-9148-e3be6c30e623}">
          <xlrd:rvb i="1151"/>
        </ext>
      </extLst>
    </bk>
    <bk>
      <extLst>
        <ext uri="{3e2802c4-a4d2-4d8b-9148-e3be6c30e623}">
          <xlrd:rvb i="1152"/>
        </ext>
      </extLst>
    </bk>
    <bk>
      <extLst>
        <ext uri="{3e2802c4-a4d2-4d8b-9148-e3be6c30e623}">
          <xlrd:rvb i="1153"/>
        </ext>
      </extLst>
    </bk>
    <bk>
      <extLst>
        <ext uri="{3e2802c4-a4d2-4d8b-9148-e3be6c30e623}">
          <xlrd:rvb i="1154"/>
        </ext>
      </extLst>
    </bk>
    <bk>
      <extLst>
        <ext uri="{3e2802c4-a4d2-4d8b-9148-e3be6c30e623}">
          <xlrd:rvb i="1155"/>
        </ext>
      </extLst>
    </bk>
    <bk>
      <extLst>
        <ext uri="{3e2802c4-a4d2-4d8b-9148-e3be6c30e623}">
          <xlrd:rvb i="1156"/>
        </ext>
      </extLst>
    </bk>
    <bk>
      <extLst>
        <ext uri="{3e2802c4-a4d2-4d8b-9148-e3be6c30e623}">
          <xlrd:rvb i="1157"/>
        </ext>
      </extLst>
    </bk>
    <bk>
      <extLst>
        <ext uri="{3e2802c4-a4d2-4d8b-9148-e3be6c30e623}">
          <xlrd:rvb i="1158"/>
        </ext>
      </extLst>
    </bk>
    <bk>
      <extLst>
        <ext uri="{3e2802c4-a4d2-4d8b-9148-e3be6c30e623}">
          <xlrd:rvb i="1159"/>
        </ext>
      </extLst>
    </bk>
    <bk>
      <extLst>
        <ext uri="{3e2802c4-a4d2-4d8b-9148-e3be6c30e623}">
          <xlrd:rvb i="1160"/>
        </ext>
      </extLst>
    </bk>
    <bk>
      <extLst>
        <ext uri="{3e2802c4-a4d2-4d8b-9148-e3be6c30e623}">
          <xlrd:rvb i="1161"/>
        </ext>
      </extLst>
    </bk>
    <bk>
      <extLst>
        <ext uri="{3e2802c4-a4d2-4d8b-9148-e3be6c30e623}">
          <xlrd:rvb i="1162"/>
        </ext>
      </extLst>
    </bk>
    <bk>
      <extLst>
        <ext uri="{3e2802c4-a4d2-4d8b-9148-e3be6c30e623}">
          <xlrd:rvb i="1163"/>
        </ext>
      </extLst>
    </bk>
    <bk>
      <extLst>
        <ext uri="{3e2802c4-a4d2-4d8b-9148-e3be6c30e623}">
          <xlrd:rvb i="1164"/>
        </ext>
      </extLst>
    </bk>
    <bk>
      <extLst>
        <ext uri="{3e2802c4-a4d2-4d8b-9148-e3be6c30e623}">
          <xlrd:rvb i="1165"/>
        </ext>
      </extLst>
    </bk>
    <bk>
      <extLst>
        <ext uri="{3e2802c4-a4d2-4d8b-9148-e3be6c30e623}">
          <xlrd:rvb i="1166"/>
        </ext>
      </extLst>
    </bk>
    <bk>
      <extLst>
        <ext uri="{3e2802c4-a4d2-4d8b-9148-e3be6c30e623}">
          <xlrd:rvb i="1167"/>
        </ext>
      </extLst>
    </bk>
    <bk>
      <extLst>
        <ext uri="{3e2802c4-a4d2-4d8b-9148-e3be6c30e623}">
          <xlrd:rvb i="1168"/>
        </ext>
      </extLst>
    </bk>
    <bk>
      <extLst>
        <ext uri="{3e2802c4-a4d2-4d8b-9148-e3be6c30e623}">
          <xlrd:rvb i="1169"/>
        </ext>
      </extLst>
    </bk>
    <bk>
      <extLst>
        <ext uri="{3e2802c4-a4d2-4d8b-9148-e3be6c30e623}">
          <xlrd:rvb i="1170"/>
        </ext>
      </extLst>
    </bk>
    <bk>
      <extLst>
        <ext uri="{3e2802c4-a4d2-4d8b-9148-e3be6c30e623}">
          <xlrd:rvb i="1171"/>
        </ext>
      </extLst>
    </bk>
    <bk>
      <extLst>
        <ext uri="{3e2802c4-a4d2-4d8b-9148-e3be6c30e623}">
          <xlrd:rvb i="1172"/>
        </ext>
      </extLst>
    </bk>
    <bk>
      <extLst>
        <ext uri="{3e2802c4-a4d2-4d8b-9148-e3be6c30e623}">
          <xlrd:rvb i="1173"/>
        </ext>
      </extLst>
    </bk>
    <bk>
      <extLst>
        <ext uri="{3e2802c4-a4d2-4d8b-9148-e3be6c30e623}">
          <xlrd:rvb i="1174"/>
        </ext>
      </extLst>
    </bk>
    <bk>
      <extLst>
        <ext uri="{3e2802c4-a4d2-4d8b-9148-e3be6c30e623}">
          <xlrd:rvb i="1175"/>
        </ext>
      </extLst>
    </bk>
    <bk>
      <extLst>
        <ext uri="{3e2802c4-a4d2-4d8b-9148-e3be6c30e623}">
          <xlrd:rvb i="1176"/>
        </ext>
      </extLst>
    </bk>
    <bk>
      <extLst>
        <ext uri="{3e2802c4-a4d2-4d8b-9148-e3be6c30e623}">
          <xlrd:rvb i="1177"/>
        </ext>
      </extLst>
    </bk>
    <bk>
      <extLst>
        <ext uri="{3e2802c4-a4d2-4d8b-9148-e3be6c30e623}">
          <xlrd:rvb i="1178"/>
        </ext>
      </extLst>
    </bk>
    <bk>
      <extLst>
        <ext uri="{3e2802c4-a4d2-4d8b-9148-e3be6c30e623}">
          <xlrd:rvb i="1179"/>
        </ext>
      </extLst>
    </bk>
    <bk>
      <extLst>
        <ext uri="{3e2802c4-a4d2-4d8b-9148-e3be6c30e623}">
          <xlrd:rvb i="1180"/>
        </ext>
      </extLst>
    </bk>
    <bk>
      <extLst>
        <ext uri="{3e2802c4-a4d2-4d8b-9148-e3be6c30e623}">
          <xlrd:rvb i="1181"/>
        </ext>
      </extLst>
    </bk>
    <bk>
      <extLst>
        <ext uri="{3e2802c4-a4d2-4d8b-9148-e3be6c30e623}">
          <xlrd:rvb i="1182"/>
        </ext>
      </extLst>
    </bk>
    <bk>
      <extLst>
        <ext uri="{3e2802c4-a4d2-4d8b-9148-e3be6c30e623}">
          <xlrd:rvb i="1183"/>
        </ext>
      </extLst>
    </bk>
    <bk>
      <extLst>
        <ext uri="{3e2802c4-a4d2-4d8b-9148-e3be6c30e623}">
          <xlrd:rvb i="1184"/>
        </ext>
      </extLst>
    </bk>
    <bk>
      <extLst>
        <ext uri="{3e2802c4-a4d2-4d8b-9148-e3be6c30e623}">
          <xlrd:rvb i="1185"/>
        </ext>
      </extLst>
    </bk>
    <bk>
      <extLst>
        <ext uri="{3e2802c4-a4d2-4d8b-9148-e3be6c30e623}">
          <xlrd:rvb i="1186"/>
        </ext>
      </extLst>
    </bk>
    <bk>
      <extLst>
        <ext uri="{3e2802c4-a4d2-4d8b-9148-e3be6c30e623}">
          <xlrd:rvb i="1187"/>
        </ext>
      </extLst>
    </bk>
    <bk>
      <extLst>
        <ext uri="{3e2802c4-a4d2-4d8b-9148-e3be6c30e623}">
          <xlrd:rvb i="1188"/>
        </ext>
      </extLst>
    </bk>
    <bk>
      <extLst>
        <ext uri="{3e2802c4-a4d2-4d8b-9148-e3be6c30e623}">
          <xlrd:rvb i="1189"/>
        </ext>
      </extLst>
    </bk>
    <bk>
      <extLst>
        <ext uri="{3e2802c4-a4d2-4d8b-9148-e3be6c30e623}">
          <xlrd:rvb i="1190"/>
        </ext>
      </extLst>
    </bk>
    <bk>
      <extLst>
        <ext uri="{3e2802c4-a4d2-4d8b-9148-e3be6c30e623}">
          <xlrd:rvb i="1191"/>
        </ext>
      </extLst>
    </bk>
    <bk>
      <extLst>
        <ext uri="{3e2802c4-a4d2-4d8b-9148-e3be6c30e623}">
          <xlrd:rvb i="1192"/>
        </ext>
      </extLst>
    </bk>
    <bk>
      <extLst>
        <ext uri="{3e2802c4-a4d2-4d8b-9148-e3be6c30e623}">
          <xlrd:rvb i="1193"/>
        </ext>
      </extLst>
    </bk>
    <bk>
      <extLst>
        <ext uri="{3e2802c4-a4d2-4d8b-9148-e3be6c30e623}">
          <xlrd:rvb i="1194"/>
        </ext>
      </extLst>
    </bk>
    <bk>
      <extLst>
        <ext uri="{3e2802c4-a4d2-4d8b-9148-e3be6c30e623}">
          <xlrd:rvb i="1195"/>
        </ext>
      </extLst>
    </bk>
    <bk>
      <extLst>
        <ext uri="{3e2802c4-a4d2-4d8b-9148-e3be6c30e623}">
          <xlrd:rvb i="1196"/>
        </ext>
      </extLst>
    </bk>
    <bk>
      <extLst>
        <ext uri="{3e2802c4-a4d2-4d8b-9148-e3be6c30e623}">
          <xlrd:rvb i="1197"/>
        </ext>
      </extLst>
    </bk>
    <bk>
      <extLst>
        <ext uri="{3e2802c4-a4d2-4d8b-9148-e3be6c30e623}">
          <xlrd:rvb i="1198"/>
        </ext>
      </extLst>
    </bk>
    <bk>
      <extLst>
        <ext uri="{3e2802c4-a4d2-4d8b-9148-e3be6c30e623}">
          <xlrd:rvb i="1199"/>
        </ext>
      </extLst>
    </bk>
    <bk>
      <extLst>
        <ext uri="{3e2802c4-a4d2-4d8b-9148-e3be6c30e623}">
          <xlrd:rvb i="1200"/>
        </ext>
      </extLst>
    </bk>
    <bk>
      <extLst>
        <ext uri="{3e2802c4-a4d2-4d8b-9148-e3be6c30e623}">
          <xlrd:rvb i="1201"/>
        </ext>
      </extLst>
    </bk>
    <bk>
      <extLst>
        <ext uri="{3e2802c4-a4d2-4d8b-9148-e3be6c30e623}">
          <xlrd:rvb i="1202"/>
        </ext>
      </extLst>
    </bk>
    <bk>
      <extLst>
        <ext uri="{3e2802c4-a4d2-4d8b-9148-e3be6c30e623}">
          <xlrd:rvb i="1203"/>
        </ext>
      </extLst>
    </bk>
    <bk>
      <extLst>
        <ext uri="{3e2802c4-a4d2-4d8b-9148-e3be6c30e623}">
          <xlrd:rvb i="1204"/>
        </ext>
      </extLst>
    </bk>
    <bk>
      <extLst>
        <ext uri="{3e2802c4-a4d2-4d8b-9148-e3be6c30e623}">
          <xlrd:rvb i="1205"/>
        </ext>
      </extLst>
    </bk>
    <bk>
      <extLst>
        <ext uri="{3e2802c4-a4d2-4d8b-9148-e3be6c30e623}">
          <xlrd:rvb i="1206"/>
        </ext>
      </extLst>
    </bk>
    <bk>
      <extLst>
        <ext uri="{3e2802c4-a4d2-4d8b-9148-e3be6c30e623}">
          <xlrd:rvb i="1207"/>
        </ext>
      </extLst>
    </bk>
    <bk>
      <extLst>
        <ext uri="{3e2802c4-a4d2-4d8b-9148-e3be6c30e623}">
          <xlrd:rvb i="1208"/>
        </ext>
      </extLst>
    </bk>
    <bk>
      <extLst>
        <ext uri="{3e2802c4-a4d2-4d8b-9148-e3be6c30e623}">
          <xlrd:rvb i="1209"/>
        </ext>
      </extLst>
    </bk>
    <bk>
      <extLst>
        <ext uri="{3e2802c4-a4d2-4d8b-9148-e3be6c30e623}">
          <xlrd:rvb i="1210"/>
        </ext>
      </extLst>
    </bk>
    <bk>
      <extLst>
        <ext uri="{3e2802c4-a4d2-4d8b-9148-e3be6c30e623}">
          <xlrd:rvb i="1211"/>
        </ext>
      </extLst>
    </bk>
    <bk>
      <extLst>
        <ext uri="{3e2802c4-a4d2-4d8b-9148-e3be6c30e623}">
          <xlrd:rvb i="1212"/>
        </ext>
      </extLst>
    </bk>
    <bk>
      <extLst>
        <ext uri="{3e2802c4-a4d2-4d8b-9148-e3be6c30e623}">
          <xlrd:rvb i="1213"/>
        </ext>
      </extLst>
    </bk>
    <bk>
      <extLst>
        <ext uri="{3e2802c4-a4d2-4d8b-9148-e3be6c30e623}">
          <xlrd:rvb i="1214"/>
        </ext>
      </extLst>
    </bk>
    <bk>
      <extLst>
        <ext uri="{3e2802c4-a4d2-4d8b-9148-e3be6c30e623}">
          <xlrd:rvb i="1215"/>
        </ext>
      </extLst>
    </bk>
    <bk>
      <extLst>
        <ext uri="{3e2802c4-a4d2-4d8b-9148-e3be6c30e623}">
          <xlrd:rvb i="1216"/>
        </ext>
      </extLst>
    </bk>
    <bk>
      <extLst>
        <ext uri="{3e2802c4-a4d2-4d8b-9148-e3be6c30e623}">
          <xlrd:rvb i="1217"/>
        </ext>
      </extLst>
    </bk>
    <bk>
      <extLst>
        <ext uri="{3e2802c4-a4d2-4d8b-9148-e3be6c30e623}">
          <xlrd:rvb i="1218"/>
        </ext>
      </extLst>
    </bk>
    <bk>
      <extLst>
        <ext uri="{3e2802c4-a4d2-4d8b-9148-e3be6c30e623}">
          <xlrd:rvb i="1219"/>
        </ext>
      </extLst>
    </bk>
    <bk>
      <extLst>
        <ext uri="{3e2802c4-a4d2-4d8b-9148-e3be6c30e623}">
          <xlrd:rvb i="1220"/>
        </ext>
      </extLst>
    </bk>
    <bk>
      <extLst>
        <ext uri="{3e2802c4-a4d2-4d8b-9148-e3be6c30e623}">
          <xlrd:rvb i="1221"/>
        </ext>
      </extLst>
    </bk>
    <bk>
      <extLst>
        <ext uri="{3e2802c4-a4d2-4d8b-9148-e3be6c30e623}">
          <xlrd:rvb i="1222"/>
        </ext>
      </extLst>
    </bk>
    <bk>
      <extLst>
        <ext uri="{3e2802c4-a4d2-4d8b-9148-e3be6c30e623}">
          <xlrd:rvb i="1223"/>
        </ext>
      </extLst>
    </bk>
    <bk>
      <extLst>
        <ext uri="{3e2802c4-a4d2-4d8b-9148-e3be6c30e623}">
          <xlrd:rvb i="1224"/>
        </ext>
      </extLst>
    </bk>
    <bk>
      <extLst>
        <ext uri="{3e2802c4-a4d2-4d8b-9148-e3be6c30e623}">
          <xlrd:rvb i="1225"/>
        </ext>
      </extLst>
    </bk>
    <bk>
      <extLst>
        <ext uri="{3e2802c4-a4d2-4d8b-9148-e3be6c30e623}">
          <xlrd:rvb i="1226"/>
        </ext>
      </extLst>
    </bk>
    <bk>
      <extLst>
        <ext uri="{3e2802c4-a4d2-4d8b-9148-e3be6c30e623}">
          <xlrd:rvb i="1227"/>
        </ext>
      </extLst>
    </bk>
    <bk>
      <extLst>
        <ext uri="{3e2802c4-a4d2-4d8b-9148-e3be6c30e623}">
          <xlrd:rvb i="1228"/>
        </ext>
      </extLst>
    </bk>
    <bk>
      <extLst>
        <ext uri="{3e2802c4-a4d2-4d8b-9148-e3be6c30e623}">
          <xlrd:rvb i="1229"/>
        </ext>
      </extLst>
    </bk>
    <bk>
      <extLst>
        <ext uri="{3e2802c4-a4d2-4d8b-9148-e3be6c30e623}">
          <xlrd:rvb i="1230"/>
        </ext>
      </extLst>
    </bk>
    <bk>
      <extLst>
        <ext uri="{3e2802c4-a4d2-4d8b-9148-e3be6c30e623}">
          <xlrd:rvb i="1231"/>
        </ext>
      </extLst>
    </bk>
    <bk>
      <extLst>
        <ext uri="{3e2802c4-a4d2-4d8b-9148-e3be6c30e623}">
          <xlrd:rvb i="1232"/>
        </ext>
      </extLst>
    </bk>
    <bk>
      <extLst>
        <ext uri="{3e2802c4-a4d2-4d8b-9148-e3be6c30e623}">
          <xlrd:rvb i="1233"/>
        </ext>
      </extLst>
    </bk>
    <bk>
      <extLst>
        <ext uri="{3e2802c4-a4d2-4d8b-9148-e3be6c30e623}">
          <xlrd:rvb i="1234"/>
        </ext>
      </extLst>
    </bk>
    <bk>
      <extLst>
        <ext uri="{3e2802c4-a4d2-4d8b-9148-e3be6c30e623}">
          <xlrd:rvb i="1235"/>
        </ext>
      </extLst>
    </bk>
    <bk>
      <extLst>
        <ext uri="{3e2802c4-a4d2-4d8b-9148-e3be6c30e623}">
          <xlrd:rvb i="1236"/>
        </ext>
      </extLst>
    </bk>
    <bk>
      <extLst>
        <ext uri="{3e2802c4-a4d2-4d8b-9148-e3be6c30e623}">
          <xlrd:rvb i="1237"/>
        </ext>
      </extLst>
    </bk>
    <bk>
      <extLst>
        <ext uri="{3e2802c4-a4d2-4d8b-9148-e3be6c30e623}">
          <xlrd:rvb i="1238"/>
        </ext>
      </extLst>
    </bk>
    <bk>
      <extLst>
        <ext uri="{3e2802c4-a4d2-4d8b-9148-e3be6c30e623}">
          <xlrd:rvb i="1239"/>
        </ext>
      </extLst>
    </bk>
    <bk>
      <extLst>
        <ext uri="{3e2802c4-a4d2-4d8b-9148-e3be6c30e623}">
          <xlrd:rvb i="1240"/>
        </ext>
      </extLst>
    </bk>
    <bk>
      <extLst>
        <ext uri="{3e2802c4-a4d2-4d8b-9148-e3be6c30e623}">
          <xlrd:rvb i="1241"/>
        </ext>
      </extLst>
    </bk>
    <bk>
      <extLst>
        <ext uri="{3e2802c4-a4d2-4d8b-9148-e3be6c30e623}">
          <xlrd:rvb i="1242"/>
        </ext>
      </extLst>
    </bk>
    <bk>
      <extLst>
        <ext uri="{3e2802c4-a4d2-4d8b-9148-e3be6c30e623}">
          <xlrd:rvb i="1243"/>
        </ext>
      </extLst>
    </bk>
    <bk>
      <extLst>
        <ext uri="{3e2802c4-a4d2-4d8b-9148-e3be6c30e623}">
          <xlrd:rvb i="1244"/>
        </ext>
      </extLst>
    </bk>
    <bk>
      <extLst>
        <ext uri="{3e2802c4-a4d2-4d8b-9148-e3be6c30e623}">
          <xlrd:rvb i="1245"/>
        </ext>
      </extLst>
    </bk>
    <bk>
      <extLst>
        <ext uri="{3e2802c4-a4d2-4d8b-9148-e3be6c30e623}">
          <xlrd:rvb i="1246"/>
        </ext>
      </extLst>
    </bk>
    <bk>
      <extLst>
        <ext uri="{3e2802c4-a4d2-4d8b-9148-e3be6c30e623}">
          <xlrd:rvb i="1247"/>
        </ext>
      </extLst>
    </bk>
    <bk>
      <extLst>
        <ext uri="{3e2802c4-a4d2-4d8b-9148-e3be6c30e623}">
          <xlrd:rvb i="1248"/>
        </ext>
      </extLst>
    </bk>
    <bk>
      <extLst>
        <ext uri="{3e2802c4-a4d2-4d8b-9148-e3be6c30e623}">
          <xlrd:rvb i="1249"/>
        </ext>
      </extLst>
    </bk>
    <bk>
      <extLst>
        <ext uri="{3e2802c4-a4d2-4d8b-9148-e3be6c30e623}">
          <xlrd:rvb i="1250"/>
        </ext>
      </extLst>
    </bk>
    <bk>
      <extLst>
        <ext uri="{3e2802c4-a4d2-4d8b-9148-e3be6c30e623}">
          <xlrd:rvb i="1251"/>
        </ext>
      </extLst>
    </bk>
    <bk>
      <extLst>
        <ext uri="{3e2802c4-a4d2-4d8b-9148-e3be6c30e623}">
          <xlrd:rvb i="1252"/>
        </ext>
      </extLst>
    </bk>
    <bk>
      <extLst>
        <ext uri="{3e2802c4-a4d2-4d8b-9148-e3be6c30e623}">
          <xlrd:rvb i="1253"/>
        </ext>
      </extLst>
    </bk>
    <bk>
      <extLst>
        <ext uri="{3e2802c4-a4d2-4d8b-9148-e3be6c30e623}">
          <xlrd:rvb i="1254"/>
        </ext>
      </extLst>
    </bk>
    <bk>
      <extLst>
        <ext uri="{3e2802c4-a4d2-4d8b-9148-e3be6c30e623}">
          <xlrd:rvb i="1255"/>
        </ext>
      </extLst>
    </bk>
    <bk>
      <extLst>
        <ext uri="{3e2802c4-a4d2-4d8b-9148-e3be6c30e623}">
          <xlrd:rvb i="1256"/>
        </ext>
      </extLst>
    </bk>
    <bk>
      <extLst>
        <ext uri="{3e2802c4-a4d2-4d8b-9148-e3be6c30e623}">
          <xlrd:rvb i="1257"/>
        </ext>
      </extLst>
    </bk>
    <bk>
      <extLst>
        <ext uri="{3e2802c4-a4d2-4d8b-9148-e3be6c30e623}">
          <xlrd:rvb i="1258"/>
        </ext>
      </extLst>
    </bk>
    <bk>
      <extLst>
        <ext uri="{3e2802c4-a4d2-4d8b-9148-e3be6c30e623}">
          <xlrd:rvb i="1259"/>
        </ext>
      </extLst>
    </bk>
    <bk>
      <extLst>
        <ext uri="{3e2802c4-a4d2-4d8b-9148-e3be6c30e623}">
          <xlrd:rvb i="1260"/>
        </ext>
      </extLst>
    </bk>
    <bk>
      <extLst>
        <ext uri="{3e2802c4-a4d2-4d8b-9148-e3be6c30e623}">
          <xlrd:rvb i="1261"/>
        </ext>
      </extLst>
    </bk>
    <bk>
      <extLst>
        <ext uri="{3e2802c4-a4d2-4d8b-9148-e3be6c30e623}">
          <xlrd:rvb i="1262"/>
        </ext>
      </extLst>
    </bk>
    <bk>
      <extLst>
        <ext uri="{3e2802c4-a4d2-4d8b-9148-e3be6c30e623}">
          <xlrd:rvb i="1263"/>
        </ext>
      </extLst>
    </bk>
    <bk>
      <extLst>
        <ext uri="{3e2802c4-a4d2-4d8b-9148-e3be6c30e623}">
          <xlrd:rvb i="1264"/>
        </ext>
      </extLst>
    </bk>
    <bk>
      <extLst>
        <ext uri="{3e2802c4-a4d2-4d8b-9148-e3be6c30e623}">
          <xlrd:rvb i="1265"/>
        </ext>
      </extLst>
    </bk>
    <bk>
      <extLst>
        <ext uri="{3e2802c4-a4d2-4d8b-9148-e3be6c30e623}">
          <xlrd:rvb i="1266"/>
        </ext>
      </extLst>
    </bk>
    <bk>
      <extLst>
        <ext uri="{3e2802c4-a4d2-4d8b-9148-e3be6c30e623}">
          <xlrd:rvb i="1267"/>
        </ext>
      </extLst>
    </bk>
    <bk>
      <extLst>
        <ext uri="{3e2802c4-a4d2-4d8b-9148-e3be6c30e623}">
          <xlrd:rvb i="1268"/>
        </ext>
      </extLst>
    </bk>
    <bk>
      <extLst>
        <ext uri="{3e2802c4-a4d2-4d8b-9148-e3be6c30e623}">
          <xlrd:rvb i="1269"/>
        </ext>
      </extLst>
    </bk>
    <bk>
      <extLst>
        <ext uri="{3e2802c4-a4d2-4d8b-9148-e3be6c30e623}">
          <xlrd:rvb i="1270"/>
        </ext>
      </extLst>
    </bk>
    <bk>
      <extLst>
        <ext uri="{3e2802c4-a4d2-4d8b-9148-e3be6c30e623}">
          <xlrd:rvb i="1271"/>
        </ext>
      </extLst>
    </bk>
    <bk>
      <extLst>
        <ext uri="{3e2802c4-a4d2-4d8b-9148-e3be6c30e623}">
          <xlrd:rvb i="1272"/>
        </ext>
      </extLst>
    </bk>
    <bk>
      <extLst>
        <ext uri="{3e2802c4-a4d2-4d8b-9148-e3be6c30e623}">
          <xlrd:rvb i="1273"/>
        </ext>
      </extLst>
    </bk>
    <bk>
      <extLst>
        <ext uri="{3e2802c4-a4d2-4d8b-9148-e3be6c30e623}">
          <xlrd:rvb i="1274"/>
        </ext>
      </extLst>
    </bk>
    <bk>
      <extLst>
        <ext uri="{3e2802c4-a4d2-4d8b-9148-e3be6c30e623}">
          <xlrd:rvb i="1275"/>
        </ext>
      </extLst>
    </bk>
    <bk>
      <extLst>
        <ext uri="{3e2802c4-a4d2-4d8b-9148-e3be6c30e623}">
          <xlrd:rvb i="1276"/>
        </ext>
      </extLst>
    </bk>
    <bk>
      <extLst>
        <ext uri="{3e2802c4-a4d2-4d8b-9148-e3be6c30e623}">
          <xlrd:rvb i="1277"/>
        </ext>
      </extLst>
    </bk>
    <bk>
      <extLst>
        <ext uri="{3e2802c4-a4d2-4d8b-9148-e3be6c30e623}">
          <xlrd:rvb i="1278"/>
        </ext>
      </extLst>
    </bk>
    <bk>
      <extLst>
        <ext uri="{3e2802c4-a4d2-4d8b-9148-e3be6c30e623}">
          <xlrd:rvb i="1279"/>
        </ext>
      </extLst>
    </bk>
    <bk>
      <extLst>
        <ext uri="{3e2802c4-a4d2-4d8b-9148-e3be6c30e623}">
          <xlrd:rvb i="1280"/>
        </ext>
      </extLst>
    </bk>
    <bk>
      <extLst>
        <ext uri="{3e2802c4-a4d2-4d8b-9148-e3be6c30e623}">
          <xlrd:rvb i="1281"/>
        </ext>
      </extLst>
    </bk>
    <bk>
      <extLst>
        <ext uri="{3e2802c4-a4d2-4d8b-9148-e3be6c30e623}">
          <xlrd:rvb i="1282"/>
        </ext>
      </extLst>
    </bk>
    <bk>
      <extLst>
        <ext uri="{3e2802c4-a4d2-4d8b-9148-e3be6c30e623}">
          <xlrd:rvb i="1283"/>
        </ext>
      </extLst>
    </bk>
    <bk>
      <extLst>
        <ext uri="{3e2802c4-a4d2-4d8b-9148-e3be6c30e623}">
          <xlrd:rvb i="1284"/>
        </ext>
      </extLst>
    </bk>
    <bk>
      <extLst>
        <ext uri="{3e2802c4-a4d2-4d8b-9148-e3be6c30e623}">
          <xlrd:rvb i="1285"/>
        </ext>
      </extLst>
    </bk>
    <bk>
      <extLst>
        <ext uri="{3e2802c4-a4d2-4d8b-9148-e3be6c30e623}">
          <xlrd:rvb i="1286"/>
        </ext>
      </extLst>
    </bk>
    <bk>
      <extLst>
        <ext uri="{3e2802c4-a4d2-4d8b-9148-e3be6c30e623}">
          <xlrd:rvb i="1287"/>
        </ext>
      </extLst>
    </bk>
    <bk>
      <extLst>
        <ext uri="{3e2802c4-a4d2-4d8b-9148-e3be6c30e623}">
          <xlrd:rvb i="1288"/>
        </ext>
      </extLst>
    </bk>
    <bk>
      <extLst>
        <ext uri="{3e2802c4-a4d2-4d8b-9148-e3be6c30e623}">
          <xlrd:rvb i="1289"/>
        </ext>
      </extLst>
    </bk>
    <bk>
      <extLst>
        <ext uri="{3e2802c4-a4d2-4d8b-9148-e3be6c30e623}">
          <xlrd:rvb i="1290"/>
        </ext>
      </extLst>
    </bk>
    <bk>
      <extLst>
        <ext uri="{3e2802c4-a4d2-4d8b-9148-e3be6c30e623}">
          <xlrd:rvb i="1291"/>
        </ext>
      </extLst>
    </bk>
    <bk>
      <extLst>
        <ext uri="{3e2802c4-a4d2-4d8b-9148-e3be6c30e623}">
          <xlrd:rvb i="1292"/>
        </ext>
      </extLst>
    </bk>
    <bk>
      <extLst>
        <ext uri="{3e2802c4-a4d2-4d8b-9148-e3be6c30e623}">
          <xlrd:rvb i="1293"/>
        </ext>
      </extLst>
    </bk>
    <bk>
      <extLst>
        <ext uri="{3e2802c4-a4d2-4d8b-9148-e3be6c30e623}">
          <xlrd:rvb i="1294"/>
        </ext>
      </extLst>
    </bk>
    <bk>
      <extLst>
        <ext uri="{3e2802c4-a4d2-4d8b-9148-e3be6c30e623}">
          <xlrd:rvb i="1295"/>
        </ext>
      </extLst>
    </bk>
    <bk>
      <extLst>
        <ext uri="{3e2802c4-a4d2-4d8b-9148-e3be6c30e623}">
          <xlrd:rvb i="1296"/>
        </ext>
      </extLst>
    </bk>
    <bk>
      <extLst>
        <ext uri="{3e2802c4-a4d2-4d8b-9148-e3be6c30e623}">
          <xlrd:rvb i="1297"/>
        </ext>
      </extLst>
    </bk>
    <bk>
      <extLst>
        <ext uri="{3e2802c4-a4d2-4d8b-9148-e3be6c30e623}">
          <xlrd:rvb i="1298"/>
        </ext>
      </extLst>
    </bk>
    <bk>
      <extLst>
        <ext uri="{3e2802c4-a4d2-4d8b-9148-e3be6c30e623}">
          <xlrd:rvb i="1299"/>
        </ext>
      </extLst>
    </bk>
    <bk>
      <extLst>
        <ext uri="{3e2802c4-a4d2-4d8b-9148-e3be6c30e623}">
          <xlrd:rvb i="1300"/>
        </ext>
      </extLst>
    </bk>
    <bk>
      <extLst>
        <ext uri="{3e2802c4-a4d2-4d8b-9148-e3be6c30e623}">
          <xlrd:rvb i="1301"/>
        </ext>
      </extLst>
    </bk>
    <bk>
      <extLst>
        <ext uri="{3e2802c4-a4d2-4d8b-9148-e3be6c30e623}">
          <xlrd:rvb i="1302"/>
        </ext>
      </extLst>
    </bk>
    <bk>
      <extLst>
        <ext uri="{3e2802c4-a4d2-4d8b-9148-e3be6c30e623}">
          <xlrd:rvb i="1303"/>
        </ext>
      </extLst>
    </bk>
    <bk>
      <extLst>
        <ext uri="{3e2802c4-a4d2-4d8b-9148-e3be6c30e623}">
          <xlrd:rvb i="1304"/>
        </ext>
      </extLst>
    </bk>
    <bk>
      <extLst>
        <ext uri="{3e2802c4-a4d2-4d8b-9148-e3be6c30e623}">
          <xlrd:rvb i="1305"/>
        </ext>
      </extLst>
    </bk>
    <bk>
      <extLst>
        <ext uri="{3e2802c4-a4d2-4d8b-9148-e3be6c30e623}">
          <xlrd:rvb i="1306"/>
        </ext>
      </extLst>
    </bk>
    <bk>
      <extLst>
        <ext uri="{3e2802c4-a4d2-4d8b-9148-e3be6c30e623}">
          <xlrd:rvb i="1307"/>
        </ext>
      </extLst>
    </bk>
    <bk>
      <extLst>
        <ext uri="{3e2802c4-a4d2-4d8b-9148-e3be6c30e623}">
          <xlrd:rvb i="1308"/>
        </ext>
      </extLst>
    </bk>
    <bk>
      <extLst>
        <ext uri="{3e2802c4-a4d2-4d8b-9148-e3be6c30e623}">
          <xlrd:rvb i="1309"/>
        </ext>
      </extLst>
    </bk>
    <bk>
      <extLst>
        <ext uri="{3e2802c4-a4d2-4d8b-9148-e3be6c30e623}">
          <xlrd:rvb i="1310"/>
        </ext>
      </extLst>
    </bk>
    <bk>
      <extLst>
        <ext uri="{3e2802c4-a4d2-4d8b-9148-e3be6c30e623}">
          <xlrd:rvb i="1311"/>
        </ext>
      </extLst>
    </bk>
    <bk>
      <extLst>
        <ext uri="{3e2802c4-a4d2-4d8b-9148-e3be6c30e623}">
          <xlrd:rvb i="1312"/>
        </ext>
      </extLst>
    </bk>
    <bk>
      <extLst>
        <ext uri="{3e2802c4-a4d2-4d8b-9148-e3be6c30e623}">
          <xlrd:rvb i="1313"/>
        </ext>
      </extLst>
    </bk>
    <bk>
      <extLst>
        <ext uri="{3e2802c4-a4d2-4d8b-9148-e3be6c30e623}">
          <xlrd:rvb i="1314"/>
        </ext>
      </extLst>
    </bk>
    <bk>
      <extLst>
        <ext uri="{3e2802c4-a4d2-4d8b-9148-e3be6c30e623}">
          <xlrd:rvb i="1315"/>
        </ext>
      </extLst>
    </bk>
    <bk>
      <extLst>
        <ext uri="{3e2802c4-a4d2-4d8b-9148-e3be6c30e623}">
          <xlrd:rvb i="1316"/>
        </ext>
      </extLst>
    </bk>
    <bk>
      <extLst>
        <ext uri="{3e2802c4-a4d2-4d8b-9148-e3be6c30e623}">
          <xlrd:rvb i="1317"/>
        </ext>
      </extLst>
    </bk>
    <bk>
      <extLst>
        <ext uri="{3e2802c4-a4d2-4d8b-9148-e3be6c30e623}">
          <xlrd:rvb i="1318"/>
        </ext>
      </extLst>
    </bk>
    <bk>
      <extLst>
        <ext uri="{3e2802c4-a4d2-4d8b-9148-e3be6c30e623}">
          <xlrd:rvb i="1319"/>
        </ext>
      </extLst>
    </bk>
    <bk>
      <extLst>
        <ext uri="{3e2802c4-a4d2-4d8b-9148-e3be6c30e623}">
          <xlrd:rvb i="1320"/>
        </ext>
      </extLst>
    </bk>
    <bk>
      <extLst>
        <ext uri="{3e2802c4-a4d2-4d8b-9148-e3be6c30e623}">
          <xlrd:rvb i="1321"/>
        </ext>
      </extLst>
    </bk>
    <bk>
      <extLst>
        <ext uri="{3e2802c4-a4d2-4d8b-9148-e3be6c30e623}">
          <xlrd:rvb i="1322"/>
        </ext>
      </extLst>
    </bk>
    <bk>
      <extLst>
        <ext uri="{3e2802c4-a4d2-4d8b-9148-e3be6c30e623}">
          <xlrd:rvb i="1323"/>
        </ext>
      </extLst>
    </bk>
    <bk>
      <extLst>
        <ext uri="{3e2802c4-a4d2-4d8b-9148-e3be6c30e623}">
          <xlrd:rvb i="1324"/>
        </ext>
      </extLst>
    </bk>
    <bk>
      <extLst>
        <ext uri="{3e2802c4-a4d2-4d8b-9148-e3be6c30e623}">
          <xlrd:rvb i="1325"/>
        </ext>
      </extLst>
    </bk>
    <bk>
      <extLst>
        <ext uri="{3e2802c4-a4d2-4d8b-9148-e3be6c30e623}">
          <xlrd:rvb i="1326"/>
        </ext>
      </extLst>
    </bk>
    <bk>
      <extLst>
        <ext uri="{3e2802c4-a4d2-4d8b-9148-e3be6c30e623}">
          <xlrd:rvb i="1327"/>
        </ext>
      </extLst>
    </bk>
    <bk>
      <extLst>
        <ext uri="{3e2802c4-a4d2-4d8b-9148-e3be6c30e623}">
          <xlrd:rvb i="1328"/>
        </ext>
      </extLst>
    </bk>
    <bk>
      <extLst>
        <ext uri="{3e2802c4-a4d2-4d8b-9148-e3be6c30e623}">
          <xlrd:rvb i="1329"/>
        </ext>
      </extLst>
    </bk>
    <bk>
      <extLst>
        <ext uri="{3e2802c4-a4d2-4d8b-9148-e3be6c30e623}">
          <xlrd:rvb i="1330"/>
        </ext>
      </extLst>
    </bk>
    <bk>
      <extLst>
        <ext uri="{3e2802c4-a4d2-4d8b-9148-e3be6c30e623}">
          <xlrd:rvb i="1331"/>
        </ext>
      </extLst>
    </bk>
    <bk>
      <extLst>
        <ext uri="{3e2802c4-a4d2-4d8b-9148-e3be6c30e623}">
          <xlrd:rvb i="1332"/>
        </ext>
      </extLst>
    </bk>
    <bk>
      <extLst>
        <ext uri="{3e2802c4-a4d2-4d8b-9148-e3be6c30e623}">
          <xlrd:rvb i="1333"/>
        </ext>
      </extLst>
    </bk>
    <bk>
      <extLst>
        <ext uri="{3e2802c4-a4d2-4d8b-9148-e3be6c30e623}">
          <xlrd:rvb i="1334"/>
        </ext>
      </extLst>
    </bk>
    <bk>
      <extLst>
        <ext uri="{3e2802c4-a4d2-4d8b-9148-e3be6c30e623}">
          <xlrd:rvb i="1335"/>
        </ext>
      </extLst>
    </bk>
    <bk>
      <extLst>
        <ext uri="{3e2802c4-a4d2-4d8b-9148-e3be6c30e623}">
          <xlrd:rvb i="1336"/>
        </ext>
      </extLst>
    </bk>
    <bk>
      <extLst>
        <ext uri="{3e2802c4-a4d2-4d8b-9148-e3be6c30e623}">
          <xlrd:rvb i="1337"/>
        </ext>
      </extLst>
    </bk>
    <bk>
      <extLst>
        <ext uri="{3e2802c4-a4d2-4d8b-9148-e3be6c30e623}">
          <xlrd:rvb i="1338"/>
        </ext>
      </extLst>
    </bk>
    <bk>
      <extLst>
        <ext uri="{3e2802c4-a4d2-4d8b-9148-e3be6c30e623}">
          <xlrd:rvb i="1339"/>
        </ext>
      </extLst>
    </bk>
    <bk>
      <extLst>
        <ext uri="{3e2802c4-a4d2-4d8b-9148-e3be6c30e623}">
          <xlrd:rvb i="1340"/>
        </ext>
      </extLst>
    </bk>
    <bk>
      <extLst>
        <ext uri="{3e2802c4-a4d2-4d8b-9148-e3be6c30e623}">
          <xlrd:rvb i="1341"/>
        </ext>
      </extLst>
    </bk>
    <bk>
      <extLst>
        <ext uri="{3e2802c4-a4d2-4d8b-9148-e3be6c30e623}">
          <xlrd:rvb i="1342"/>
        </ext>
      </extLst>
    </bk>
    <bk>
      <extLst>
        <ext uri="{3e2802c4-a4d2-4d8b-9148-e3be6c30e623}">
          <xlrd:rvb i="1343"/>
        </ext>
      </extLst>
    </bk>
    <bk>
      <extLst>
        <ext uri="{3e2802c4-a4d2-4d8b-9148-e3be6c30e623}">
          <xlrd:rvb i="1344"/>
        </ext>
      </extLst>
    </bk>
    <bk>
      <extLst>
        <ext uri="{3e2802c4-a4d2-4d8b-9148-e3be6c30e623}">
          <xlrd:rvb i="1345"/>
        </ext>
      </extLst>
    </bk>
    <bk>
      <extLst>
        <ext uri="{3e2802c4-a4d2-4d8b-9148-e3be6c30e623}">
          <xlrd:rvb i="1346"/>
        </ext>
      </extLst>
    </bk>
    <bk>
      <extLst>
        <ext uri="{3e2802c4-a4d2-4d8b-9148-e3be6c30e623}">
          <xlrd:rvb i="1347"/>
        </ext>
      </extLst>
    </bk>
    <bk>
      <extLst>
        <ext uri="{3e2802c4-a4d2-4d8b-9148-e3be6c30e623}">
          <xlrd:rvb i="1348"/>
        </ext>
      </extLst>
    </bk>
    <bk>
      <extLst>
        <ext uri="{3e2802c4-a4d2-4d8b-9148-e3be6c30e623}">
          <xlrd:rvb i="1349"/>
        </ext>
      </extLst>
    </bk>
    <bk>
      <extLst>
        <ext uri="{3e2802c4-a4d2-4d8b-9148-e3be6c30e623}">
          <xlrd:rvb i="1350"/>
        </ext>
      </extLst>
    </bk>
    <bk>
      <extLst>
        <ext uri="{3e2802c4-a4d2-4d8b-9148-e3be6c30e623}">
          <xlrd:rvb i="1351"/>
        </ext>
      </extLst>
    </bk>
    <bk>
      <extLst>
        <ext uri="{3e2802c4-a4d2-4d8b-9148-e3be6c30e623}">
          <xlrd:rvb i="1352"/>
        </ext>
      </extLst>
    </bk>
    <bk>
      <extLst>
        <ext uri="{3e2802c4-a4d2-4d8b-9148-e3be6c30e623}">
          <xlrd:rvb i="1353"/>
        </ext>
      </extLst>
    </bk>
    <bk>
      <extLst>
        <ext uri="{3e2802c4-a4d2-4d8b-9148-e3be6c30e623}">
          <xlrd:rvb i="1354"/>
        </ext>
      </extLst>
    </bk>
    <bk>
      <extLst>
        <ext uri="{3e2802c4-a4d2-4d8b-9148-e3be6c30e623}">
          <xlrd:rvb i="1355"/>
        </ext>
      </extLst>
    </bk>
    <bk>
      <extLst>
        <ext uri="{3e2802c4-a4d2-4d8b-9148-e3be6c30e623}">
          <xlrd:rvb i="1356"/>
        </ext>
      </extLst>
    </bk>
    <bk>
      <extLst>
        <ext uri="{3e2802c4-a4d2-4d8b-9148-e3be6c30e623}">
          <xlrd:rvb i="1357"/>
        </ext>
      </extLst>
    </bk>
    <bk>
      <extLst>
        <ext uri="{3e2802c4-a4d2-4d8b-9148-e3be6c30e623}">
          <xlrd:rvb i="1358"/>
        </ext>
      </extLst>
    </bk>
    <bk>
      <extLst>
        <ext uri="{3e2802c4-a4d2-4d8b-9148-e3be6c30e623}">
          <xlrd:rvb i="1359"/>
        </ext>
      </extLst>
    </bk>
    <bk>
      <extLst>
        <ext uri="{3e2802c4-a4d2-4d8b-9148-e3be6c30e623}">
          <xlrd:rvb i="1360"/>
        </ext>
      </extLst>
    </bk>
    <bk>
      <extLst>
        <ext uri="{3e2802c4-a4d2-4d8b-9148-e3be6c30e623}">
          <xlrd:rvb i="1361"/>
        </ext>
      </extLst>
    </bk>
    <bk>
      <extLst>
        <ext uri="{3e2802c4-a4d2-4d8b-9148-e3be6c30e623}">
          <xlrd:rvb i="1362"/>
        </ext>
      </extLst>
    </bk>
    <bk>
      <extLst>
        <ext uri="{3e2802c4-a4d2-4d8b-9148-e3be6c30e623}">
          <xlrd:rvb i="1363"/>
        </ext>
      </extLst>
    </bk>
    <bk>
      <extLst>
        <ext uri="{3e2802c4-a4d2-4d8b-9148-e3be6c30e623}">
          <xlrd:rvb i="1364"/>
        </ext>
      </extLst>
    </bk>
    <bk>
      <extLst>
        <ext uri="{3e2802c4-a4d2-4d8b-9148-e3be6c30e623}">
          <xlrd:rvb i="1365"/>
        </ext>
      </extLst>
    </bk>
    <bk>
      <extLst>
        <ext uri="{3e2802c4-a4d2-4d8b-9148-e3be6c30e623}">
          <xlrd:rvb i="1366"/>
        </ext>
      </extLst>
    </bk>
    <bk>
      <extLst>
        <ext uri="{3e2802c4-a4d2-4d8b-9148-e3be6c30e623}">
          <xlrd:rvb i="1367"/>
        </ext>
      </extLst>
    </bk>
    <bk>
      <extLst>
        <ext uri="{3e2802c4-a4d2-4d8b-9148-e3be6c30e623}">
          <xlrd:rvb i="1368"/>
        </ext>
      </extLst>
    </bk>
    <bk>
      <extLst>
        <ext uri="{3e2802c4-a4d2-4d8b-9148-e3be6c30e623}">
          <xlrd:rvb i="1369"/>
        </ext>
      </extLst>
    </bk>
    <bk>
      <extLst>
        <ext uri="{3e2802c4-a4d2-4d8b-9148-e3be6c30e623}">
          <xlrd:rvb i="1370"/>
        </ext>
      </extLst>
    </bk>
    <bk>
      <extLst>
        <ext uri="{3e2802c4-a4d2-4d8b-9148-e3be6c30e623}">
          <xlrd:rvb i="1371"/>
        </ext>
      </extLst>
    </bk>
    <bk>
      <extLst>
        <ext uri="{3e2802c4-a4d2-4d8b-9148-e3be6c30e623}">
          <xlrd:rvb i="1372"/>
        </ext>
      </extLst>
    </bk>
    <bk>
      <extLst>
        <ext uri="{3e2802c4-a4d2-4d8b-9148-e3be6c30e623}">
          <xlrd:rvb i="1373"/>
        </ext>
      </extLst>
    </bk>
    <bk>
      <extLst>
        <ext uri="{3e2802c4-a4d2-4d8b-9148-e3be6c30e623}">
          <xlrd:rvb i="1374"/>
        </ext>
      </extLst>
    </bk>
    <bk>
      <extLst>
        <ext uri="{3e2802c4-a4d2-4d8b-9148-e3be6c30e623}">
          <xlrd:rvb i="1375"/>
        </ext>
      </extLst>
    </bk>
    <bk>
      <extLst>
        <ext uri="{3e2802c4-a4d2-4d8b-9148-e3be6c30e623}">
          <xlrd:rvb i="1376"/>
        </ext>
      </extLst>
    </bk>
    <bk>
      <extLst>
        <ext uri="{3e2802c4-a4d2-4d8b-9148-e3be6c30e623}">
          <xlrd:rvb i="1377"/>
        </ext>
      </extLst>
    </bk>
    <bk>
      <extLst>
        <ext uri="{3e2802c4-a4d2-4d8b-9148-e3be6c30e623}">
          <xlrd:rvb i="1378"/>
        </ext>
      </extLst>
    </bk>
    <bk>
      <extLst>
        <ext uri="{3e2802c4-a4d2-4d8b-9148-e3be6c30e623}">
          <xlrd:rvb i="1379"/>
        </ext>
      </extLst>
    </bk>
    <bk>
      <extLst>
        <ext uri="{3e2802c4-a4d2-4d8b-9148-e3be6c30e623}">
          <xlrd:rvb i="1380"/>
        </ext>
      </extLst>
    </bk>
    <bk>
      <extLst>
        <ext uri="{3e2802c4-a4d2-4d8b-9148-e3be6c30e623}">
          <xlrd:rvb i="1381"/>
        </ext>
      </extLst>
    </bk>
    <bk>
      <extLst>
        <ext uri="{3e2802c4-a4d2-4d8b-9148-e3be6c30e623}">
          <xlrd:rvb i="1382"/>
        </ext>
      </extLst>
    </bk>
    <bk>
      <extLst>
        <ext uri="{3e2802c4-a4d2-4d8b-9148-e3be6c30e623}">
          <xlrd:rvb i="1383"/>
        </ext>
      </extLst>
    </bk>
    <bk>
      <extLst>
        <ext uri="{3e2802c4-a4d2-4d8b-9148-e3be6c30e623}">
          <xlrd:rvb i="1384"/>
        </ext>
      </extLst>
    </bk>
    <bk>
      <extLst>
        <ext uri="{3e2802c4-a4d2-4d8b-9148-e3be6c30e623}">
          <xlrd:rvb i="1385"/>
        </ext>
      </extLst>
    </bk>
    <bk>
      <extLst>
        <ext uri="{3e2802c4-a4d2-4d8b-9148-e3be6c30e623}">
          <xlrd:rvb i="1386"/>
        </ext>
      </extLst>
    </bk>
    <bk>
      <extLst>
        <ext uri="{3e2802c4-a4d2-4d8b-9148-e3be6c30e623}">
          <xlrd:rvb i="1387"/>
        </ext>
      </extLst>
    </bk>
    <bk>
      <extLst>
        <ext uri="{3e2802c4-a4d2-4d8b-9148-e3be6c30e623}">
          <xlrd:rvb i="1388"/>
        </ext>
      </extLst>
    </bk>
    <bk>
      <extLst>
        <ext uri="{3e2802c4-a4d2-4d8b-9148-e3be6c30e623}">
          <xlrd:rvb i="1389"/>
        </ext>
      </extLst>
    </bk>
    <bk>
      <extLst>
        <ext uri="{3e2802c4-a4d2-4d8b-9148-e3be6c30e623}">
          <xlrd:rvb i="1390"/>
        </ext>
      </extLst>
    </bk>
    <bk>
      <extLst>
        <ext uri="{3e2802c4-a4d2-4d8b-9148-e3be6c30e623}">
          <xlrd:rvb i="1391"/>
        </ext>
      </extLst>
    </bk>
    <bk>
      <extLst>
        <ext uri="{3e2802c4-a4d2-4d8b-9148-e3be6c30e623}">
          <xlrd:rvb i="1392"/>
        </ext>
      </extLst>
    </bk>
    <bk>
      <extLst>
        <ext uri="{3e2802c4-a4d2-4d8b-9148-e3be6c30e623}">
          <xlrd:rvb i="1393"/>
        </ext>
      </extLst>
    </bk>
    <bk>
      <extLst>
        <ext uri="{3e2802c4-a4d2-4d8b-9148-e3be6c30e623}">
          <xlrd:rvb i="1394"/>
        </ext>
      </extLst>
    </bk>
    <bk>
      <extLst>
        <ext uri="{3e2802c4-a4d2-4d8b-9148-e3be6c30e623}">
          <xlrd:rvb i="1395"/>
        </ext>
      </extLst>
    </bk>
    <bk>
      <extLst>
        <ext uri="{3e2802c4-a4d2-4d8b-9148-e3be6c30e623}">
          <xlrd:rvb i="1396"/>
        </ext>
      </extLst>
    </bk>
    <bk>
      <extLst>
        <ext uri="{3e2802c4-a4d2-4d8b-9148-e3be6c30e623}">
          <xlrd:rvb i="1397"/>
        </ext>
      </extLst>
    </bk>
    <bk>
      <extLst>
        <ext uri="{3e2802c4-a4d2-4d8b-9148-e3be6c30e623}">
          <xlrd:rvb i="1398"/>
        </ext>
      </extLst>
    </bk>
    <bk>
      <extLst>
        <ext uri="{3e2802c4-a4d2-4d8b-9148-e3be6c30e623}">
          <xlrd:rvb i="1399"/>
        </ext>
      </extLst>
    </bk>
    <bk>
      <extLst>
        <ext uri="{3e2802c4-a4d2-4d8b-9148-e3be6c30e623}">
          <xlrd:rvb i="1400"/>
        </ext>
      </extLst>
    </bk>
    <bk>
      <extLst>
        <ext uri="{3e2802c4-a4d2-4d8b-9148-e3be6c30e623}">
          <xlrd:rvb i="1401"/>
        </ext>
      </extLst>
    </bk>
    <bk>
      <extLst>
        <ext uri="{3e2802c4-a4d2-4d8b-9148-e3be6c30e623}">
          <xlrd:rvb i="1402"/>
        </ext>
      </extLst>
    </bk>
    <bk>
      <extLst>
        <ext uri="{3e2802c4-a4d2-4d8b-9148-e3be6c30e623}">
          <xlrd:rvb i="1403"/>
        </ext>
      </extLst>
    </bk>
    <bk>
      <extLst>
        <ext uri="{3e2802c4-a4d2-4d8b-9148-e3be6c30e623}">
          <xlrd:rvb i="1404"/>
        </ext>
      </extLst>
    </bk>
    <bk>
      <extLst>
        <ext uri="{3e2802c4-a4d2-4d8b-9148-e3be6c30e623}">
          <xlrd:rvb i="1405"/>
        </ext>
      </extLst>
    </bk>
    <bk>
      <extLst>
        <ext uri="{3e2802c4-a4d2-4d8b-9148-e3be6c30e623}">
          <xlrd:rvb i="1406"/>
        </ext>
      </extLst>
    </bk>
    <bk>
      <extLst>
        <ext uri="{3e2802c4-a4d2-4d8b-9148-e3be6c30e623}">
          <xlrd:rvb i="1407"/>
        </ext>
      </extLst>
    </bk>
    <bk>
      <extLst>
        <ext uri="{3e2802c4-a4d2-4d8b-9148-e3be6c30e623}">
          <xlrd:rvb i="1408"/>
        </ext>
      </extLst>
    </bk>
    <bk>
      <extLst>
        <ext uri="{3e2802c4-a4d2-4d8b-9148-e3be6c30e623}">
          <xlrd:rvb i="1409"/>
        </ext>
      </extLst>
    </bk>
    <bk>
      <extLst>
        <ext uri="{3e2802c4-a4d2-4d8b-9148-e3be6c30e623}">
          <xlrd:rvb i="1410"/>
        </ext>
      </extLst>
    </bk>
    <bk>
      <extLst>
        <ext uri="{3e2802c4-a4d2-4d8b-9148-e3be6c30e623}">
          <xlrd:rvb i="1411"/>
        </ext>
      </extLst>
    </bk>
    <bk>
      <extLst>
        <ext uri="{3e2802c4-a4d2-4d8b-9148-e3be6c30e623}">
          <xlrd:rvb i="1412"/>
        </ext>
      </extLst>
    </bk>
    <bk>
      <extLst>
        <ext uri="{3e2802c4-a4d2-4d8b-9148-e3be6c30e623}">
          <xlrd:rvb i="1413"/>
        </ext>
      </extLst>
    </bk>
    <bk>
      <extLst>
        <ext uri="{3e2802c4-a4d2-4d8b-9148-e3be6c30e623}">
          <xlrd:rvb i="1414"/>
        </ext>
      </extLst>
    </bk>
    <bk>
      <extLst>
        <ext uri="{3e2802c4-a4d2-4d8b-9148-e3be6c30e623}">
          <xlrd:rvb i="1415"/>
        </ext>
      </extLst>
    </bk>
    <bk>
      <extLst>
        <ext uri="{3e2802c4-a4d2-4d8b-9148-e3be6c30e623}">
          <xlrd:rvb i="1416"/>
        </ext>
      </extLst>
    </bk>
    <bk>
      <extLst>
        <ext uri="{3e2802c4-a4d2-4d8b-9148-e3be6c30e623}">
          <xlrd:rvb i="1417"/>
        </ext>
      </extLst>
    </bk>
    <bk>
      <extLst>
        <ext uri="{3e2802c4-a4d2-4d8b-9148-e3be6c30e623}">
          <xlrd:rvb i="1418"/>
        </ext>
      </extLst>
    </bk>
    <bk>
      <extLst>
        <ext uri="{3e2802c4-a4d2-4d8b-9148-e3be6c30e623}">
          <xlrd:rvb i="1419"/>
        </ext>
      </extLst>
    </bk>
    <bk>
      <extLst>
        <ext uri="{3e2802c4-a4d2-4d8b-9148-e3be6c30e623}">
          <xlrd:rvb i="1420"/>
        </ext>
      </extLst>
    </bk>
    <bk>
      <extLst>
        <ext uri="{3e2802c4-a4d2-4d8b-9148-e3be6c30e623}">
          <xlrd:rvb i="1421"/>
        </ext>
      </extLst>
    </bk>
    <bk>
      <extLst>
        <ext uri="{3e2802c4-a4d2-4d8b-9148-e3be6c30e623}">
          <xlrd:rvb i="1422"/>
        </ext>
      </extLst>
    </bk>
    <bk>
      <extLst>
        <ext uri="{3e2802c4-a4d2-4d8b-9148-e3be6c30e623}">
          <xlrd:rvb i="1423"/>
        </ext>
      </extLst>
    </bk>
    <bk>
      <extLst>
        <ext uri="{3e2802c4-a4d2-4d8b-9148-e3be6c30e623}">
          <xlrd:rvb i="1424"/>
        </ext>
      </extLst>
    </bk>
    <bk>
      <extLst>
        <ext uri="{3e2802c4-a4d2-4d8b-9148-e3be6c30e623}">
          <xlrd:rvb i="1425"/>
        </ext>
      </extLst>
    </bk>
    <bk>
      <extLst>
        <ext uri="{3e2802c4-a4d2-4d8b-9148-e3be6c30e623}">
          <xlrd:rvb i="1426"/>
        </ext>
      </extLst>
    </bk>
    <bk>
      <extLst>
        <ext uri="{3e2802c4-a4d2-4d8b-9148-e3be6c30e623}">
          <xlrd:rvb i="1427"/>
        </ext>
      </extLst>
    </bk>
    <bk>
      <extLst>
        <ext uri="{3e2802c4-a4d2-4d8b-9148-e3be6c30e623}">
          <xlrd:rvb i="1428"/>
        </ext>
      </extLst>
    </bk>
    <bk>
      <extLst>
        <ext uri="{3e2802c4-a4d2-4d8b-9148-e3be6c30e623}">
          <xlrd:rvb i="1429"/>
        </ext>
      </extLst>
    </bk>
    <bk>
      <extLst>
        <ext uri="{3e2802c4-a4d2-4d8b-9148-e3be6c30e623}">
          <xlrd:rvb i="1430"/>
        </ext>
      </extLst>
    </bk>
    <bk>
      <extLst>
        <ext uri="{3e2802c4-a4d2-4d8b-9148-e3be6c30e623}">
          <xlrd:rvb i="1431"/>
        </ext>
      </extLst>
    </bk>
    <bk>
      <extLst>
        <ext uri="{3e2802c4-a4d2-4d8b-9148-e3be6c30e623}">
          <xlrd:rvb i="1432"/>
        </ext>
      </extLst>
    </bk>
    <bk>
      <extLst>
        <ext uri="{3e2802c4-a4d2-4d8b-9148-e3be6c30e623}">
          <xlrd:rvb i="1433"/>
        </ext>
      </extLst>
    </bk>
    <bk>
      <extLst>
        <ext uri="{3e2802c4-a4d2-4d8b-9148-e3be6c30e623}">
          <xlrd:rvb i="1434"/>
        </ext>
      </extLst>
    </bk>
    <bk>
      <extLst>
        <ext uri="{3e2802c4-a4d2-4d8b-9148-e3be6c30e623}">
          <xlrd:rvb i="1435"/>
        </ext>
      </extLst>
    </bk>
    <bk>
      <extLst>
        <ext uri="{3e2802c4-a4d2-4d8b-9148-e3be6c30e623}">
          <xlrd:rvb i="1436"/>
        </ext>
      </extLst>
    </bk>
    <bk>
      <extLst>
        <ext uri="{3e2802c4-a4d2-4d8b-9148-e3be6c30e623}">
          <xlrd:rvb i="1437"/>
        </ext>
      </extLst>
    </bk>
    <bk>
      <extLst>
        <ext uri="{3e2802c4-a4d2-4d8b-9148-e3be6c30e623}">
          <xlrd:rvb i="1438"/>
        </ext>
      </extLst>
    </bk>
    <bk>
      <extLst>
        <ext uri="{3e2802c4-a4d2-4d8b-9148-e3be6c30e623}">
          <xlrd:rvb i="1439"/>
        </ext>
      </extLst>
    </bk>
    <bk>
      <extLst>
        <ext uri="{3e2802c4-a4d2-4d8b-9148-e3be6c30e623}">
          <xlrd:rvb i="1440"/>
        </ext>
      </extLst>
    </bk>
    <bk>
      <extLst>
        <ext uri="{3e2802c4-a4d2-4d8b-9148-e3be6c30e623}">
          <xlrd:rvb i="1441"/>
        </ext>
      </extLst>
    </bk>
    <bk>
      <extLst>
        <ext uri="{3e2802c4-a4d2-4d8b-9148-e3be6c30e623}">
          <xlrd:rvb i="1442"/>
        </ext>
      </extLst>
    </bk>
    <bk>
      <extLst>
        <ext uri="{3e2802c4-a4d2-4d8b-9148-e3be6c30e623}">
          <xlrd:rvb i="1443"/>
        </ext>
      </extLst>
    </bk>
    <bk>
      <extLst>
        <ext uri="{3e2802c4-a4d2-4d8b-9148-e3be6c30e623}">
          <xlrd:rvb i="1444"/>
        </ext>
      </extLst>
    </bk>
    <bk>
      <extLst>
        <ext uri="{3e2802c4-a4d2-4d8b-9148-e3be6c30e623}">
          <xlrd:rvb i="1445"/>
        </ext>
      </extLst>
    </bk>
    <bk>
      <extLst>
        <ext uri="{3e2802c4-a4d2-4d8b-9148-e3be6c30e623}">
          <xlrd:rvb i="1446"/>
        </ext>
      </extLst>
    </bk>
    <bk>
      <extLst>
        <ext uri="{3e2802c4-a4d2-4d8b-9148-e3be6c30e623}">
          <xlrd:rvb i="1447"/>
        </ext>
      </extLst>
    </bk>
    <bk>
      <extLst>
        <ext uri="{3e2802c4-a4d2-4d8b-9148-e3be6c30e623}">
          <xlrd:rvb i="1448"/>
        </ext>
      </extLst>
    </bk>
    <bk>
      <extLst>
        <ext uri="{3e2802c4-a4d2-4d8b-9148-e3be6c30e623}">
          <xlrd:rvb i="1449"/>
        </ext>
      </extLst>
    </bk>
    <bk>
      <extLst>
        <ext uri="{3e2802c4-a4d2-4d8b-9148-e3be6c30e623}">
          <xlrd:rvb i="1450"/>
        </ext>
      </extLst>
    </bk>
    <bk>
      <extLst>
        <ext uri="{3e2802c4-a4d2-4d8b-9148-e3be6c30e623}">
          <xlrd:rvb i="1451"/>
        </ext>
      </extLst>
    </bk>
    <bk>
      <extLst>
        <ext uri="{3e2802c4-a4d2-4d8b-9148-e3be6c30e623}">
          <xlrd:rvb i="1452"/>
        </ext>
      </extLst>
    </bk>
    <bk>
      <extLst>
        <ext uri="{3e2802c4-a4d2-4d8b-9148-e3be6c30e623}">
          <xlrd:rvb i="1453"/>
        </ext>
      </extLst>
    </bk>
    <bk>
      <extLst>
        <ext uri="{3e2802c4-a4d2-4d8b-9148-e3be6c30e623}">
          <xlrd:rvb i="1454"/>
        </ext>
      </extLst>
    </bk>
    <bk>
      <extLst>
        <ext uri="{3e2802c4-a4d2-4d8b-9148-e3be6c30e623}">
          <xlrd:rvb i="1455"/>
        </ext>
      </extLst>
    </bk>
    <bk>
      <extLst>
        <ext uri="{3e2802c4-a4d2-4d8b-9148-e3be6c30e623}">
          <xlrd:rvb i="1456"/>
        </ext>
      </extLst>
    </bk>
    <bk>
      <extLst>
        <ext uri="{3e2802c4-a4d2-4d8b-9148-e3be6c30e623}">
          <xlrd:rvb i="1457"/>
        </ext>
      </extLst>
    </bk>
    <bk>
      <extLst>
        <ext uri="{3e2802c4-a4d2-4d8b-9148-e3be6c30e623}">
          <xlrd:rvb i="1458"/>
        </ext>
      </extLst>
    </bk>
    <bk>
      <extLst>
        <ext uri="{3e2802c4-a4d2-4d8b-9148-e3be6c30e623}">
          <xlrd:rvb i="1459"/>
        </ext>
      </extLst>
    </bk>
    <bk>
      <extLst>
        <ext uri="{3e2802c4-a4d2-4d8b-9148-e3be6c30e623}">
          <xlrd:rvb i="1460"/>
        </ext>
      </extLst>
    </bk>
    <bk>
      <extLst>
        <ext uri="{3e2802c4-a4d2-4d8b-9148-e3be6c30e623}">
          <xlrd:rvb i="1461"/>
        </ext>
      </extLst>
    </bk>
    <bk>
      <extLst>
        <ext uri="{3e2802c4-a4d2-4d8b-9148-e3be6c30e623}">
          <xlrd:rvb i="1462"/>
        </ext>
      </extLst>
    </bk>
    <bk>
      <extLst>
        <ext uri="{3e2802c4-a4d2-4d8b-9148-e3be6c30e623}">
          <xlrd:rvb i="1463"/>
        </ext>
      </extLst>
    </bk>
    <bk>
      <extLst>
        <ext uri="{3e2802c4-a4d2-4d8b-9148-e3be6c30e623}">
          <xlrd:rvb i="1464"/>
        </ext>
      </extLst>
    </bk>
    <bk>
      <extLst>
        <ext uri="{3e2802c4-a4d2-4d8b-9148-e3be6c30e623}">
          <xlrd:rvb i="1465"/>
        </ext>
      </extLst>
    </bk>
    <bk>
      <extLst>
        <ext uri="{3e2802c4-a4d2-4d8b-9148-e3be6c30e623}">
          <xlrd:rvb i="1466"/>
        </ext>
      </extLst>
    </bk>
    <bk>
      <extLst>
        <ext uri="{3e2802c4-a4d2-4d8b-9148-e3be6c30e623}">
          <xlrd:rvb i="1467"/>
        </ext>
      </extLst>
    </bk>
    <bk>
      <extLst>
        <ext uri="{3e2802c4-a4d2-4d8b-9148-e3be6c30e623}">
          <xlrd:rvb i="1468"/>
        </ext>
      </extLst>
    </bk>
    <bk>
      <extLst>
        <ext uri="{3e2802c4-a4d2-4d8b-9148-e3be6c30e623}">
          <xlrd:rvb i="1469"/>
        </ext>
      </extLst>
    </bk>
    <bk>
      <extLst>
        <ext uri="{3e2802c4-a4d2-4d8b-9148-e3be6c30e623}">
          <xlrd:rvb i="1470"/>
        </ext>
      </extLst>
    </bk>
    <bk>
      <extLst>
        <ext uri="{3e2802c4-a4d2-4d8b-9148-e3be6c30e623}">
          <xlrd:rvb i="1471"/>
        </ext>
      </extLst>
    </bk>
    <bk>
      <extLst>
        <ext uri="{3e2802c4-a4d2-4d8b-9148-e3be6c30e623}">
          <xlrd:rvb i="1472"/>
        </ext>
      </extLst>
    </bk>
    <bk>
      <extLst>
        <ext uri="{3e2802c4-a4d2-4d8b-9148-e3be6c30e623}">
          <xlrd:rvb i="1473"/>
        </ext>
      </extLst>
    </bk>
    <bk>
      <extLst>
        <ext uri="{3e2802c4-a4d2-4d8b-9148-e3be6c30e623}">
          <xlrd:rvb i="1474"/>
        </ext>
      </extLst>
    </bk>
    <bk>
      <extLst>
        <ext uri="{3e2802c4-a4d2-4d8b-9148-e3be6c30e623}">
          <xlrd:rvb i="1475"/>
        </ext>
      </extLst>
    </bk>
    <bk>
      <extLst>
        <ext uri="{3e2802c4-a4d2-4d8b-9148-e3be6c30e623}">
          <xlrd:rvb i="1476"/>
        </ext>
      </extLst>
    </bk>
    <bk>
      <extLst>
        <ext uri="{3e2802c4-a4d2-4d8b-9148-e3be6c30e623}">
          <xlrd:rvb i="1477"/>
        </ext>
      </extLst>
    </bk>
    <bk>
      <extLst>
        <ext uri="{3e2802c4-a4d2-4d8b-9148-e3be6c30e623}">
          <xlrd:rvb i="1478"/>
        </ext>
      </extLst>
    </bk>
    <bk>
      <extLst>
        <ext uri="{3e2802c4-a4d2-4d8b-9148-e3be6c30e623}">
          <xlrd:rvb i="1479"/>
        </ext>
      </extLst>
    </bk>
    <bk>
      <extLst>
        <ext uri="{3e2802c4-a4d2-4d8b-9148-e3be6c30e623}">
          <xlrd:rvb i="1480"/>
        </ext>
      </extLst>
    </bk>
    <bk>
      <extLst>
        <ext uri="{3e2802c4-a4d2-4d8b-9148-e3be6c30e623}">
          <xlrd:rvb i="1481"/>
        </ext>
      </extLst>
    </bk>
    <bk>
      <extLst>
        <ext uri="{3e2802c4-a4d2-4d8b-9148-e3be6c30e623}">
          <xlrd:rvb i="1482"/>
        </ext>
      </extLst>
    </bk>
    <bk>
      <extLst>
        <ext uri="{3e2802c4-a4d2-4d8b-9148-e3be6c30e623}">
          <xlrd:rvb i="1483"/>
        </ext>
      </extLst>
    </bk>
    <bk>
      <extLst>
        <ext uri="{3e2802c4-a4d2-4d8b-9148-e3be6c30e623}">
          <xlrd:rvb i="1484"/>
        </ext>
      </extLst>
    </bk>
    <bk>
      <extLst>
        <ext uri="{3e2802c4-a4d2-4d8b-9148-e3be6c30e623}">
          <xlrd:rvb i="1485"/>
        </ext>
      </extLst>
    </bk>
    <bk>
      <extLst>
        <ext uri="{3e2802c4-a4d2-4d8b-9148-e3be6c30e623}">
          <xlrd:rvb i="1486"/>
        </ext>
      </extLst>
    </bk>
    <bk>
      <extLst>
        <ext uri="{3e2802c4-a4d2-4d8b-9148-e3be6c30e623}">
          <xlrd:rvb i="1487"/>
        </ext>
      </extLst>
    </bk>
    <bk>
      <extLst>
        <ext uri="{3e2802c4-a4d2-4d8b-9148-e3be6c30e623}">
          <xlrd:rvb i="1488"/>
        </ext>
      </extLst>
    </bk>
    <bk>
      <extLst>
        <ext uri="{3e2802c4-a4d2-4d8b-9148-e3be6c30e623}">
          <xlrd:rvb i="1489"/>
        </ext>
      </extLst>
    </bk>
    <bk>
      <extLst>
        <ext uri="{3e2802c4-a4d2-4d8b-9148-e3be6c30e623}">
          <xlrd:rvb i="1490"/>
        </ext>
      </extLst>
    </bk>
    <bk>
      <extLst>
        <ext uri="{3e2802c4-a4d2-4d8b-9148-e3be6c30e623}">
          <xlrd:rvb i="1491"/>
        </ext>
      </extLst>
    </bk>
    <bk>
      <extLst>
        <ext uri="{3e2802c4-a4d2-4d8b-9148-e3be6c30e623}">
          <xlrd:rvb i="1492"/>
        </ext>
      </extLst>
    </bk>
    <bk>
      <extLst>
        <ext uri="{3e2802c4-a4d2-4d8b-9148-e3be6c30e623}">
          <xlrd:rvb i="1493"/>
        </ext>
      </extLst>
    </bk>
    <bk>
      <extLst>
        <ext uri="{3e2802c4-a4d2-4d8b-9148-e3be6c30e623}">
          <xlrd:rvb i="1494"/>
        </ext>
      </extLst>
    </bk>
    <bk>
      <extLst>
        <ext uri="{3e2802c4-a4d2-4d8b-9148-e3be6c30e623}">
          <xlrd:rvb i="1495"/>
        </ext>
      </extLst>
    </bk>
    <bk>
      <extLst>
        <ext uri="{3e2802c4-a4d2-4d8b-9148-e3be6c30e623}">
          <xlrd:rvb i="1496"/>
        </ext>
      </extLst>
    </bk>
    <bk>
      <extLst>
        <ext uri="{3e2802c4-a4d2-4d8b-9148-e3be6c30e623}">
          <xlrd:rvb i="1497"/>
        </ext>
      </extLst>
    </bk>
    <bk>
      <extLst>
        <ext uri="{3e2802c4-a4d2-4d8b-9148-e3be6c30e623}">
          <xlrd:rvb i="1498"/>
        </ext>
      </extLst>
    </bk>
    <bk>
      <extLst>
        <ext uri="{3e2802c4-a4d2-4d8b-9148-e3be6c30e623}">
          <xlrd:rvb i="1499"/>
        </ext>
      </extLst>
    </bk>
    <bk>
      <extLst>
        <ext uri="{3e2802c4-a4d2-4d8b-9148-e3be6c30e623}">
          <xlrd:rvb i="1500"/>
        </ext>
      </extLst>
    </bk>
    <bk>
      <extLst>
        <ext uri="{3e2802c4-a4d2-4d8b-9148-e3be6c30e623}">
          <xlrd:rvb i="1501"/>
        </ext>
      </extLst>
    </bk>
    <bk>
      <extLst>
        <ext uri="{3e2802c4-a4d2-4d8b-9148-e3be6c30e623}">
          <xlrd:rvb i="1502"/>
        </ext>
      </extLst>
    </bk>
    <bk>
      <extLst>
        <ext uri="{3e2802c4-a4d2-4d8b-9148-e3be6c30e623}">
          <xlrd:rvb i="1503"/>
        </ext>
      </extLst>
    </bk>
    <bk>
      <extLst>
        <ext uri="{3e2802c4-a4d2-4d8b-9148-e3be6c30e623}">
          <xlrd:rvb i="1504"/>
        </ext>
      </extLst>
    </bk>
    <bk>
      <extLst>
        <ext uri="{3e2802c4-a4d2-4d8b-9148-e3be6c30e623}">
          <xlrd:rvb i="1505"/>
        </ext>
      </extLst>
    </bk>
    <bk>
      <extLst>
        <ext uri="{3e2802c4-a4d2-4d8b-9148-e3be6c30e623}">
          <xlrd:rvb i="1506"/>
        </ext>
      </extLst>
    </bk>
    <bk>
      <extLst>
        <ext uri="{3e2802c4-a4d2-4d8b-9148-e3be6c30e623}">
          <xlrd:rvb i="1507"/>
        </ext>
      </extLst>
    </bk>
    <bk>
      <extLst>
        <ext uri="{3e2802c4-a4d2-4d8b-9148-e3be6c30e623}">
          <xlrd:rvb i="1508"/>
        </ext>
      </extLst>
    </bk>
    <bk>
      <extLst>
        <ext uri="{3e2802c4-a4d2-4d8b-9148-e3be6c30e623}">
          <xlrd:rvb i="1509"/>
        </ext>
      </extLst>
    </bk>
    <bk>
      <extLst>
        <ext uri="{3e2802c4-a4d2-4d8b-9148-e3be6c30e623}">
          <xlrd:rvb i="1510"/>
        </ext>
      </extLst>
    </bk>
    <bk>
      <extLst>
        <ext uri="{3e2802c4-a4d2-4d8b-9148-e3be6c30e623}">
          <xlrd:rvb i="1511"/>
        </ext>
      </extLst>
    </bk>
    <bk>
      <extLst>
        <ext uri="{3e2802c4-a4d2-4d8b-9148-e3be6c30e623}">
          <xlrd:rvb i="1512"/>
        </ext>
      </extLst>
    </bk>
    <bk>
      <extLst>
        <ext uri="{3e2802c4-a4d2-4d8b-9148-e3be6c30e623}">
          <xlrd:rvb i="1513"/>
        </ext>
      </extLst>
    </bk>
    <bk>
      <extLst>
        <ext uri="{3e2802c4-a4d2-4d8b-9148-e3be6c30e623}">
          <xlrd:rvb i="1514"/>
        </ext>
      </extLst>
    </bk>
    <bk>
      <extLst>
        <ext uri="{3e2802c4-a4d2-4d8b-9148-e3be6c30e623}">
          <xlrd:rvb i="1515"/>
        </ext>
      </extLst>
    </bk>
    <bk>
      <extLst>
        <ext uri="{3e2802c4-a4d2-4d8b-9148-e3be6c30e623}">
          <xlrd:rvb i="1516"/>
        </ext>
      </extLst>
    </bk>
    <bk>
      <extLst>
        <ext uri="{3e2802c4-a4d2-4d8b-9148-e3be6c30e623}">
          <xlrd:rvb i="1517"/>
        </ext>
      </extLst>
    </bk>
    <bk>
      <extLst>
        <ext uri="{3e2802c4-a4d2-4d8b-9148-e3be6c30e623}">
          <xlrd:rvb i="1518"/>
        </ext>
      </extLst>
    </bk>
    <bk>
      <extLst>
        <ext uri="{3e2802c4-a4d2-4d8b-9148-e3be6c30e623}">
          <xlrd:rvb i="1519"/>
        </ext>
      </extLst>
    </bk>
    <bk>
      <extLst>
        <ext uri="{3e2802c4-a4d2-4d8b-9148-e3be6c30e623}">
          <xlrd:rvb i="1520"/>
        </ext>
      </extLst>
    </bk>
    <bk>
      <extLst>
        <ext uri="{3e2802c4-a4d2-4d8b-9148-e3be6c30e623}">
          <xlrd:rvb i="1521"/>
        </ext>
      </extLst>
    </bk>
    <bk>
      <extLst>
        <ext uri="{3e2802c4-a4d2-4d8b-9148-e3be6c30e623}">
          <xlrd:rvb i="1522"/>
        </ext>
      </extLst>
    </bk>
    <bk>
      <extLst>
        <ext uri="{3e2802c4-a4d2-4d8b-9148-e3be6c30e623}">
          <xlrd:rvb i="1523"/>
        </ext>
      </extLst>
    </bk>
    <bk>
      <extLst>
        <ext uri="{3e2802c4-a4d2-4d8b-9148-e3be6c30e623}">
          <xlrd:rvb i="1524"/>
        </ext>
      </extLst>
    </bk>
    <bk>
      <extLst>
        <ext uri="{3e2802c4-a4d2-4d8b-9148-e3be6c30e623}">
          <xlrd:rvb i="1525"/>
        </ext>
      </extLst>
    </bk>
    <bk>
      <extLst>
        <ext uri="{3e2802c4-a4d2-4d8b-9148-e3be6c30e623}">
          <xlrd:rvb i="1526"/>
        </ext>
      </extLst>
    </bk>
    <bk>
      <extLst>
        <ext uri="{3e2802c4-a4d2-4d8b-9148-e3be6c30e623}">
          <xlrd:rvb i="1527"/>
        </ext>
      </extLst>
    </bk>
    <bk>
      <extLst>
        <ext uri="{3e2802c4-a4d2-4d8b-9148-e3be6c30e623}">
          <xlrd:rvb i="1528"/>
        </ext>
      </extLst>
    </bk>
    <bk>
      <extLst>
        <ext uri="{3e2802c4-a4d2-4d8b-9148-e3be6c30e623}">
          <xlrd:rvb i="1529"/>
        </ext>
      </extLst>
    </bk>
    <bk>
      <extLst>
        <ext uri="{3e2802c4-a4d2-4d8b-9148-e3be6c30e623}">
          <xlrd:rvb i="1530"/>
        </ext>
      </extLst>
    </bk>
    <bk>
      <extLst>
        <ext uri="{3e2802c4-a4d2-4d8b-9148-e3be6c30e623}">
          <xlrd:rvb i="1531"/>
        </ext>
      </extLst>
    </bk>
    <bk>
      <extLst>
        <ext uri="{3e2802c4-a4d2-4d8b-9148-e3be6c30e623}">
          <xlrd:rvb i="1532"/>
        </ext>
      </extLst>
    </bk>
    <bk>
      <extLst>
        <ext uri="{3e2802c4-a4d2-4d8b-9148-e3be6c30e623}">
          <xlrd:rvb i="1533"/>
        </ext>
      </extLst>
    </bk>
    <bk>
      <extLst>
        <ext uri="{3e2802c4-a4d2-4d8b-9148-e3be6c30e623}">
          <xlrd:rvb i="1534"/>
        </ext>
      </extLst>
    </bk>
    <bk>
      <extLst>
        <ext uri="{3e2802c4-a4d2-4d8b-9148-e3be6c30e623}">
          <xlrd:rvb i="1535"/>
        </ext>
      </extLst>
    </bk>
    <bk>
      <extLst>
        <ext uri="{3e2802c4-a4d2-4d8b-9148-e3be6c30e623}">
          <xlrd:rvb i="1536"/>
        </ext>
      </extLst>
    </bk>
    <bk>
      <extLst>
        <ext uri="{3e2802c4-a4d2-4d8b-9148-e3be6c30e623}">
          <xlrd:rvb i="1537"/>
        </ext>
      </extLst>
    </bk>
    <bk>
      <extLst>
        <ext uri="{3e2802c4-a4d2-4d8b-9148-e3be6c30e623}">
          <xlrd:rvb i="1538"/>
        </ext>
      </extLst>
    </bk>
    <bk>
      <extLst>
        <ext uri="{3e2802c4-a4d2-4d8b-9148-e3be6c30e623}">
          <xlrd:rvb i="1539"/>
        </ext>
      </extLst>
    </bk>
    <bk>
      <extLst>
        <ext uri="{3e2802c4-a4d2-4d8b-9148-e3be6c30e623}">
          <xlrd:rvb i="1540"/>
        </ext>
      </extLst>
    </bk>
    <bk>
      <extLst>
        <ext uri="{3e2802c4-a4d2-4d8b-9148-e3be6c30e623}">
          <xlrd:rvb i="1541"/>
        </ext>
      </extLst>
    </bk>
    <bk>
      <extLst>
        <ext uri="{3e2802c4-a4d2-4d8b-9148-e3be6c30e623}">
          <xlrd:rvb i="1542"/>
        </ext>
      </extLst>
    </bk>
    <bk>
      <extLst>
        <ext uri="{3e2802c4-a4d2-4d8b-9148-e3be6c30e623}">
          <xlrd:rvb i="1543"/>
        </ext>
      </extLst>
    </bk>
    <bk>
      <extLst>
        <ext uri="{3e2802c4-a4d2-4d8b-9148-e3be6c30e623}">
          <xlrd:rvb i="1544"/>
        </ext>
      </extLst>
    </bk>
    <bk>
      <extLst>
        <ext uri="{3e2802c4-a4d2-4d8b-9148-e3be6c30e623}">
          <xlrd:rvb i="1545"/>
        </ext>
      </extLst>
    </bk>
    <bk>
      <extLst>
        <ext uri="{3e2802c4-a4d2-4d8b-9148-e3be6c30e623}">
          <xlrd:rvb i="1546"/>
        </ext>
      </extLst>
    </bk>
    <bk>
      <extLst>
        <ext uri="{3e2802c4-a4d2-4d8b-9148-e3be6c30e623}">
          <xlrd:rvb i="1547"/>
        </ext>
      </extLst>
    </bk>
    <bk>
      <extLst>
        <ext uri="{3e2802c4-a4d2-4d8b-9148-e3be6c30e623}">
          <xlrd:rvb i="1548"/>
        </ext>
      </extLst>
    </bk>
    <bk>
      <extLst>
        <ext uri="{3e2802c4-a4d2-4d8b-9148-e3be6c30e623}">
          <xlrd:rvb i="1549"/>
        </ext>
      </extLst>
    </bk>
    <bk>
      <extLst>
        <ext uri="{3e2802c4-a4d2-4d8b-9148-e3be6c30e623}">
          <xlrd:rvb i="1550"/>
        </ext>
      </extLst>
    </bk>
    <bk>
      <extLst>
        <ext uri="{3e2802c4-a4d2-4d8b-9148-e3be6c30e623}">
          <xlrd:rvb i="1551"/>
        </ext>
      </extLst>
    </bk>
    <bk>
      <extLst>
        <ext uri="{3e2802c4-a4d2-4d8b-9148-e3be6c30e623}">
          <xlrd:rvb i="1552"/>
        </ext>
      </extLst>
    </bk>
    <bk>
      <extLst>
        <ext uri="{3e2802c4-a4d2-4d8b-9148-e3be6c30e623}">
          <xlrd:rvb i="1553"/>
        </ext>
      </extLst>
    </bk>
    <bk>
      <extLst>
        <ext uri="{3e2802c4-a4d2-4d8b-9148-e3be6c30e623}">
          <xlrd:rvb i="1554"/>
        </ext>
      </extLst>
    </bk>
    <bk>
      <extLst>
        <ext uri="{3e2802c4-a4d2-4d8b-9148-e3be6c30e623}">
          <xlrd:rvb i="1555"/>
        </ext>
      </extLst>
    </bk>
    <bk>
      <extLst>
        <ext uri="{3e2802c4-a4d2-4d8b-9148-e3be6c30e623}">
          <xlrd:rvb i="1556"/>
        </ext>
      </extLst>
    </bk>
    <bk>
      <extLst>
        <ext uri="{3e2802c4-a4d2-4d8b-9148-e3be6c30e623}">
          <xlrd:rvb i="1557"/>
        </ext>
      </extLst>
    </bk>
    <bk>
      <extLst>
        <ext uri="{3e2802c4-a4d2-4d8b-9148-e3be6c30e623}">
          <xlrd:rvb i="1558"/>
        </ext>
      </extLst>
    </bk>
    <bk>
      <extLst>
        <ext uri="{3e2802c4-a4d2-4d8b-9148-e3be6c30e623}">
          <xlrd:rvb i="1559"/>
        </ext>
      </extLst>
    </bk>
    <bk>
      <extLst>
        <ext uri="{3e2802c4-a4d2-4d8b-9148-e3be6c30e623}">
          <xlrd:rvb i="1560"/>
        </ext>
      </extLst>
    </bk>
    <bk>
      <extLst>
        <ext uri="{3e2802c4-a4d2-4d8b-9148-e3be6c30e623}">
          <xlrd:rvb i="1561"/>
        </ext>
      </extLst>
    </bk>
    <bk>
      <extLst>
        <ext uri="{3e2802c4-a4d2-4d8b-9148-e3be6c30e623}">
          <xlrd:rvb i="1562"/>
        </ext>
      </extLst>
    </bk>
    <bk>
      <extLst>
        <ext uri="{3e2802c4-a4d2-4d8b-9148-e3be6c30e623}">
          <xlrd:rvb i="1563"/>
        </ext>
      </extLst>
    </bk>
    <bk>
      <extLst>
        <ext uri="{3e2802c4-a4d2-4d8b-9148-e3be6c30e623}">
          <xlrd:rvb i="1564"/>
        </ext>
      </extLst>
    </bk>
    <bk>
      <extLst>
        <ext uri="{3e2802c4-a4d2-4d8b-9148-e3be6c30e623}">
          <xlrd:rvb i="1565"/>
        </ext>
      </extLst>
    </bk>
    <bk>
      <extLst>
        <ext uri="{3e2802c4-a4d2-4d8b-9148-e3be6c30e623}">
          <xlrd:rvb i="1566"/>
        </ext>
      </extLst>
    </bk>
    <bk>
      <extLst>
        <ext uri="{3e2802c4-a4d2-4d8b-9148-e3be6c30e623}">
          <xlrd:rvb i="1567"/>
        </ext>
      </extLst>
    </bk>
    <bk>
      <extLst>
        <ext uri="{3e2802c4-a4d2-4d8b-9148-e3be6c30e623}">
          <xlrd:rvb i="1568"/>
        </ext>
      </extLst>
    </bk>
    <bk>
      <extLst>
        <ext uri="{3e2802c4-a4d2-4d8b-9148-e3be6c30e623}">
          <xlrd:rvb i="1569"/>
        </ext>
      </extLst>
    </bk>
    <bk>
      <extLst>
        <ext uri="{3e2802c4-a4d2-4d8b-9148-e3be6c30e623}">
          <xlrd:rvb i="1570"/>
        </ext>
      </extLst>
    </bk>
    <bk>
      <extLst>
        <ext uri="{3e2802c4-a4d2-4d8b-9148-e3be6c30e623}">
          <xlrd:rvb i="1571"/>
        </ext>
      </extLst>
    </bk>
    <bk>
      <extLst>
        <ext uri="{3e2802c4-a4d2-4d8b-9148-e3be6c30e623}">
          <xlrd:rvb i="1572"/>
        </ext>
      </extLst>
    </bk>
    <bk>
      <extLst>
        <ext uri="{3e2802c4-a4d2-4d8b-9148-e3be6c30e623}">
          <xlrd:rvb i="1573"/>
        </ext>
      </extLst>
    </bk>
    <bk>
      <extLst>
        <ext uri="{3e2802c4-a4d2-4d8b-9148-e3be6c30e623}">
          <xlrd:rvb i="1574"/>
        </ext>
      </extLst>
    </bk>
    <bk>
      <extLst>
        <ext uri="{3e2802c4-a4d2-4d8b-9148-e3be6c30e623}">
          <xlrd:rvb i="1575"/>
        </ext>
      </extLst>
    </bk>
    <bk>
      <extLst>
        <ext uri="{3e2802c4-a4d2-4d8b-9148-e3be6c30e623}">
          <xlrd:rvb i="1576"/>
        </ext>
      </extLst>
    </bk>
    <bk>
      <extLst>
        <ext uri="{3e2802c4-a4d2-4d8b-9148-e3be6c30e623}">
          <xlrd:rvb i="1577"/>
        </ext>
      </extLst>
    </bk>
    <bk>
      <extLst>
        <ext uri="{3e2802c4-a4d2-4d8b-9148-e3be6c30e623}">
          <xlrd:rvb i="1578"/>
        </ext>
      </extLst>
    </bk>
    <bk>
      <extLst>
        <ext uri="{3e2802c4-a4d2-4d8b-9148-e3be6c30e623}">
          <xlrd:rvb i="1579"/>
        </ext>
      </extLst>
    </bk>
    <bk>
      <extLst>
        <ext uri="{3e2802c4-a4d2-4d8b-9148-e3be6c30e623}">
          <xlrd:rvb i="1580"/>
        </ext>
      </extLst>
    </bk>
    <bk>
      <extLst>
        <ext uri="{3e2802c4-a4d2-4d8b-9148-e3be6c30e623}">
          <xlrd:rvb i="1581"/>
        </ext>
      </extLst>
    </bk>
    <bk>
      <extLst>
        <ext uri="{3e2802c4-a4d2-4d8b-9148-e3be6c30e623}">
          <xlrd:rvb i="1582"/>
        </ext>
      </extLst>
    </bk>
    <bk>
      <extLst>
        <ext uri="{3e2802c4-a4d2-4d8b-9148-e3be6c30e623}">
          <xlrd:rvb i="1583"/>
        </ext>
      </extLst>
    </bk>
    <bk>
      <extLst>
        <ext uri="{3e2802c4-a4d2-4d8b-9148-e3be6c30e623}">
          <xlrd:rvb i="1584"/>
        </ext>
      </extLst>
    </bk>
    <bk>
      <extLst>
        <ext uri="{3e2802c4-a4d2-4d8b-9148-e3be6c30e623}">
          <xlrd:rvb i="1585"/>
        </ext>
      </extLst>
    </bk>
    <bk>
      <extLst>
        <ext uri="{3e2802c4-a4d2-4d8b-9148-e3be6c30e623}">
          <xlrd:rvb i="1586"/>
        </ext>
      </extLst>
    </bk>
    <bk>
      <extLst>
        <ext uri="{3e2802c4-a4d2-4d8b-9148-e3be6c30e623}">
          <xlrd:rvb i="1587"/>
        </ext>
      </extLst>
    </bk>
    <bk>
      <extLst>
        <ext uri="{3e2802c4-a4d2-4d8b-9148-e3be6c30e623}">
          <xlrd:rvb i="1588"/>
        </ext>
      </extLst>
    </bk>
    <bk>
      <extLst>
        <ext uri="{3e2802c4-a4d2-4d8b-9148-e3be6c30e623}">
          <xlrd:rvb i="1589"/>
        </ext>
      </extLst>
    </bk>
    <bk>
      <extLst>
        <ext uri="{3e2802c4-a4d2-4d8b-9148-e3be6c30e623}">
          <xlrd:rvb i="1590"/>
        </ext>
      </extLst>
    </bk>
    <bk>
      <extLst>
        <ext uri="{3e2802c4-a4d2-4d8b-9148-e3be6c30e623}">
          <xlrd:rvb i="1591"/>
        </ext>
      </extLst>
    </bk>
    <bk>
      <extLst>
        <ext uri="{3e2802c4-a4d2-4d8b-9148-e3be6c30e623}">
          <xlrd:rvb i="1592"/>
        </ext>
      </extLst>
    </bk>
    <bk>
      <extLst>
        <ext uri="{3e2802c4-a4d2-4d8b-9148-e3be6c30e623}">
          <xlrd:rvb i="1593"/>
        </ext>
      </extLst>
    </bk>
    <bk>
      <extLst>
        <ext uri="{3e2802c4-a4d2-4d8b-9148-e3be6c30e623}">
          <xlrd:rvb i="1594"/>
        </ext>
      </extLst>
    </bk>
    <bk>
      <extLst>
        <ext uri="{3e2802c4-a4d2-4d8b-9148-e3be6c30e623}">
          <xlrd:rvb i="1595"/>
        </ext>
      </extLst>
    </bk>
    <bk>
      <extLst>
        <ext uri="{3e2802c4-a4d2-4d8b-9148-e3be6c30e623}">
          <xlrd:rvb i="1596"/>
        </ext>
      </extLst>
    </bk>
    <bk>
      <extLst>
        <ext uri="{3e2802c4-a4d2-4d8b-9148-e3be6c30e623}">
          <xlrd:rvb i="1597"/>
        </ext>
      </extLst>
    </bk>
    <bk>
      <extLst>
        <ext uri="{3e2802c4-a4d2-4d8b-9148-e3be6c30e623}">
          <xlrd:rvb i="1598"/>
        </ext>
      </extLst>
    </bk>
    <bk>
      <extLst>
        <ext uri="{3e2802c4-a4d2-4d8b-9148-e3be6c30e623}">
          <xlrd:rvb i="1599"/>
        </ext>
      </extLst>
    </bk>
    <bk>
      <extLst>
        <ext uri="{3e2802c4-a4d2-4d8b-9148-e3be6c30e623}">
          <xlrd:rvb i="1600"/>
        </ext>
      </extLst>
    </bk>
    <bk>
      <extLst>
        <ext uri="{3e2802c4-a4d2-4d8b-9148-e3be6c30e623}">
          <xlrd:rvb i="1601"/>
        </ext>
      </extLst>
    </bk>
    <bk>
      <extLst>
        <ext uri="{3e2802c4-a4d2-4d8b-9148-e3be6c30e623}">
          <xlrd:rvb i="1602"/>
        </ext>
      </extLst>
    </bk>
    <bk>
      <extLst>
        <ext uri="{3e2802c4-a4d2-4d8b-9148-e3be6c30e623}">
          <xlrd:rvb i="1603"/>
        </ext>
      </extLst>
    </bk>
    <bk>
      <extLst>
        <ext uri="{3e2802c4-a4d2-4d8b-9148-e3be6c30e623}">
          <xlrd:rvb i="1604"/>
        </ext>
      </extLst>
    </bk>
    <bk>
      <extLst>
        <ext uri="{3e2802c4-a4d2-4d8b-9148-e3be6c30e623}">
          <xlrd:rvb i="1605"/>
        </ext>
      </extLst>
    </bk>
    <bk>
      <extLst>
        <ext uri="{3e2802c4-a4d2-4d8b-9148-e3be6c30e623}">
          <xlrd:rvb i="1606"/>
        </ext>
      </extLst>
    </bk>
    <bk>
      <extLst>
        <ext uri="{3e2802c4-a4d2-4d8b-9148-e3be6c30e623}">
          <xlrd:rvb i="1607"/>
        </ext>
      </extLst>
    </bk>
    <bk>
      <extLst>
        <ext uri="{3e2802c4-a4d2-4d8b-9148-e3be6c30e623}">
          <xlrd:rvb i="1608"/>
        </ext>
      </extLst>
    </bk>
    <bk>
      <extLst>
        <ext uri="{3e2802c4-a4d2-4d8b-9148-e3be6c30e623}">
          <xlrd:rvb i="1609"/>
        </ext>
      </extLst>
    </bk>
    <bk>
      <extLst>
        <ext uri="{3e2802c4-a4d2-4d8b-9148-e3be6c30e623}">
          <xlrd:rvb i="1610"/>
        </ext>
      </extLst>
    </bk>
    <bk>
      <extLst>
        <ext uri="{3e2802c4-a4d2-4d8b-9148-e3be6c30e623}">
          <xlrd:rvb i="1611"/>
        </ext>
      </extLst>
    </bk>
    <bk>
      <extLst>
        <ext uri="{3e2802c4-a4d2-4d8b-9148-e3be6c30e623}">
          <xlrd:rvb i="1612"/>
        </ext>
      </extLst>
    </bk>
    <bk>
      <extLst>
        <ext uri="{3e2802c4-a4d2-4d8b-9148-e3be6c30e623}">
          <xlrd:rvb i="1613"/>
        </ext>
      </extLst>
    </bk>
    <bk>
      <extLst>
        <ext uri="{3e2802c4-a4d2-4d8b-9148-e3be6c30e623}">
          <xlrd:rvb i="1614"/>
        </ext>
      </extLst>
    </bk>
    <bk>
      <extLst>
        <ext uri="{3e2802c4-a4d2-4d8b-9148-e3be6c30e623}">
          <xlrd:rvb i="1615"/>
        </ext>
      </extLst>
    </bk>
    <bk>
      <extLst>
        <ext uri="{3e2802c4-a4d2-4d8b-9148-e3be6c30e623}">
          <xlrd:rvb i="1616"/>
        </ext>
      </extLst>
    </bk>
    <bk>
      <extLst>
        <ext uri="{3e2802c4-a4d2-4d8b-9148-e3be6c30e623}">
          <xlrd:rvb i="1617"/>
        </ext>
      </extLst>
    </bk>
    <bk>
      <extLst>
        <ext uri="{3e2802c4-a4d2-4d8b-9148-e3be6c30e623}">
          <xlrd:rvb i="1618"/>
        </ext>
      </extLst>
    </bk>
    <bk>
      <extLst>
        <ext uri="{3e2802c4-a4d2-4d8b-9148-e3be6c30e623}">
          <xlrd:rvb i="1619"/>
        </ext>
      </extLst>
    </bk>
    <bk>
      <extLst>
        <ext uri="{3e2802c4-a4d2-4d8b-9148-e3be6c30e623}">
          <xlrd:rvb i="1620"/>
        </ext>
      </extLst>
    </bk>
    <bk>
      <extLst>
        <ext uri="{3e2802c4-a4d2-4d8b-9148-e3be6c30e623}">
          <xlrd:rvb i="1621"/>
        </ext>
      </extLst>
    </bk>
    <bk>
      <extLst>
        <ext uri="{3e2802c4-a4d2-4d8b-9148-e3be6c30e623}">
          <xlrd:rvb i="1622"/>
        </ext>
      </extLst>
    </bk>
    <bk>
      <extLst>
        <ext uri="{3e2802c4-a4d2-4d8b-9148-e3be6c30e623}">
          <xlrd:rvb i="1623"/>
        </ext>
      </extLst>
    </bk>
    <bk>
      <extLst>
        <ext uri="{3e2802c4-a4d2-4d8b-9148-e3be6c30e623}">
          <xlrd:rvb i="1624"/>
        </ext>
      </extLst>
    </bk>
    <bk>
      <extLst>
        <ext uri="{3e2802c4-a4d2-4d8b-9148-e3be6c30e623}">
          <xlrd:rvb i="1625"/>
        </ext>
      </extLst>
    </bk>
    <bk>
      <extLst>
        <ext uri="{3e2802c4-a4d2-4d8b-9148-e3be6c30e623}">
          <xlrd:rvb i="1626"/>
        </ext>
      </extLst>
    </bk>
    <bk>
      <extLst>
        <ext uri="{3e2802c4-a4d2-4d8b-9148-e3be6c30e623}">
          <xlrd:rvb i="1627"/>
        </ext>
      </extLst>
    </bk>
    <bk>
      <extLst>
        <ext uri="{3e2802c4-a4d2-4d8b-9148-e3be6c30e623}">
          <xlrd:rvb i="1628"/>
        </ext>
      </extLst>
    </bk>
    <bk>
      <extLst>
        <ext uri="{3e2802c4-a4d2-4d8b-9148-e3be6c30e623}">
          <xlrd:rvb i="1629"/>
        </ext>
      </extLst>
    </bk>
    <bk>
      <extLst>
        <ext uri="{3e2802c4-a4d2-4d8b-9148-e3be6c30e623}">
          <xlrd:rvb i="1630"/>
        </ext>
      </extLst>
    </bk>
    <bk>
      <extLst>
        <ext uri="{3e2802c4-a4d2-4d8b-9148-e3be6c30e623}">
          <xlrd:rvb i="1631"/>
        </ext>
      </extLst>
    </bk>
    <bk>
      <extLst>
        <ext uri="{3e2802c4-a4d2-4d8b-9148-e3be6c30e623}">
          <xlrd:rvb i="1632"/>
        </ext>
      </extLst>
    </bk>
    <bk>
      <extLst>
        <ext uri="{3e2802c4-a4d2-4d8b-9148-e3be6c30e623}">
          <xlrd:rvb i="1633"/>
        </ext>
      </extLst>
    </bk>
    <bk>
      <extLst>
        <ext uri="{3e2802c4-a4d2-4d8b-9148-e3be6c30e623}">
          <xlrd:rvb i="1634"/>
        </ext>
      </extLst>
    </bk>
    <bk>
      <extLst>
        <ext uri="{3e2802c4-a4d2-4d8b-9148-e3be6c30e623}">
          <xlrd:rvb i="1635"/>
        </ext>
      </extLst>
    </bk>
    <bk>
      <extLst>
        <ext uri="{3e2802c4-a4d2-4d8b-9148-e3be6c30e623}">
          <xlrd:rvb i="1636"/>
        </ext>
      </extLst>
    </bk>
    <bk>
      <extLst>
        <ext uri="{3e2802c4-a4d2-4d8b-9148-e3be6c30e623}">
          <xlrd:rvb i="1637"/>
        </ext>
      </extLst>
    </bk>
    <bk>
      <extLst>
        <ext uri="{3e2802c4-a4d2-4d8b-9148-e3be6c30e623}">
          <xlrd:rvb i="1638"/>
        </ext>
      </extLst>
    </bk>
    <bk>
      <extLst>
        <ext uri="{3e2802c4-a4d2-4d8b-9148-e3be6c30e623}">
          <xlrd:rvb i="1639"/>
        </ext>
      </extLst>
    </bk>
    <bk>
      <extLst>
        <ext uri="{3e2802c4-a4d2-4d8b-9148-e3be6c30e623}">
          <xlrd:rvb i="1640"/>
        </ext>
      </extLst>
    </bk>
    <bk>
      <extLst>
        <ext uri="{3e2802c4-a4d2-4d8b-9148-e3be6c30e623}">
          <xlrd:rvb i="1641"/>
        </ext>
      </extLst>
    </bk>
    <bk>
      <extLst>
        <ext uri="{3e2802c4-a4d2-4d8b-9148-e3be6c30e623}">
          <xlrd:rvb i="1642"/>
        </ext>
      </extLst>
    </bk>
    <bk>
      <extLst>
        <ext uri="{3e2802c4-a4d2-4d8b-9148-e3be6c30e623}">
          <xlrd:rvb i="1643"/>
        </ext>
      </extLst>
    </bk>
    <bk>
      <extLst>
        <ext uri="{3e2802c4-a4d2-4d8b-9148-e3be6c30e623}">
          <xlrd:rvb i="1644"/>
        </ext>
      </extLst>
    </bk>
    <bk>
      <extLst>
        <ext uri="{3e2802c4-a4d2-4d8b-9148-e3be6c30e623}">
          <xlrd:rvb i="1645"/>
        </ext>
      </extLst>
    </bk>
    <bk>
      <extLst>
        <ext uri="{3e2802c4-a4d2-4d8b-9148-e3be6c30e623}">
          <xlrd:rvb i="1646"/>
        </ext>
      </extLst>
    </bk>
    <bk>
      <extLst>
        <ext uri="{3e2802c4-a4d2-4d8b-9148-e3be6c30e623}">
          <xlrd:rvb i="1647"/>
        </ext>
      </extLst>
    </bk>
    <bk>
      <extLst>
        <ext uri="{3e2802c4-a4d2-4d8b-9148-e3be6c30e623}">
          <xlrd:rvb i="1648"/>
        </ext>
      </extLst>
    </bk>
    <bk>
      <extLst>
        <ext uri="{3e2802c4-a4d2-4d8b-9148-e3be6c30e623}">
          <xlrd:rvb i="1649"/>
        </ext>
      </extLst>
    </bk>
    <bk>
      <extLst>
        <ext uri="{3e2802c4-a4d2-4d8b-9148-e3be6c30e623}">
          <xlrd:rvb i="1650"/>
        </ext>
      </extLst>
    </bk>
    <bk>
      <extLst>
        <ext uri="{3e2802c4-a4d2-4d8b-9148-e3be6c30e623}">
          <xlrd:rvb i="1651"/>
        </ext>
      </extLst>
    </bk>
    <bk>
      <extLst>
        <ext uri="{3e2802c4-a4d2-4d8b-9148-e3be6c30e623}">
          <xlrd:rvb i="1652"/>
        </ext>
      </extLst>
    </bk>
    <bk>
      <extLst>
        <ext uri="{3e2802c4-a4d2-4d8b-9148-e3be6c30e623}">
          <xlrd:rvb i="1653"/>
        </ext>
      </extLst>
    </bk>
    <bk>
      <extLst>
        <ext uri="{3e2802c4-a4d2-4d8b-9148-e3be6c30e623}">
          <xlrd:rvb i="1654"/>
        </ext>
      </extLst>
    </bk>
    <bk>
      <extLst>
        <ext uri="{3e2802c4-a4d2-4d8b-9148-e3be6c30e623}">
          <xlrd:rvb i="1655"/>
        </ext>
      </extLst>
    </bk>
    <bk>
      <extLst>
        <ext uri="{3e2802c4-a4d2-4d8b-9148-e3be6c30e623}">
          <xlrd:rvb i="1656"/>
        </ext>
      </extLst>
    </bk>
    <bk>
      <extLst>
        <ext uri="{3e2802c4-a4d2-4d8b-9148-e3be6c30e623}">
          <xlrd:rvb i="1657"/>
        </ext>
      </extLst>
    </bk>
    <bk>
      <extLst>
        <ext uri="{3e2802c4-a4d2-4d8b-9148-e3be6c30e623}">
          <xlrd:rvb i="1658"/>
        </ext>
      </extLst>
    </bk>
    <bk>
      <extLst>
        <ext uri="{3e2802c4-a4d2-4d8b-9148-e3be6c30e623}">
          <xlrd:rvb i="1659"/>
        </ext>
      </extLst>
    </bk>
    <bk>
      <extLst>
        <ext uri="{3e2802c4-a4d2-4d8b-9148-e3be6c30e623}">
          <xlrd:rvb i="1660"/>
        </ext>
      </extLst>
    </bk>
    <bk>
      <extLst>
        <ext uri="{3e2802c4-a4d2-4d8b-9148-e3be6c30e623}">
          <xlrd:rvb i="1661"/>
        </ext>
      </extLst>
    </bk>
    <bk>
      <extLst>
        <ext uri="{3e2802c4-a4d2-4d8b-9148-e3be6c30e623}">
          <xlrd:rvb i="1662"/>
        </ext>
      </extLst>
    </bk>
    <bk>
      <extLst>
        <ext uri="{3e2802c4-a4d2-4d8b-9148-e3be6c30e623}">
          <xlrd:rvb i="1663"/>
        </ext>
      </extLst>
    </bk>
    <bk>
      <extLst>
        <ext uri="{3e2802c4-a4d2-4d8b-9148-e3be6c30e623}">
          <xlrd:rvb i="1664"/>
        </ext>
      </extLst>
    </bk>
    <bk>
      <extLst>
        <ext uri="{3e2802c4-a4d2-4d8b-9148-e3be6c30e623}">
          <xlrd:rvb i="1665"/>
        </ext>
      </extLst>
    </bk>
    <bk>
      <extLst>
        <ext uri="{3e2802c4-a4d2-4d8b-9148-e3be6c30e623}">
          <xlrd:rvb i="1666"/>
        </ext>
      </extLst>
    </bk>
    <bk>
      <extLst>
        <ext uri="{3e2802c4-a4d2-4d8b-9148-e3be6c30e623}">
          <xlrd:rvb i="1667"/>
        </ext>
      </extLst>
    </bk>
    <bk>
      <extLst>
        <ext uri="{3e2802c4-a4d2-4d8b-9148-e3be6c30e623}">
          <xlrd:rvb i="1668"/>
        </ext>
      </extLst>
    </bk>
    <bk>
      <extLst>
        <ext uri="{3e2802c4-a4d2-4d8b-9148-e3be6c30e623}">
          <xlrd:rvb i="1669"/>
        </ext>
      </extLst>
    </bk>
    <bk>
      <extLst>
        <ext uri="{3e2802c4-a4d2-4d8b-9148-e3be6c30e623}">
          <xlrd:rvb i="1670"/>
        </ext>
      </extLst>
    </bk>
    <bk>
      <extLst>
        <ext uri="{3e2802c4-a4d2-4d8b-9148-e3be6c30e623}">
          <xlrd:rvb i="1671"/>
        </ext>
      </extLst>
    </bk>
    <bk>
      <extLst>
        <ext uri="{3e2802c4-a4d2-4d8b-9148-e3be6c30e623}">
          <xlrd:rvb i="1672"/>
        </ext>
      </extLst>
    </bk>
    <bk>
      <extLst>
        <ext uri="{3e2802c4-a4d2-4d8b-9148-e3be6c30e623}">
          <xlrd:rvb i="1673"/>
        </ext>
      </extLst>
    </bk>
    <bk>
      <extLst>
        <ext uri="{3e2802c4-a4d2-4d8b-9148-e3be6c30e623}">
          <xlrd:rvb i="1674"/>
        </ext>
      </extLst>
    </bk>
    <bk>
      <extLst>
        <ext uri="{3e2802c4-a4d2-4d8b-9148-e3be6c30e623}">
          <xlrd:rvb i="1675"/>
        </ext>
      </extLst>
    </bk>
    <bk>
      <extLst>
        <ext uri="{3e2802c4-a4d2-4d8b-9148-e3be6c30e623}">
          <xlrd:rvb i="1676"/>
        </ext>
      </extLst>
    </bk>
    <bk>
      <extLst>
        <ext uri="{3e2802c4-a4d2-4d8b-9148-e3be6c30e623}">
          <xlrd:rvb i="1677"/>
        </ext>
      </extLst>
    </bk>
    <bk>
      <extLst>
        <ext uri="{3e2802c4-a4d2-4d8b-9148-e3be6c30e623}">
          <xlrd:rvb i="1678"/>
        </ext>
      </extLst>
    </bk>
    <bk>
      <extLst>
        <ext uri="{3e2802c4-a4d2-4d8b-9148-e3be6c30e623}">
          <xlrd:rvb i="1679"/>
        </ext>
      </extLst>
    </bk>
    <bk>
      <extLst>
        <ext uri="{3e2802c4-a4d2-4d8b-9148-e3be6c30e623}">
          <xlrd:rvb i="1680"/>
        </ext>
      </extLst>
    </bk>
    <bk>
      <extLst>
        <ext uri="{3e2802c4-a4d2-4d8b-9148-e3be6c30e623}">
          <xlrd:rvb i="1681"/>
        </ext>
      </extLst>
    </bk>
    <bk>
      <extLst>
        <ext uri="{3e2802c4-a4d2-4d8b-9148-e3be6c30e623}">
          <xlrd:rvb i="1682"/>
        </ext>
      </extLst>
    </bk>
    <bk>
      <extLst>
        <ext uri="{3e2802c4-a4d2-4d8b-9148-e3be6c30e623}">
          <xlrd:rvb i="1683"/>
        </ext>
      </extLst>
    </bk>
    <bk>
      <extLst>
        <ext uri="{3e2802c4-a4d2-4d8b-9148-e3be6c30e623}">
          <xlrd:rvb i="1684"/>
        </ext>
      </extLst>
    </bk>
    <bk>
      <extLst>
        <ext uri="{3e2802c4-a4d2-4d8b-9148-e3be6c30e623}">
          <xlrd:rvb i="1685"/>
        </ext>
      </extLst>
    </bk>
    <bk>
      <extLst>
        <ext uri="{3e2802c4-a4d2-4d8b-9148-e3be6c30e623}">
          <xlrd:rvb i="1686"/>
        </ext>
      </extLst>
    </bk>
    <bk>
      <extLst>
        <ext uri="{3e2802c4-a4d2-4d8b-9148-e3be6c30e623}">
          <xlrd:rvb i="1687"/>
        </ext>
      </extLst>
    </bk>
    <bk>
      <extLst>
        <ext uri="{3e2802c4-a4d2-4d8b-9148-e3be6c30e623}">
          <xlrd:rvb i="1688"/>
        </ext>
      </extLst>
    </bk>
    <bk>
      <extLst>
        <ext uri="{3e2802c4-a4d2-4d8b-9148-e3be6c30e623}">
          <xlrd:rvb i="1689"/>
        </ext>
      </extLst>
    </bk>
    <bk>
      <extLst>
        <ext uri="{3e2802c4-a4d2-4d8b-9148-e3be6c30e623}">
          <xlrd:rvb i="1690"/>
        </ext>
      </extLst>
    </bk>
    <bk>
      <extLst>
        <ext uri="{3e2802c4-a4d2-4d8b-9148-e3be6c30e623}">
          <xlrd:rvb i="1691"/>
        </ext>
      </extLst>
    </bk>
    <bk>
      <extLst>
        <ext uri="{3e2802c4-a4d2-4d8b-9148-e3be6c30e623}">
          <xlrd:rvb i="1692"/>
        </ext>
      </extLst>
    </bk>
    <bk>
      <extLst>
        <ext uri="{3e2802c4-a4d2-4d8b-9148-e3be6c30e623}">
          <xlrd:rvb i="1693"/>
        </ext>
      </extLst>
    </bk>
    <bk>
      <extLst>
        <ext uri="{3e2802c4-a4d2-4d8b-9148-e3be6c30e623}">
          <xlrd:rvb i="1694"/>
        </ext>
      </extLst>
    </bk>
    <bk>
      <extLst>
        <ext uri="{3e2802c4-a4d2-4d8b-9148-e3be6c30e623}">
          <xlrd:rvb i="1695"/>
        </ext>
      </extLst>
    </bk>
    <bk>
      <extLst>
        <ext uri="{3e2802c4-a4d2-4d8b-9148-e3be6c30e623}">
          <xlrd:rvb i="1696"/>
        </ext>
      </extLst>
    </bk>
    <bk>
      <extLst>
        <ext uri="{3e2802c4-a4d2-4d8b-9148-e3be6c30e623}">
          <xlrd:rvb i="1697"/>
        </ext>
      </extLst>
    </bk>
    <bk>
      <extLst>
        <ext uri="{3e2802c4-a4d2-4d8b-9148-e3be6c30e623}">
          <xlrd:rvb i="1698"/>
        </ext>
      </extLst>
    </bk>
    <bk>
      <extLst>
        <ext uri="{3e2802c4-a4d2-4d8b-9148-e3be6c30e623}">
          <xlrd:rvb i="1699"/>
        </ext>
      </extLst>
    </bk>
    <bk>
      <extLst>
        <ext uri="{3e2802c4-a4d2-4d8b-9148-e3be6c30e623}">
          <xlrd:rvb i="1700"/>
        </ext>
      </extLst>
    </bk>
    <bk>
      <extLst>
        <ext uri="{3e2802c4-a4d2-4d8b-9148-e3be6c30e623}">
          <xlrd:rvb i="1701"/>
        </ext>
      </extLst>
    </bk>
    <bk>
      <extLst>
        <ext uri="{3e2802c4-a4d2-4d8b-9148-e3be6c30e623}">
          <xlrd:rvb i="1702"/>
        </ext>
      </extLst>
    </bk>
    <bk>
      <extLst>
        <ext uri="{3e2802c4-a4d2-4d8b-9148-e3be6c30e623}">
          <xlrd:rvb i="1703"/>
        </ext>
      </extLst>
    </bk>
    <bk>
      <extLst>
        <ext uri="{3e2802c4-a4d2-4d8b-9148-e3be6c30e623}">
          <xlrd:rvb i="1704"/>
        </ext>
      </extLst>
    </bk>
    <bk>
      <extLst>
        <ext uri="{3e2802c4-a4d2-4d8b-9148-e3be6c30e623}">
          <xlrd:rvb i="1705"/>
        </ext>
      </extLst>
    </bk>
    <bk>
      <extLst>
        <ext uri="{3e2802c4-a4d2-4d8b-9148-e3be6c30e623}">
          <xlrd:rvb i="1706"/>
        </ext>
      </extLst>
    </bk>
    <bk>
      <extLst>
        <ext uri="{3e2802c4-a4d2-4d8b-9148-e3be6c30e623}">
          <xlrd:rvb i="1707"/>
        </ext>
      </extLst>
    </bk>
    <bk>
      <extLst>
        <ext uri="{3e2802c4-a4d2-4d8b-9148-e3be6c30e623}">
          <xlrd:rvb i="1708"/>
        </ext>
      </extLst>
    </bk>
    <bk>
      <extLst>
        <ext uri="{3e2802c4-a4d2-4d8b-9148-e3be6c30e623}">
          <xlrd:rvb i="1709"/>
        </ext>
      </extLst>
    </bk>
    <bk>
      <extLst>
        <ext uri="{3e2802c4-a4d2-4d8b-9148-e3be6c30e623}">
          <xlrd:rvb i="1710"/>
        </ext>
      </extLst>
    </bk>
    <bk>
      <extLst>
        <ext uri="{3e2802c4-a4d2-4d8b-9148-e3be6c30e623}">
          <xlrd:rvb i="1711"/>
        </ext>
      </extLst>
    </bk>
    <bk>
      <extLst>
        <ext uri="{3e2802c4-a4d2-4d8b-9148-e3be6c30e623}">
          <xlrd:rvb i="1712"/>
        </ext>
      </extLst>
    </bk>
    <bk>
      <extLst>
        <ext uri="{3e2802c4-a4d2-4d8b-9148-e3be6c30e623}">
          <xlrd:rvb i="1713"/>
        </ext>
      </extLst>
    </bk>
    <bk>
      <extLst>
        <ext uri="{3e2802c4-a4d2-4d8b-9148-e3be6c30e623}">
          <xlrd:rvb i="1714"/>
        </ext>
      </extLst>
    </bk>
    <bk>
      <extLst>
        <ext uri="{3e2802c4-a4d2-4d8b-9148-e3be6c30e623}">
          <xlrd:rvb i="1715"/>
        </ext>
      </extLst>
    </bk>
    <bk>
      <extLst>
        <ext uri="{3e2802c4-a4d2-4d8b-9148-e3be6c30e623}">
          <xlrd:rvb i="1716"/>
        </ext>
      </extLst>
    </bk>
    <bk>
      <extLst>
        <ext uri="{3e2802c4-a4d2-4d8b-9148-e3be6c30e623}">
          <xlrd:rvb i="1717"/>
        </ext>
      </extLst>
    </bk>
    <bk>
      <extLst>
        <ext uri="{3e2802c4-a4d2-4d8b-9148-e3be6c30e623}">
          <xlrd:rvb i="1718"/>
        </ext>
      </extLst>
    </bk>
    <bk>
      <extLst>
        <ext uri="{3e2802c4-a4d2-4d8b-9148-e3be6c30e623}">
          <xlrd:rvb i="1719"/>
        </ext>
      </extLst>
    </bk>
    <bk>
      <extLst>
        <ext uri="{3e2802c4-a4d2-4d8b-9148-e3be6c30e623}">
          <xlrd:rvb i="1720"/>
        </ext>
      </extLst>
    </bk>
    <bk>
      <extLst>
        <ext uri="{3e2802c4-a4d2-4d8b-9148-e3be6c30e623}">
          <xlrd:rvb i="1721"/>
        </ext>
      </extLst>
    </bk>
    <bk>
      <extLst>
        <ext uri="{3e2802c4-a4d2-4d8b-9148-e3be6c30e623}">
          <xlrd:rvb i="1722"/>
        </ext>
      </extLst>
    </bk>
    <bk>
      <extLst>
        <ext uri="{3e2802c4-a4d2-4d8b-9148-e3be6c30e623}">
          <xlrd:rvb i="1723"/>
        </ext>
      </extLst>
    </bk>
    <bk>
      <extLst>
        <ext uri="{3e2802c4-a4d2-4d8b-9148-e3be6c30e623}">
          <xlrd:rvb i="1724"/>
        </ext>
      </extLst>
    </bk>
    <bk>
      <extLst>
        <ext uri="{3e2802c4-a4d2-4d8b-9148-e3be6c30e623}">
          <xlrd:rvb i="1725"/>
        </ext>
      </extLst>
    </bk>
    <bk>
      <extLst>
        <ext uri="{3e2802c4-a4d2-4d8b-9148-e3be6c30e623}">
          <xlrd:rvb i="1726"/>
        </ext>
      </extLst>
    </bk>
    <bk>
      <extLst>
        <ext uri="{3e2802c4-a4d2-4d8b-9148-e3be6c30e623}">
          <xlrd:rvb i="1727"/>
        </ext>
      </extLst>
    </bk>
    <bk>
      <extLst>
        <ext uri="{3e2802c4-a4d2-4d8b-9148-e3be6c30e623}">
          <xlrd:rvb i="1728"/>
        </ext>
      </extLst>
    </bk>
    <bk>
      <extLst>
        <ext uri="{3e2802c4-a4d2-4d8b-9148-e3be6c30e623}">
          <xlrd:rvb i="1729"/>
        </ext>
      </extLst>
    </bk>
    <bk>
      <extLst>
        <ext uri="{3e2802c4-a4d2-4d8b-9148-e3be6c30e623}">
          <xlrd:rvb i="1730"/>
        </ext>
      </extLst>
    </bk>
    <bk>
      <extLst>
        <ext uri="{3e2802c4-a4d2-4d8b-9148-e3be6c30e623}">
          <xlrd:rvb i="1731"/>
        </ext>
      </extLst>
    </bk>
    <bk>
      <extLst>
        <ext uri="{3e2802c4-a4d2-4d8b-9148-e3be6c30e623}">
          <xlrd:rvb i="1732"/>
        </ext>
      </extLst>
    </bk>
    <bk>
      <extLst>
        <ext uri="{3e2802c4-a4d2-4d8b-9148-e3be6c30e623}">
          <xlrd:rvb i="1733"/>
        </ext>
      </extLst>
    </bk>
    <bk>
      <extLst>
        <ext uri="{3e2802c4-a4d2-4d8b-9148-e3be6c30e623}">
          <xlrd:rvb i="1734"/>
        </ext>
      </extLst>
    </bk>
    <bk>
      <extLst>
        <ext uri="{3e2802c4-a4d2-4d8b-9148-e3be6c30e623}">
          <xlrd:rvb i="1735"/>
        </ext>
      </extLst>
    </bk>
    <bk>
      <extLst>
        <ext uri="{3e2802c4-a4d2-4d8b-9148-e3be6c30e623}">
          <xlrd:rvb i="1736"/>
        </ext>
      </extLst>
    </bk>
    <bk>
      <extLst>
        <ext uri="{3e2802c4-a4d2-4d8b-9148-e3be6c30e623}">
          <xlrd:rvb i="1737"/>
        </ext>
      </extLst>
    </bk>
    <bk>
      <extLst>
        <ext uri="{3e2802c4-a4d2-4d8b-9148-e3be6c30e623}">
          <xlrd:rvb i="1738"/>
        </ext>
      </extLst>
    </bk>
    <bk>
      <extLst>
        <ext uri="{3e2802c4-a4d2-4d8b-9148-e3be6c30e623}">
          <xlrd:rvb i="1739"/>
        </ext>
      </extLst>
    </bk>
    <bk>
      <extLst>
        <ext uri="{3e2802c4-a4d2-4d8b-9148-e3be6c30e623}">
          <xlrd:rvb i="1740"/>
        </ext>
      </extLst>
    </bk>
    <bk>
      <extLst>
        <ext uri="{3e2802c4-a4d2-4d8b-9148-e3be6c30e623}">
          <xlrd:rvb i="1741"/>
        </ext>
      </extLst>
    </bk>
    <bk>
      <extLst>
        <ext uri="{3e2802c4-a4d2-4d8b-9148-e3be6c30e623}">
          <xlrd:rvb i="1742"/>
        </ext>
      </extLst>
    </bk>
    <bk>
      <extLst>
        <ext uri="{3e2802c4-a4d2-4d8b-9148-e3be6c30e623}">
          <xlrd:rvb i="1743"/>
        </ext>
      </extLst>
    </bk>
    <bk>
      <extLst>
        <ext uri="{3e2802c4-a4d2-4d8b-9148-e3be6c30e623}">
          <xlrd:rvb i="1744"/>
        </ext>
      </extLst>
    </bk>
    <bk>
      <extLst>
        <ext uri="{3e2802c4-a4d2-4d8b-9148-e3be6c30e623}">
          <xlrd:rvb i="1745"/>
        </ext>
      </extLst>
    </bk>
    <bk>
      <extLst>
        <ext uri="{3e2802c4-a4d2-4d8b-9148-e3be6c30e623}">
          <xlrd:rvb i="1746"/>
        </ext>
      </extLst>
    </bk>
    <bk>
      <extLst>
        <ext uri="{3e2802c4-a4d2-4d8b-9148-e3be6c30e623}">
          <xlrd:rvb i="1747"/>
        </ext>
      </extLst>
    </bk>
    <bk>
      <extLst>
        <ext uri="{3e2802c4-a4d2-4d8b-9148-e3be6c30e623}">
          <xlrd:rvb i="1748"/>
        </ext>
      </extLst>
    </bk>
    <bk>
      <extLst>
        <ext uri="{3e2802c4-a4d2-4d8b-9148-e3be6c30e623}">
          <xlrd:rvb i="1749"/>
        </ext>
      </extLst>
    </bk>
    <bk>
      <extLst>
        <ext uri="{3e2802c4-a4d2-4d8b-9148-e3be6c30e623}">
          <xlrd:rvb i="1750"/>
        </ext>
      </extLst>
    </bk>
    <bk>
      <extLst>
        <ext uri="{3e2802c4-a4d2-4d8b-9148-e3be6c30e623}">
          <xlrd:rvb i="1751"/>
        </ext>
      </extLst>
    </bk>
    <bk>
      <extLst>
        <ext uri="{3e2802c4-a4d2-4d8b-9148-e3be6c30e623}">
          <xlrd:rvb i="1752"/>
        </ext>
      </extLst>
    </bk>
    <bk>
      <extLst>
        <ext uri="{3e2802c4-a4d2-4d8b-9148-e3be6c30e623}">
          <xlrd:rvb i="1753"/>
        </ext>
      </extLst>
    </bk>
    <bk>
      <extLst>
        <ext uri="{3e2802c4-a4d2-4d8b-9148-e3be6c30e623}">
          <xlrd:rvb i="1754"/>
        </ext>
      </extLst>
    </bk>
    <bk>
      <extLst>
        <ext uri="{3e2802c4-a4d2-4d8b-9148-e3be6c30e623}">
          <xlrd:rvb i="1755"/>
        </ext>
      </extLst>
    </bk>
    <bk>
      <extLst>
        <ext uri="{3e2802c4-a4d2-4d8b-9148-e3be6c30e623}">
          <xlrd:rvb i="1756"/>
        </ext>
      </extLst>
    </bk>
    <bk>
      <extLst>
        <ext uri="{3e2802c4-a4d2-4d8b-9148-e3be6c30e623}">
          <xlrd:rvb i="1757"/>
        </ext>
      </extLst>
    </bk>
    <bk>
      <extLst>
        <ext uri="{3e2802c4-a4d2-4d8b-9148-e3be6c30e623}">
          <xlrd:rvb i="1758"/>
        </ext>
      </extLst>
    </bk>
    <bk>
      <extLst>
        <ext uri="{3e2802c4-a4d2-4d8b-9148-e3be6c30e623}">
          <xlrd:rvb i="1759"/>
        </ext>
      </extLst>
    </bk>
    <bk>
      <extLst>
        <ext uri="{3e2802c4-a4d2-4d8b-9148-e3be6c30e623}">
          <xlrd:rvb i="1760"/>
        </ext>
      </extLst>
    </bk>
    <bk>
      <extLst>
        <ext uri="{3e2802c4-a4d2-4d8b-9148-e3be6c30e623}">
          <xlrd:rvb i="1761"/>
        </ext>
      </extLst>
    </bk>
    <bk>
      <extLst>
        <ext uri="{3e2802c4-a4d2-4d8b-9148-e3be6c30e623}">
          <xlrd:rvb i="1762"/>
        </ext>
      </extLst>
    </bk>
    <bk>
      <extLst>
        <ext uri="{3e2802c4-a4d2-4d8b-9148-e3be6c30e623}">
          <xlrd:rvb i="1763"/>
        </ext>
      </extLst>
    </bk>
    <bk>
      <extLst>
        <ext uri="{3e2802c4-a4d2-4d8b-9148-e3be6c30e623}">
          <xlrd:rvb i="1764"/>
        </ext>
      </extLst>
    </bk>
    <bk>
      <extLst>
        <ext uri="{3e2802c4-a4d2-4d8b-9148-e3be6c30e623}">
          <xlrd:rvb i="1765"/>
        </ext>
      </extLst>
    </bk>
    <bk>
      <extLst>
        <ext uri="{3e2802c4-a4d2-4d8b-9148-e3be6c30e623}">
          <xlrd:rvb i="1766"/>
        </ext>
      </extLst>
    </bk>
    <bk>
      <extLst>
        <ext uri="{3e2802c4-a4d2-4d8b-9148-e3be6c30e623}">
          <xlrd:rvb i="1767"/>
        </ext>
      </extLst>
    </bk>
    <bk>
      <extLst>
        <ext uri="{3e2802c4-a4d2-4d8b-9148-e3be6c30e623}">
          <xlrd:rvb i="1768"/>
        </ext>
      </extLst>
    </bk>
    <bk>
      <extLst>
        <ext uri="{3e2802c4-a4d2-4d8b-9148-e3be6c30e623}">
          <xlrd:rvb i="1769"/>
        </ext>
      </extLst>
    </bk>
    <bk>
      <extLst>
        <ext uri="{3e2802c4-a4d2-4d8b-9148-e3be6c30e623}">
          <xlrd:rvb i="1770"/>
        </ext>
      </extLst>
    </bk>
    <bk>
      <extLst>
        <ext uri="{3e2802c4-a4d2-4d8b-9148-e3be6c30e623}">
          <xlrd:rvb i="1771"/>
        </ext>
      </extLst>
    </bk>
    <bk>
      <extLst>
        <ext uri="{3e2802c4-a4d2-4d8b-9148-e3be6c30e623}">
          <xlrd:rvb i="1772"/>
        </ext>
      </extLst>
    </bk>
    <bk>
      <extLst>
        <ext uri="{3e2802c4-a4d2-4d8b-9148-e3be6c30e623}">
          <xlrd:rvb i="1773"/>
        </ext>
      </extLst>
    </bk>
    <bk>
      <extLst>
        <ext uri="{3e2802c4-a4d2-4d8b-9148-e3be6c30e623}">
          <xlrd:rvb i="1774"/>
        </ext>
      </extLst>
    </bk>
    <bk>
      <extLst>
        <ext uri="{3e2802c4-a4d2-4d8b-9148-e3be6c30e623}">
          <xlrd:rvb i="1775"/>
        </ext>
      </extLst>
    </bk>
    <bk>
      <extLst>
        <ext uri="{3e2802c4-a4d2-4d8b-9148-e3be6c30e623}">
          <xlrd:rvb i="1776"/>
        </ext>
      </extLst>
    </bk>
    <bk>
      <extLst>
        <ext uri="{3e2802c4-a4d2-4d8b-9148-e3be6c30e623}">
          <xlrd:rvb i="1777"/>
        </ext>
      </extLst>
    </bk>
    <bk>
      <extLst>
        <ext uri="{3e2802c4-a4d2-4d8b-9148-e3be6c30e623}">
          <xlrd:rvb i="1778"/>
        </ext>
      </extLst>
    </bk>
    <bk>
      <extLst>
        <ext uri="{3e2802c4-a4d2-4d8b-9148-e3be6c30e623}">
          <xlrd:rvb i="1779"/>
        </ext>
      </extLst>
    </bk>
    <bk>
      <extLst>
        <ext uri="{3e2802c4-a4d2-4d8b-9148-e3be6c30e623}">
          <xlrd:rvb i="1780"/>
        </ext>
      </extLst>
    </bk>
    <bk>
      <extLst>
        <ext uri="{3e2802c4-a4d2-4d8b-9148-e3be6c30e623}">
          <xlrd:rvb i="1781"/>
        </ext>
      </extLst>
    </bk>
    <bk>
      <extLst>
        <ext uri="{3e2802c4-a4d2-4d8b-9148-e3be6c30e623}">
          <xlrd:rvb i="1782"/>
        </ext>
      </extLst>
    </bk>
    <bk>
      <extLst>
        <ext uri="{3e2802c4-a4d2-4d8b-9148-e3be6c30e623}">
          <xlrd:rvb i="1783"/>
        </ext>
      </extLst>
    </bk>
    <bk>
      <extLst>
        <ext uri="{3e2802c4-a4d2-4d8b-9148-e3be6c30e623}">
          <xlrd:rvb i="1784"/>
        </ext>
      </extLst>
    </bk>
    <bk>
      <extLst>
        <ext uri="{3e2802c4-a4d2-4d8b-9148-e3be6c30e623}">
          <xlrd:rvb i="1785"/>
        </ext>
      </extLst>
    </bk>
    <bk>
      <extLst>
        <ext uri="{3e2802c4-a4d2-4d8b-9148-e3be6c30e623}">
          <xlrd:rvb i="1786"/>
        </ext>
      </extLst>
    </bk>
    <bk>
      <extLst>
        <ext uri="{3e2802c4-a4d2-4d8b-9148-e3be6c30e623}">
          <xlrd:rvb i="1787"/>
        </ext>
      </extLst>
    </bk>
    <bk>
      <extLst>
        <ext uri="{3e2802c4-a4d2-4d8b-9148-e3be6c30e623}">
          <xlrd:rvb i="1788"/>
        </ext>
      </extLst>
    </bk>
    <bk>
      <extLst>
        <ext uri="{3e2802c4-a4d2-4d8b-9148-e3be6c30e623}">
          <xlrd:rvb i="1789"/>
        </ext>
      </extLst>
    </bk>
    <bk>
      <extLst>
        <ext uri="{3e2802c4-a4d2-4d8b-9148-e3be6c30e623}">
          <xlrd:rvb i="1790"/>
        </ext>
      </extLst>
    </bk>
    <bk>
      <extLst>
        <ext uri="{3e2802c4-a4d2-4d8b-9148-e3be6c30e623}">
          <xlrd:rvb i="1791"/>
        </ext>
      </extLst>
    </bk>
    <bk>
      <extLst>
        <ext uri="{3e2802c4-a4d2-4d8b-9148-e3be6c30e623}">
          <xlrd:rvb i="1792"/>
        </ext>
      </extLst>
    </bk>
    <bk>
      <extLst>
        <ext uri="{3e2802c4-a4d2-4d8b-9148-e3be6c30e623}">
          <xlrd:rvb i="1793"/>
        </ext>
      </extLst>
    </bk>
    <bk>
      <extLst>
        <ext uri="{3e2802c4-a4d2-4d8b-9148-e3be6c30e623}">
          <xlrd:rvb i="1794"/>
        </ext>
      </extLst>
    </bk>
    <bk>
      <extLst>
        <ext uri="{3e2802c4-a4d2-4d8b-9148-e3be6c30e623}">
          <xlrd:rvb i="1795"/>
        </ext>
      </extLst>
    </bk>
    <bk>
      <extLst>
        <ext uri="{3e2802c4-a4d2-4d8b-9148-e3be6c30e623}">
          <xlrd:rvb i="1796"/>
        </ext>
      </extLst>
    </bk>
    <bk>
      <extLst>
        <ext uri="{3e2802c4-a4d2-4d8b-9148-e3be6c30e623}">
          <xlrd:rvb i="1797"/>
        </ext>
      </extLst>
    </bk>
    <bk>
      <extLst>
        <ext uri="{3e2802c4-a4d2-4d8b-9148-e3be6c30e623}">
          <xlrd:rvb i="1798"/>
        </ext>
      </extLst>
    </bk>
    <bk>
      <extLst>
        <ext uri="{3e2802c4-a4d2-4d8b-9148-e3be6c30e623}">
          <xlrd:rvb i="1799"/>
        </ext>
      </extLst>
    </bk>
    <bk>
      <extLst>
        <ext uri="{3e2802c4-a4d2-4d8b-9148-e3be6c30e623}">
          <xlrd:rvb i="1800"/>
        </ext>
      </extLst>
    </bk>
    <bk>
      <extLst>
        <ext uri="{3e2802c4-a4d2-4d8b-9148-e3be6c30e623}">
          <xlrd:rvb i="1801"/>
        </ext>
      </extLst>
    </bk>
    <bk>
      <extLst>
        <ext uri="{3e2802c4-a4d2-4d8b-9148-e3be6c30e623}">
          <xlrd:rvb i="1802"/>
        </ext>
      </extLst>
    </bk>
    <bk>
      <extLst>
        <ext uri="{3e2802c4-a4d2-4d8b-9148-e3be6c30e623}">
          <xlrd:rvb i="1803"/>
        </ext>
      </extLst>
    </bk>
    <bk>
      <extLst>
        <ext uri="{3e2802c4-a4d2-4d8b-9148-e3be6c30e623}">
          <xlrd:rvb i="1804"/>
        </ext>
      </extLst>
    </bk>
    <bk>
      <extLst>
        <ext uri="{3e2802c4-a4d2-4d8b-9148-e3be6c30e623}">
          <xlrd:rvb i="1805"/>
        </ext>
      </extLst>
    </bk>
    <bk>
      <extLst>
        <ext uri="{3e2802c4-a4d2-4d8b-9148-e3be6c30e623}">
          <xlrd:rvb i="1806"/>
        </ext>
      </extLst>
    </bk>
    <bk>
      <extLst>
        <ext uri="{3e2802c4-a4d2-4d8b-9148-e3be6c30e623}">
          <xlrd:rvb i="1807"/>
        </ext>
      </extLst>
    </bk>
    <bk>
      <extLst>
        <ext uri="{3e2802c4-a4d2-4d8b-9148-e3be6c30e623}">
          <xlrd:rvb i="1808"/>
        </ext>
      </extLst>
    </bk>
    <bk>
      <extLst>
        <ext uri="{3e2802c4-a4d2-4d8b-9148-e3be6c30e623}">
          <xlrd:rvb i="1809"/>
        </ext>
      </extLst>
    </bk>
    <bk>
      <extLst>
        <ext uri="{3e2802c4-a4d2-4d8b-9148-e3be6c30e623}">
          <xlrd:rvb i="1810"/>
        </ext>
      </extLst>
    </bk>
    <bk>
      <extLst>
        <ext uri="{3e2802c4-a4d2-4d8b-9148-e3be6c30e623}">
          <xlrd:rvb i="1811"/>
        </ext>
      </extLst>
    </bk>
    <bk>
      <extLst>
        <ext uri="{3e2802c4-a4d2-4d8b-9148-e3be6c30e623}">
          <xlrd:rvb i="1812"/>
        </ext>
      </extLst>
    </bk>
    <bk>
      <extLst>
        <ext uri="{3e2802c4-a4d2-4d8b-9148-e3be6c30e623}">
          <xlrd:rvb i="1813"/>
        </ext>
      </extLst>
    </bk>
    <bk>
      <extLst>
        <ext uri="{3e2802c4-a4d2-4d8b-9148-e3be6c30e623}">
          <xlrd:rvb i="1814"/>
        </ext>
      </extLst>
    </bk>
    <bk>
      <extLst>
        <ext uri="{3e2802c4-a4d2-4d8b-9148-e3be6c30e623}">
          <xlrd:rvb i="1815"/>
        </ext>
      </extLst>
    </bk>
    <bk>
      <extLst>
        <ext uri="{3e2802c4-a4d2-4d8b-9148-e3be6c30e623}">
          <xlrd:rvb i="1816"/>
        </ext>
      </extLst>
    </bk>
    <bk>
      <extLst>
        <ext uri="{3e2802c4-a4d2-4d8b-9148-e3be6c30e623}">
          <xlrd:rvb i="1817"/>
        </ext>
      </extLst>
    </bk>
    <bk>
      <extLst>
        <ext uri="{3e2802c4-a4d2-4d8b-9148-e3be6c30e623}">
          <xlrd:rvb i="1818"/>
        </ext>
      </extLst>
    </bk>
    <bk>
      <extLst>
        <ext uri="{3e2802c4-a4d2-4d8b-9148-e3be6c30e623}">
          <xlrd:rvb i="1819"/>
        </ext>
      </extLst>
    </bk>
    <bk>
      <extLst>
        <ext uri="{3e2802c4-a4d2-4d8b-9148-e3be6c30e623}">
          <xlrd:rvb i="1820"/>
        </ext>
      </extLst>
    </bk>
    <bk>
      <extLst>
        <ext uri="{3e2802c4-a4d2-4d8b-9148-e3be6c30e623}">
          <xlrd:rvb i="1821"/>
        </ext>
      </extLst>
    </bk>
    <bk>
      <extLst>
        <ext uri="{3e2802c4-a4d2-4d8b-9148-e3be6c30e623}">
          <xlrd:rvb i="1822"/>
        </ext>
      </extLst>
    </bk>
    <bk>
      <extLst>
        <ext uri="{3e2802c4-a4d2-4d8b-9148-e3be6c30e623}">
          <xlrd:rvb i="1823"/>
        </ext>
      </extLst>
    </bk>
    <bk>
      <extLst>
        <ext uri="{3e2802c4-a4d2-4d8b-9148-e3be6c30e623}">
          <xlrd:rvb i="1824"/>
        </ext>
      </extLst>
    </bk>
    <bk>
      <extLst>
        <ext uri="{3e2802c4-a4d2-4d8b-9148-e3be6c30e623}">
          <xlrd:rvb i="1825"/>
        </ext>
      </extLst>
    </bk>
    <bk>
      <extLst>
        <ext uri="{3e2802c4-a4d2-4d8b-9148-e3be6c30e623}">
          <xlrd:rvb i="1826"/>
        </ext>
      </extLst>
    </bk>
    <bk>
      <extLst>
        <ext uri="{3e2802c4-a4d2-4d8b-9148-e3be6c30e623}">
          <xlrd:rvb i="1827"/>
        </ext>
      </extLst>
    </bk>
    <bk>
      <extLst>
        <ext uri="{3e2802c4-a4d2-4d8b-9148-e3be6c30e623}">
          <xlrd:rvb i="1828"/>
        </ext>
      </extLst>
    </bk>
    <bk>
      <extLst>
        <ext uri="{3e2802c4-a4d2-4d8b-9148-e3be6c30e623}">
          <xlrd:rvb i="1829"/>
        </ext>
      </extLst>
    </bk>
    <bk>
      <extLst>
        <ext uri="{3e2802c4-a4d2-4d8b-9148-e3be6c30e623}">
          <xlrd:rvb i="1830"/>
        </ext>
      </extLst>
    </bk>
    <bk>
      <extLst>
        <ext uri="{3e2802c4-a4d2-4d8b-9148-e3be6c30e623}">
          <xlrd:rvb i="1831"/>
        </ext>
      </extLst>
    </bk>
    <bk>
      <extLst>
        <ext uri="{3e2802c4-a4d2-4d8b-9148-e3be6c30e623}">
          <xlrd:rvb i="1832"/>
        </ext>
      </extLst>
    </bk>
    <bk>
      <extLst>
        <ext uri="{3e2802c4-a4d2-4d8b-9148-e3be6c30e623}">
          <xlrd:rvb i="1833"/>
        </ext>
      </extLst>
    </bk>
    <bk>
      <extLst>
        <ext uri="{3e2802c4-a4d2-4d8b-9148-e3be6c30e623}">
          <xlrd:rvb i="1834"/>
        </ext>
      </extLst>
    </bk>
    <bk>
      <extLst>
        <ext uri="{3e2802c4-a4d2-4d8b-9148-e3be6c30e623}">
          <xlrd:rvb i="1835"/>
        </ext>
      </extLst>
    </bk>
    <bk>
      <extLst>
        <ext uri="{3e2802c4-a4d2-4d8b-9148-e3be6c30e623}">
          <xlrd:rvb i="1836"/>
        </ext>
      </extLst>
    </bk>
    <bk>
      <extLst>
        <ext uri="{3e2802c4-a4d2-4d8b-9148-e3be6c30e623}">
          <xlrd:rvb i="1837"/>
        </ext>
      </extLst>
    </bk>
    <bk>
      <extLst>
        <ext uri="{3e2802c4-a4d2-4d8b-9148-e3be6c30e623}">
          <xlrd:rvb i="1838"/>
        </ext>
      </extLst>
    </bk>
    <bk>
      <extLst>
        <ext uri="{3e2802c4-a4d2-4d8b-9148-e3be6c30e623}">
          <xlrd:rvb i="1839"/>
        </ext>
      </extLst>
    </bk>
    <bk>
      <extLst>
        <ext uri="{3e2802c4-a4d2-4d8b-9148-e3be6c30e623}">
          <xlrd:rvb i="1840"/>
        </ext>
      </extLst>
    </bk>
    <bk>
      <extLst>
        <ext uri="{3e2802c4-a4d2-4d8b-9148-e3be6c30e623}">
          <xlrd:rvb i="1841"/>
        </ext>
      </extLst>
    </bk>
    <bk>
      <extLst>
        <ext uri="{3e2802c4-a4d2-4d8b-9148-e3be6c30e623}">
          <xlrd:rvb i="1842"/>
        </ext>
      </extLst>
    </bk>
    <bk>
      <extLst>
        <ext uri="{3e2802c4-a4d2-4d8b-9148-e3be6c30e623}">
          <xlrd:rvb i="1843"/>
        </ext>
      </extLst>
    </bk>
    <bk>
      <extLst>
        <ext uri="{3e2802c4-a4d2-4d8b-9148-e3be6c30e623}">
          <xlrd:rvb i="1844"/>
        </ext>
      </extLst>
    </bk>
    <bk>
      <extLst>
        <ext uri="{3e2802c4-a4d2-4d8b-9148-e3be6c30e623}">
          <xlrd:rvb i="1845"/>
        </ext>
      </extLst>
    </bk>
    <bk>
      <extLst>
        <ext uri="{3e2802c4-a4d2-4d8b-9148-e3be6c30e623}">
          <xlrd:rvb i="1846"/>
        </ext>
      </extLst>
    </bk>
    <bk>
      <extLst>
        <ext uri="{3e2802c4-a4d2-4d8b-9148-e3be6c30e623}">
          <xlrd:rvb i="1847"/>
        </ext>
      </extLst>
    </bk>
    <bk>
      <extLst>
        <ext uri="{3e2802c4-a4d2-4d8b-9148-e3be6c30e623}">
          <xlrd:rvb i="1848"/>
        </ext>
      </extLst>
    </bk>
    <bk>
      <extLst>
        <ext uri="{3e2802c4-a4d2-4d8b-9148-e3be6c30e623}">
          <xlrd:rvb i="1849"/>
        </ext>
      </extLst>
    </bk>
    <bk>
      <extLst>
        <ext uri="{3e2802c4-a4d2-4d8b-9148-e3be6c30e623}">
          <xlrd:rvb i="1850"/>
        </ext>
      </extLst>
    </bk>
    <bk>
      <extLst>
        <ext uri="{3e2802c4-a4d2-4d8b-9148-e3be6c30e623}">
          <xlrd:rvb i="1851"/>
        </ext>
      </extLst>
    </bk>
    <bk>
      <extLst>
        <ext uri="{3e2802c4-a4d2-4d8b-9148-e3be6c30e623}">
          <xlrd:rvb i="1852"/>
        </ext>
      </extLst>
    </bk>
    <bk>
      <extLst>
        <ext uri="{3e2802c4-a4d2-4d8b-9148-e3be6c30e623}">
          <xlrd:rvb i="1853"/>
        </ext>
      </extLst>
    </bk>
    <bk>
      <extLst>
        <ext uri="{3e2802c4-a4d2-4d8b-9148-e3be6c30e623}">
          <xlrd:rvb i="1854"/>
        </ext>
      </extLst>
    </bk>
    <bk>
      <extLst>
        <ext uri="{3e2802c4-a4d2-4d8b-9148-e3be6c30e623}">
          <xlrd:rvb i="1855"/>
        </ext>
      </extLst>
    </bk>
    <bk>
      <extLst>
        <ext uri="{3e2802c4-a4d2-4d8b-9148-e3be6c30e623}">
          <xlrd:rvb i="1856"/>
        </ext>
      </extLst>
    </bk>
    <bk>
      <extLst>
        <ext uri="{3e2802c4-a4d2-4d8b-9148-e3be6c30e623}">
          <xlrd:rvb i="1857"/>
        </ext>
      </extLst>
    </bk>
    <bk>
      <extLst>
        <ext uri="{3e2802c4-a4d2-4d8b-9148-e3be6c30e623}">
          <xlrd:rvb i="1858"/>
        </ext>
      </extLst>
    </bk>
    <bk>
      <extLst>
        <ext uri="{3e2802c4-a4d2-4d8b-9148-e3be6c30e623}">
          <xlrd:rvb i="1859"/>
        </ext>
      </extLst>
    </bk>
    <bk>
      <extLst>
        <ext uri="{3e2802c4-a4d2-4d8b-9148-e3be6c30e623}">
          <xlrd:rvb i="1860"/>
        </ext>
      </extLst>
    </bk>
    <bk>
      <extLst>
        <ext uri="{3e2802c4-a4d2-4d8b-9148-e3be6c30e623}">
          <xlrd:rvb i="1861"/>
        </ext>
      </extLst>
    </bk>
    <bk>
      <extLst>
        <ext uri="{3e2802c4-a4d2-4d8b-9148-e3be6c30e623}">
          <xlrd:rvb i="1862"/>
        </ext>
      </extLst>
    </bk>
    <bk>
      <extLst>
        <ext uri="{3e2802c4-a4d2-4d8b-9148-e3be6c30e623}">
          <xlrd:rvb i="1863"/>
        </ext>
      </extLst>
    </bk>
    <bk>
      <extLst>
        <ext uri="{3e2802c4-a4d2-4d8b-9148-e3be6c30e623}">
          <xlrd:rvb i="1864"/>
        </ext>
      </extLst>
    </bk>
    <bk>
      <extLst>
        <ext uri="{3e2802c4-a4d2-4d8b-9148-e3be6c30e623}">
          <xlrd:rvb i="1865"/>
        </ext>
      </extLst>
    </bk>
    <bk>
      <extLst>
        <ext uri="{3e2802c4-a4d2-4d8b-9148-e3be6c30e623}">
          <xlrd:rvb i="1866"/>
        </ext>
      </extLst>
    </bk>
    <bk>
      <extLst>
        <ext uri="{3e2802c4-a4d2-4d8b-9148-e3be6c30e623}">
          <xlrd:rvb i="1867"/>
        </ext>
      </extLst>
    </bk>
    <bk>
      <extLst>
        <ext uri="{3e2802c4-a4d2-4d8b-9148-e3be6c30e623}">
          <xlrd:rvb i="1868"/>
        </ext>
      </extLst>
    </bk>
    <bk>
      <extLst>
        <ext uri="{3e2802c4-a4d2-4d8b-9148-e3be6c30e623}">
          <xlrd:rvb i="1869"/>
        </ext>
      </extLst>
    </bk>
    <bk>
      <extLst>
        <ext uri="{3e2802c4-a4d2-4d8b-9148-e3be6c30e623}">
          <xlrd:rvb i="1870"/>
        </ext>
      </extLst>
    </bk>
    <bk>
      <extLst>
        <ext uri="{3e2802c4-a4d2-4d8b-9148-e3be6c30e623}">
          <xlrd:rvb i="1871"/>
        </ext>
      </extLst>
    </bk>
    <bk>
      <extLst>
        <ext uri="{3e2802c4-a4d2-4d8b-9148-e3be6c30e623}">
          <xlrd:rvb i="1872"/>
        </ext>
      </extLst>
    </bk>
    <bk>
      <extLst>
        <ext uri="{3e2802c4-a4d2-4d8b-9148-e3be6c30e623}">
          <xlrd:rvb i="1873"/>
        </ext>
      </extLst>
    </bk>
    <bk>
      <extLst>
        <ext uri="{3e2802c4-a4d2-4d8b-9148-e3be6c30e623}">
          <xlrd:rvb i="1874"/>
        </ext>
      </extLst>
    </bk>
    <bk>
      <extLst>
        <ext uri="{3e2802c4-a4d2-4d8b-9148-e3be6c30e623}">
          <xlrd:rvb i="1875"/>
        </ext>
      </extLst>
    </bk>
    <bk>
      <extLst>
        <ext uri="{3e2802c4-a4d2-4d8b-9148-e3be6c30e623}">
          <xlrd:rvb i="1876"/>
        </ext>
      </extLst>
    </bk>
    <bk>
      <extLst>
        <ext uri="{3e2802c4-a4d2-4d8b-9148-e3be6c30e623}">
          <xlrd:rvb i="1877"/>
        </ext>
      </extLst>
    </bk>
    <bk>
      <extLst>
        <ext uri="{3e2802c4-a4d2-4d8b-9148-e3be6c30e623}">
          <xlrd:rvb i="1878"/>
        </ext>
      </extLst>
    </bk>
    <bk>
      <extLst>
        <ext uri="{3e2802c4-a4d2-4d8b-9148-e3be6c30e623}">
          <xlrd:rvb i="1879"/>
        </ext>
      </extLst>
    </bk>
    <bk>
      <extLst>
        <ext uri="{3e2802c4-a4d2-4d8b-9148-e3be6c30e623}">
          <xlrd:rvb i="1880"/>
        </ext>
      </extLst>
    </bk>
    <bk>
      <extLst>
        <ext uri="{3e2802c4-a4d2-4d8b-9148-e3be6c30e623}">
          <xlrd:rvb i="1881"/>
        </ext>
      </extLst>
    </bk>
    <bk>
      <extLst>
        <ext uri="{3e2802c4-a4d2-4d8b-9148-e3be6c30e623}">
          <xlrd:rvb i="1882"/>
        </ext>
      </extLst>
    </bk>
    <bk>
      <extLst>
        <ext uri="{3e2802c4-a4d2-4d8b-9148-e3be6c30e623}">
          <xlrd:rvb i="1883"/>
        </ext>
      </extLst>
    </bk>
    <bk>
      <extLst>
        <ext uri="{3e2802c4-a4d2-4d8b-9148-e3be6c30e623}">
          <xlrd:rvb i="1884"/>
        </ext>
      </extLst>
    </bk>
    <bk>
      <extLst>
        <ext uri="{3e2802c4-a4d2-4d8b-9148-e3be6c30e623}">
          <xlrd:rvb i="1885"/>
        </ext>
      </extLst>
    </bk>
    <bk>
      <extLst>
        <ext uri="{3e2802c4-a4d2-4d8b-9148-e3be6c30e623}">
          <xlrd:rvb i="1886"/>
        </ext>
      </extLst>
    </bk>
    <bk>
      <extLst>
        <ext uri="{3e2802c4-a4d2-4d8b-9148-e3be6c30e623}">
          <xlrd:rvb i="1887"/>
        </ext>
      </extLst>
    </bk>
    <bk>
      <extLst>
        <ext uri="{3e2802c4-a4d2-4d8b-9148-e3be6c30e623}">
          <xlrd:rvb i="1888"/>
        </ext>
      </extLst>
    </bk>
    <bk>
      <extLst>
        <ext uri="{3e2802c4-a4d2-4d8b-9148-e3be6c30e623}">
          <xlrd:rvb i="1889"/>
        </ext>
      </extLst>
    </bk>
    <bk>
      <extLst>
        <ext uri="{3e2802c4-a4d2-4d8b-9148-e3be6c30e623}">
          <xlrd:rvb i="1890"/>
        </ext>
      </extLst>
    </bk>
    <bk>
      <extLst>
        <ext uri="{3e2802c4-a4d2-4d8b-9148-e3be6c30e623}">
          <xlrd:rvb i="1891"/>
        </ext>
      </extLst>
    </bk>
    <bk>
      <extLst>
        <ext uri="{3e2802c4-a4d2-4d8b-9148-e3be6c30e623}">
          <xlrd:rvb i="1892"/>
        </ext>
      </extLst>
    </bk>
    <bk>
      <extLst>
        <ext uri="{3e2802c4-a4d2-4d8b-9148-e3be6c30e623}">
          <xlrd:rvb i="1893"/>
        </ext>
      </extLst>
    </bk>
    <bk>
      <extLst>
        <ext uri="{3e2802c4-a4d2-4d8b-9148-e3be6c30e623}">
          <xlrd:rvb i="1894"/>
        </ext>
      </extLst>
    </bk>
    <bk>
      <extLst>
        <ext uri="{3e2802c4-a4d2-4d8b-9148-e3be6c30e623}">
          <xlrd:rvb i="1895"/>
        </ext>
      </extLst>
    </bk>
    <bk>
      <extLst>
        <ext uri="{3e2802c4-a4d2-4d8b-9148-e3be6c30e623}">
          <xlrd:rvb i="1896"/>
        </ext>
      </extLst>
    </bk>
    <bk>
      <extLst>
        <ext uri="{3e2802c4-a4d2-4d8b-9148-e3be6c30e623}">
          <xlrd:rvb i="1897"/>
        </ext>
      </extLst>
    </bk>
    <bk>
      <extLst>
        <ext uri="{3e2802c4-a4d2-4d8b-9148-e3be6c30e623}">
          <xlrd:rvb i="1898"/>
        </ext>
      </extLst>
    </bk>
    <bk>
      <extLst>
        <ext uri="{3e2802c4-a4d2-4d8b-9148-e3be6c30e623}">
          <xlrd:rvb i="1899"/>
        </ext>
      </extLst>
    </bk>
    <bk>
      <extLst>
        <ext uri="{3e2802c4-a4d2-4d8b-9148-e3be6c30e623}">
          <xlrd:rvb i="1900"/>
        </ext>
      </extLst>
    </bk>
    <bk>
      <extLst>
        <ext uri="{3e2802c4-a4d2-4d8b-9148-e3be6c30e623}">
          <xlrd:rvb i="1901"/>
        </ext>
      </extLst>
    </bk>
    <bk>
      <extLst>
        <ext uri="{3e2802c4-a4d2-4d8b-9148-e3be6c30e623}">
          <xlrd:rvb i="1902"/>
        </ext>
      </extLst>
    </bk>
    <bk>
      <extLst>
        <ext uri="{3e2802c4-a4d2-4d8b-9148-e3be6c30e623}">
          <xlrd:rvb i="1903"/>
        </ext>
      </extLst>
    </bk>
    <bk>
      <extLst>
        <ext uri="{3e2802c4-a4d2-4d8b-9148-e3be6c30e623}">
          <xlrd:rvb i="1904"/>
        </ext>
      </extLst>
    </bk>
    <bk>
      <extLst>
        <ext uri="{3e2802c4-a4d2-4d8b-9148-e3be6c30e623}">
          <xlrd:rvb i="1905"/>
        </ext>
      </extLst>
    </bk>
    <bk>
      <extLst>
        <ext uri="{3e2802c4-a4d2-4d8b-9148-e3be6c30e623}">
          <xlrd:rvb i="1906"/>
        </ext>
      </extLst>
    </bk>
    <bk>
      <extLst>
        <ext uri="{3e2802c4-a4d2-4d8b-9148-e3be6c30e623}">
          <xlrd:rvb i="1907"/>
        </ext>
      </extLst>
    </bk>
    <bk>
      <extLst>
        <ext uri="{3e2802c4-a4d2-4d8b-9148-e3be6c30e623}">
          <xlrd:rvb i="1908"/>
        </ext>
      </extLst>
    </bk>
    <bk>
      <extLst>
        <ext uri="{3e2802c4-a4d2-4d8b-9148-e3be6c30e623}">
          <xlrd:rvb i="1909"/>
        </ext>
      </extLst>
    </bk>
    <bk>
      <extLst>
        <ext uri="{3e2802c4-a4d2-4d8b-9148-e3be6c30e623}">
          <xlrd:rvb i="1910"/>
        </ext>
      </extLst>
    </bk>
    <bk>
      <extLst>
        <ext uri="{3e2802c4-a4d2-4d8b-9148-e3be6c30e623}">
          <xlrd:rvb i="1911"/>
        </ext>
      </extLst>
    </bk>
    <bk>
      <extLst>
        <ext uri="{3e2802c4-a4d2-4d8b-9148-e3be6c30e623}">
          <xlrd:rvb i="1912"/>
        </ext>
      </extLst>
    </bk>
    <bk>
      <extLst>
        <ext uri="{3e2802c4-a4d2-4d8b-9148-e3be6c30e623}">
          <xlrd:rvb i="1913"/>
        </ext>
      </extLst>
    </bk>
    <bk>
      <extLst>
        <ext uri="{3e2802c4-a4d2-4d8b-9148-e3be6c30e623}">
          <xlrd:rvb i="1914"/>
        </ext>
      </extLst>
    </bk>
    <bk>
      <extLst>
        <ext uri="{3e2802c4-a4d2-4d8b-9148-e3be6c30e623}">
          <xlrd:rvb i="1915"/>
        </ext>
      </extLst>
    </bk>
    <bk>
      <extLst>
        <ext uri="{3e2802c4-a4d2-4d8b-9148-e3be6c30e623}">
          <xlrd:rvb i="1916"/>
        </ext>
      </extLst>
    </bk>
    <bk>
      <extLst>
        <ext uri="{3e2802c4-a4d2-4d8b-9148-e3be6c30e623}">
          <xlrd:rvb i="1917"/>
        </ext>
      </extLst>
    </bk>
    <bk>
      <extLst>
        <ext uri="{3e2802c4-a4d2-4d8b-9148-e3be6c30e623}">
          <xlrd:rvb i="1918"/>
        </ext>
      </extLst>
    </bk>
    <bk>
      <extLst>
        <ext uri="{3e2802c4-a4d2-4d8b-9148-e3be6c30e623}">
          <xlrd:rvb i="1919"/>
        </ext>
      </extLst>
    </bk>
    <bk>
      <extLst>
        <ext uri="{3e2802c4-a4d2-4d8b-9148-e3be6c30e623}">
          <xlrd:rvb i="1920"/>
        </ext>
      </extLst>
    </bk>
    <bk>
      <extLst>
        <ext uri="{3e2802c4-a4d2-4d8b-9148-e3be6c30e623}">
          <xlrd:rvb i="1921"/>
        </ext>
      </extLst>
    </bk>
    <bk>
      <extLst>
        <ext uri="{3e2802c4-a4d2-4d8b-9148-e3be6c30e623}">
          <xlrd:rvb i="1922"/>
        </ext>
      </extLst>
    </bk>
    <bk>
      <extLst>
        <ext uri="{3e2802c4-a4d2-4d8b-9148-e3be6c30e623}">
          <xlrd:rvb i="1923"/>
        </ext>
      </extLst>
    </bk>
    <bk>
      <extLst>
        <ext uri="{3e2802c4-a4d2-4d8b-9148-e3be6c30e623}">
          <xlrd:rvb i="1924"/>
        </ext>
      </extLst>
    </bk>
    <bk>
      <extLst>
        <ext uri="{3e2802c4-a4d2-4d8b-9148-e3be6c30e623}">
          <xlrd:rvb i="1925"/>
        </ext>
      </extLst>
    </bk>
    <bk>
      <extLst>
        <ext uri="{3e2802c4-a4d2-4d8b-9148-e3be6c30e623}">
          <xlrd:rvb i="1926"/>
        </ext>
      </extLst>
    </bk>
    <bk>
      <extLst>
        <ext uri="{3e2802c4-a4d2-4d8b-9148-e3be6c30e623}">
          <xlrd:rvb i="1927"/>
        </ext>
      </extLst>
    </bk>
    <bk>
      <extLst>
        <ext uri="{3e2802c4-a4d2-4d8b-9148-e3be6c30e623}">
          <xlrd:rvb i="1928"/>
        </ext>
      </extLst>
    </bk>
    <bk>
      <extLst>
        <ext uri="{3e2802c4-a4d2-4d8b-9148-e3be6c30e623}">
          <xlrd:rvb i="1929"/>
        </ext>
      </extLst>
    </bk>
    <bk>
      <extLst>
        <ext uri="{3e2802c4-a4d2-4d8b-9148-e3be6c30e623}">
          <xlrd:rvb i="1930"/>
        </ext>
      </extLst>
    </bk>
    <bk>
      <extLst>
        <ext uri="{3e2802c4-a4d2-4d8b-9148-e3be6c30e623}">
          <xlrd:rvb i="1931"/>
        </ext>
      </extLst>
    </bk>
    <bk>
      <extLst>
        <ext uri="{3e2802c4-a4d2-4d8b-9148-e3be6c30e623}">
          <xlrd:rvb i="1932"/>
        </ext>
      </extLst>
    </bk>
    <bk>
      <extLst>
        <ext uri="{3e2802c4-a4d2-4d8b-9148-e3be6c30e623}">
          <xlrd:rvb i="1933"/>
        </ext>
      </extLst>
    </bk>
    <bk>
      <extLst>
        <ext uri="{3e2802c4-a4d2-4d8b-9148-e3be6c30e623}">
          <xlrd:rvb i="1934"/>
        </ext>
      </extLst>
    </bk>
    <bk>
      <extLst>
        <ext uri="{3e2802c4-a4d2-4d8b-9148-e3be6c30e623}">
          <xlrd:rvb i="1935"/>
        </ext>
      </extLst>
    </bk>
    <bk>
      <extLst>
        <ext uri="{3e2802c4-a4d2-4d8b-9148-e3be6c30e623}">
          <xlrd:rvb i="1936"/>
        </ext>
      </extLst>
    </bk>
    <bk>
      <extLst>
        <ext uri="{3e2802c4-a4d2-4d8b-9148-e3be6c30e623}">
          <xlrd:rvb i="1937"/>
        </ext>
      </extLst>
    </bk>
    <bk>
      <extLst>
        <ext uri="{3e2802c4-a4d2-4d8b-9148-e3be6c30e623}">
          <xlrd:rvb i="1938"/>
        </ext>
      </extLst>
    </bk>
    <bk>
      <extLst>
        <ext uri="{3e2802c4-a4d2-4d8b-9148-e3be6c30e623}">
          <xlrd:rvb i="1939"/>
        </ext>
      </extLst>
    </bk>
    <bk>
      <extLst>
        <ext uri="{3e2802c4-a4d2-4d8b-9148-e3be6c30e623}">
          <xlrd:rvb i="1940"/>
        </ext>
      </extLst>
    </bk>
    <bk>
      <extLst>
        <ext uri="{3e2802c4-a4d2-4d8b-9148-e3be6c30e623}">
          <xlrd:rvb i="1941"/>
        </ext>
      </extLst>
    </bk>
    <bk>
      <extLst>
        <ext uri="{3e2802c4-a4d2-4d8b-9148-e3be6c30e623}">
          <xlrd:rvb i="1942"/>
        </ext>
      </extLst>
    </bk>
    <bk>
      <extLst>
        <ext uri="{3e2802c4-a4d2-4d8b-9148-e3be6c30e623}">
          <xlrd:rvb i="1943"/>
        </ext>
      </extLst>
    </bk>
    <bk>
      <extLst>
        <ext uri="{3e2802c4-a4d2-4d8b-9148-e3be6c30e623}">
          <xlrd:rvb i="1944"/>
        </ext>
      </extLst>
    </bk>
    <bk>
      <extLst>
        <ext uri="{3e2802c4-a4d2-4d8b-9148-e3be6c30e623}">
          <xlrd:rvb i="1945"/>
        </ext>
      </extLst>
    </bk>
    <bk>
      <extLst>
        <ext uri="{3e2802c4-a4d2-4d8b-9148-e3be6c30e623}">
          <xlrd:rvb i="1946"/>
        </ext>
      </extLst>
    </bk>
    <bk>
      <extLst>
        <ext uri="{3e2802c4-a4d2-4d8b-9148-e3be6c30e623}">
          <xlrd:rvb i="1947"/>
        </ext>
      </extLst>
    </bk>
    <bk>
      <extLst>
        <ext uri="{3e2802c4-a4d2-4d8b-9148-e3be6c30e623}">
          <xlrd:rvb i="1948"/>
        </ext>
      </extLst>
    </bk>
    <bk>
      <extLst>
        <ext uri="{3e2802c4-a4d2-4d8b-9148-e3be6c30e623}">
          <xlrd:rvb i="1949"/>
        </ext>
      </extLst>
    </bk>
    <bk>
      <extLst>
        <ext uri="{3e2802c4-a4d2-4d8b-9148-e3be6c30e623}">
          <xlrd:rvb i="1950"/>
        </ext>
      </extLst>
    </bk>
    <bk>
      <extLst>
        <ext uri="{3e2802c4-a4d2-4d8b-9148-e3be6c30e623}">
          <xlrd:rvb i="1951"/>
        </ext>
      </extLst>
    </bk>
    <bk>
      <extLst>
        <ext uri="{3e2802c4-a4d2-4d8b-9148-e3be6c30e623}">
          <xlrd:rvb i="1952"/>
        </ext>
      </extLst>
    </bk>
    <bk>
      <extLst>
        <ext uri="{3e2802c4-a4d2-4d8b-9148-e3be6c30e623}">
          <xlrd:rvb i="1953"/>
        </ext>
      </extLst>
    </bk>
    <bk>
      <extLst>
        <ext uri="{3e2802c4-a4d2-4d8b-9148-e3be6c30e623}">
          <xlrd:rvb i="1954"/>
        </ext>
      </extLst>
    </bk>
    <bk>
      <extLst>
        <ext uri="{3e2802c4-a4d2-4d8b-9148-e3be6c30e623}">
          <xlrd:rvb i="1955"/>
        </ext>
      </extLst>
    </bk>
    <bk>
      <extLst>
        <ext uri="{3e2802c4-a4d2-4d8b-9148-e3be6c30e623}">
          <xlrd:rvb i="1956"/>
        </ext>
      </extLst>
    </bk>
    <bk>
      <extLst>
        <ext uri="{3e2802c4-a4d2-4d8b-9148-e3be6c30e623}">
          <xlrd:rvb i="1957"/>
        </ext>
      </extLst>
    </bk>
    <bk>
      <extLst>
        <ext uri="{3e2802c4-a4d2-4d8b-9148-e3be6c30e623}">
          <xlrd:rvb i="1958"/>
        </ext>
      </extLst>
    </bk>
    <bk>
      <extLst>
        <ext uri="{3e2802c4-a4d2-4d8b-9148-e3be6c30e623}">
          <xlrd:rvb i="1959"/>
        </ext>
      </extLst>
    </bk>
    <bk>
      <extLst>
        <ext uri="{3e2802c4-a4d2-4d8b-9148-e3be6c30e623}">
          <xlrd:rvb i="1960"/>
        </ext>
      </extLst>
    </bk>
    <bk>
      <extLst>
        <ext uri="{3e2802c4-a4d2-4d8b-9148-e3be6c30e623}">
          <xlrd:rvb i="1961"/>
        </ext>
      </extLst>
    </bk>
    <bk>
      <extLst>
        <ext uri="{3e2802c4-a4d2-4d8b-9148-e3be6c30e623}">
          <xlrd:rvb i="1962"/>
        </ext>
      </extLst>
    </bk>
    <bk>
      <extLst>
        <ext uri="{3e2802c4-a4d2-4d8b-9148-e3be6c30e623}">
          <xlrd:rvb i="1963"/>
        </ext>
      </extLst>
    </bk>
    <bk>
      <extLst>
        <ext uri="{3e2802c4-a4d2-4d8b-9148-e3be6c30e623}">
          <xlrd:rvb i="1964"/>
        </ext>
      </extLst>
    </bk>
    <bk>
      <extLst>
        <ext uri="{3e2802c4-a4d2-4d8b-9148-e3be6c30e623}">
          <xlrd:rvb i="1965"/>
        </ext>
      </extLst>
    </bk>
    <bk>
      <extLst>
        <ext uri="{3e2802c4-a4d2-4d8b-9148-e3be6c30e623}">
          <xlrd:rvb i="1966"/>
        </ext>
      </extLst>
    </bk>
    <bk>
      <extLst>
        <ext uri="{3e2802c4-a4d2-4d8b-9148-e3be6c30e623}">
          <xlrd:rvb i="1967"/>
        </ext>
      </extLst>
    </bk>
    <bk>
      <extLst>
        <ext uri="{3e2802c4-a4d2-4d8b-9148-e3be6c30e623}">
          <xlrd:rvb i="1968"/>
        </ext>
      </extLst>
    </bk>
    <bk>
      <extLst>
        <ext uri="{3e2802c4-a4d2-4d8b-9148-e3be6c30e623}">
          <xlrd:rvb i="1969"/>
        </ext>
      </extLst>
    </bk>
    <bk>
      <extLst>
        <ext uri="{3e2802c4-a4d2-4d8b-9148-e3be6c30e623}">
          <xlrd:rvb i="1970"/>
        </ext>
      </extLst>
    </bk>
    <bk>
      <extLst>
        <ext uri="{3e2802c4-a4d2-4d8b-9148-e3be6c30e623}">
          <xlrd:rvb i="1971"/>
        </ext>
      </extLst>
    </bk>
    <bk>
      <extLst>
        <ext uri="{3e2802c4-a4d2-4d8b-9148-e3be6c30e623}">
          <xlrd:rvb i="1972"/>
        </ext>
      </extLst>
    </bk>
    <bk>
      <extLst>
        <ext uri="{3e2802c4-a4d2-4d8b-9148-e3be6c30e623}">
          <xlrd:rvb i="1973"/>
        </ext>
      </extLst>
    </bk>
    <bk>
      <extLst>
        <ext uri="{3e2802c4-a4d2-4d8b-9148-e3be6c30e623}">
          <xlrd:rvb i="1974"/>
        </ext>
      </extLst>
    </bk>
    <bk>
      <extLst>
        <ext uri="{3e2802c4-a4d2-4d8b-9148-e3be6c30e623}">
          <xlrd:rvb i="1975"/>
        </ext>
      </extLst>
    </bk>
    <bk>
      <extLst>
        <ext uri="{3e2802c4-a4d2-4d8b-9148-e3be6c30e623}">
          <xlrd:rvb i="1976"/>
        </ext>
      </extLst>
    </bk>
    <bk>
      <extLst>
        <ext uri="{3e2802c4-a4d2-4d8b-9148-e3be6c30e623}">
          <xlrd:rvb i="1977"/>
        </ext>
      </extLst>
    </bk>
    <bk>
      <extLst>
        <ext uri="{3e2802c4-a4d2-4d8b-9148-e3be6c30e623}">
          <xlrd:rvb i="1978"/>
        </ext>
      </extLst>
    </bk>
    <bk>
      <extLst>
        <ext uri="{3e2802c4-a4d2-4d8b-9148-e3be6c30e623}">
          <xlrd:rvb i="1979"/>
        </ext>
      </extLst>
    </bk>
    <bk>
      <extLst>
        <ext uri="{3e2802c4-a4d2-4d8b-9148-e3be6c30e623}">
          <xlrd:rvb i="1980"/>
        </ext>
      </extLst>
    </bk>
    <bk>
      <extLst>
        <ext uri="{3e2802c4-a4d2-4d8b-9148-e3be6c30e623}">
          <xlrd:rvb i="1981"/>
        </ext>
      </extLst>
    </bk>
    <bk>
      <extLst>
        <ext uri="{3e2802c4-a4d2-4d8b-9148-e3be6c30e623}">
          <xlrd:rvb i="1982"/>
        </ext>
      </extLst>
    </bk>
    <bk>
      <extLst>
        <ext uri="{3e2802c4-a4d2-4d8b-9148-e3be6c30e623}">
          <xlrd:rvb i="1983"/>
        </ext>
      </extLst>
    </bk>
    <bk>
      <extLst>
        <ext uri="{3e2802c4-a4d2-4d8b-9148-e3be6c30e623}">
          <xlrd:rvb i="1984"/>
        </ext>
      </extLst>
    </bk>
    <bk>
      <extLst>
        <ext uri="{3e2802c4-a4d2-4d8b-9148-e3be6c30e623}">
          <xlrd:rvb i="1985"/>
        </ext>
      </extLst>
    </bk>
    <bk>
      <extLst>
        <ext uri="{3e2802c4-a4d2-4d8b-9148-e3be6c30e623}">
          <xlrd:rvb i="1986"/>
        </ext>
      </extLst>
    </bk>
    <bk>
      <extLst>
        <ext uri="{3e2802c4-a4d2-4d8b-9148-e3be6c30e623}">
          <xlrd:rvb i="1987"/>
        </ext>
      </extLst>
    </bk>
    <bk>
      <extLst>
        <ext uri="{3e2802c4-a4d2-4d8b-9148-e3be6c30e623}">
          <xlrd:rvb i="1988"/>
        </ext>
      </extLst>
    </bk>
    <bk>
      <extLst>
        <ext uri="{3e2802c4-a4d2-4d8b-9148-e3be6c30e623}">
          <xlrd:rvb i="1989"/>
        </ext>
      </extLst>
    </bk>
    <bk>
      <extLst>
        <ext uri="{3e2802c4-a4d2-4d8b-9148-e3be6c30e623}">
          <xlrd:rvb i="1990"/>
        </ext>
      </extLst>
    </bk>
    <bk>
      <extLst>
        <ext uri="{3e2802c4-a4d2-4d8b-9148-e3be6c30e623}">
          <xlrd:rvb i="1991"/>
        </ext>
      </extLst>
    </bk>
    <bk>
      <extLst>
        <ext uri="{3e2802c4-a4d2-4d8b-9148-e3be6c30e623}">
          <xlrd:rvb i="1992"/>
        </ext>
      </extLst>
    </bk>
    <bk>
      <extLst>
        <ext uri="{3e2802c4-a4d2-4d8b-9148-e3be6c30e623}">
          <xlrd:rvb i="1993"/>
        </ext>
      </extLst>
    </bk>
    <bk>
      <extLst>
        <ext uri="{3e2802c4-a4d2-4d8b-9148-e3be6c30e623}">
          <xlrd:rvb i="1994"/>
        </ext>
      </extLst>
    </bk>
    <bk>
      <extLst>
        <ext uri="{3e2802c4-a4d2-4d8b-9148-e3be6c30e623}">
          <xlrd:rvb i="1995"/>
        </ext>
      </extLst>
    </bk>
    <bk>
      <extLst>
        <ext uri="{3e2802c4-a4d2-4d8b-9148-e3be6c30e623}">
          <xlrd:rvb i="1996"/>
        </ext>
      </extLst>
    </bk>
    <bk>
      <extLst>
        <ext uri="{3e2802c4-a4d2-4d8b-9148-e3be6c30e623}">
          <xlrd:rvb i="1997"/>
        </ext>
      </extLst>
    </bk>
    <bk>
      <extLst>
        <ext uri="{3e2802c4-a4d2-4d8b-9148-e3be6c30e623}">
          <xlrd:rvb i="1998"/>
        </ext>
      </extLst>
    </bk>
    <bk>
      <extLst>
        <ext uri="{3e2802c4-a4d2-4d8b-9148-e3be6c30e623}">
          <xlrd:rvb i="1999"/>
        </ext>
      </extLst>
    </bk>
    <bk>
      <extLst>
        <ext uri="{3e2802c4-a4d2-4d8b-9148-e3be6c30e623}">
          <xlrd:rvb i="2000"/>
        </ext>
      </extLst>
    </bk>
    <bk>
      <extLst>
        <ext uri="{3e2802c4-a4d2-4d8b-9148-e3be6c30e623}">
          <xlrd:rvb i="2001"/>
        </ext>
      </extLst>
    </bk>
    <bk>
      <extLst>
        <ext uri="{3e2802c4-a4d2-4d8b-9148-e3be6c30e623}">
          <xlrd:rvb i="2002"/>
        </ext>
      </extLst>
    </bk>
    <bk>
      <extLst>
        <ext uri="{3e2802c4-a4d2-4d8b-9148-e3be6c30e623}">
          <xlrd:rvb i="2003"/>
        </ext>
      </extLst>
    </bk>
    <bk>
      <extLst>
        <ext uri="{3e2802c4-a4d2-4d8b-9148-e3be6c30e623}">
          <xlrd:rvb i="2004"/>
        </ext>
      </extLst>
    </bk>
    <bk>
      <extLst>
        <ext uri="{3e2802c4-a4d2-4d8b-9148-e3be6c30e623}">
          <xlrd:rvb i="2005"/>
        </ext>
      </extLst>
    </bk>
    <bk>
      <extLst>
        <ext uri="{3e2802c4-a4d2-4d8b-9148-e3be6c30e623}">
          <xlrd:rvb i="2006"/>
        </ext>
      </extLst>
    </bk>
    <bk>
      <extLst>
        <ext uri="{3e2802c4-a4d2-4d8b-9148-e3be6c30e623}">
          <xlrd:rvb i="2007"/>
        </ext>
      </extLst>
    </bk>
    <bk>
      <extLst>
        <ext uri="{3e2802c4-a4d2-4d8b-9148-e3be6c30e623}">
          <xlrd:rvb i="2008"/>
        </ext>
      </extLst>
    </bk>
    <bk>
      <extLst>
        <ext uri="{3e2802c4-a4d2-4d8b-9148-e3be6c30e623}">
          <xlrd:rvb i="2009"/>
        </ext>
      </extLst>
    </bk>
    <bk>
      <extLst>
        <ext uri="{3e2802c4-a4d2-4d8b-9148-e3be6c30e623}">
          <xlrd:rvb i="2010"/>
        </ext>
      </extLst>
    </bk>
    <bk>
      <extLst>
        <ext uri="{3e2802c4-a4d2-4d8b-9148-e3be6c30e623}">
          <xlrd:rvb i="2011"/>
        </ext>
      </extLst>
    </bk>
    <bk>
      <extLst>
        <ext uri="{3e2802c4-a4d2-4d8b-9148-e3be6c30e623}">
          <xlrd:rvb i="2012"/>
        </ext>
      </extLst>
    </bk>
    <bk>
      <extLst>
        <ext uri="{3e2802c4-a4d2-4d8b-9148-e3be6c30e623}">
          <xlrd:rvb i="2013"/>
        </ext>
      </extLst>
    </bk>
    <bk>
      <extLst>
        <ext uri="{3e2802c4-a4d2-4d8b-9148-e3be6c30e623}">
          <xlrd:rvb i="2014"/>
        </ext>
      </extLst>
    </bk>
    <bk>
      <extLst>
        <ext uri="{3e2802c4-a4d2-4d8b-9148-e3be6c30e623}">
          <xlrd:rvb i="2015"/>
        </ext>
      </extLst>
    </bk>
    <bk>
      <extLst>
        <ext uri="{3e2802c4-a4d2-4d8b-9148-e3be6c30e623}">
          <xlrd:rvb i="2016"/>
        </ext>
      </extLst>
    </bk>
    <bk>
      <extLst>
        <ext uri="{3e2802c4-a4d2-4d8b-9148-e3be6c30e623}">
          <xlrd:rvb i="2017"/>
        </ext>
      </extLst>
    </bk>
    <bk>
      <extLst>
        <ext uri="{3e2802c4-a4d2-4d8b-9148-e3be6c30e623}">
          <xlrd:rvb i="2018"/>
        </ext>
      </extLst>
    </bk>
    <bk>
      <extLst>
        <ext uri="{3e2802c4-a4d2-4d8b-9148-e3be6c30e623}">
          <xlrd:rvb i="2019"/>
        </ext>
      </extLst>
    </bk>
    <bk>
      <extLst>
        <ext uri="{3e2802c4-a4d2-4d8b-9148-e3be6c30e623}">
          <xlrd:rvb i="2020"/>
        </ext>
      </extLst>
    </bk>
    <bk>
      <extLst>
        <ext uri="{3e2802c4-a4d2-4d8b-9148-e3be6c30e623}">
          <xlrd:rvb i="2021"/>
        </ext>
      </extLst>
    </bk>
    <bk>
      <extLst>
        <ext uri="{3e2802c4-a4d2-4d8b-9148-e3be6c30e623}">
          <xlrd:rvb i="2022"/>
        </ext>
      </extLst>
    </bk>
    <bk>
      <extLst>
        <ext uri="{3e2802c4-a4d2-4d8b-9148-e3be6c30e623}">
          <xlrd:rvb i="2023"/>
        </ext>
      </extLst>
    </bk>
    <bk>
      <extLst>
        <ext uri="{3e2802c4-a4d2-4d8b-9148-e3be6c30e623}">
          <xlrd:rvb i="2024"/>
        </ext>
      </extLst>
    </bk>
    <bk>
      <extLst>
        <ext uri="{3e2802c4-a4d2-4d8b-9148-e3be6c30e623}">
          <xlrd:rvb i="2025"/>
        </ext>
      </extLst>
    </bk>
    <bk>
      <extLst>
        <ext uri="{3e2802c4-a4d2-4d8b-9148-e3be6c30e623}">
          <xlrd:rvb i="2026"/>
        </ext>
      </extLst>
    </bk>
    <bk>
      <extLst>
        <ext uri="{3e2802c4-a4d2-4d8b-9148-e3be6c30e623}">
          <xlrd:rvb i="2027"/>
        </ext>
      </extLst>
    </bk>
    <bk>
      <extLst>
        <ext uri="{3e2802c4-a4d2-4d8b-9148-e3be6c30e623}">
          <xlrd:rvb i="2028"/>
        </ext>
      </extLst>
    </bk>
    <bk>
      <extLst>
        <ext uri="{3e2802c4-a4d2-4d8b-9148-e3be6c30e623}">
          <xlrd:rvb i="2029"/>
        </ext>
      </extLst>
    </bk>
    <bk>
      <extLst>
        <ext uri="{3e2802c4-a4d2-4d8b-9148-e3be6c30e623}">
          <xlrd:rvb i="2030"/>
        </ext>
      </extLst>
    </bk>
    <bk>
      <extLst>
        <ext uri="{3e2802c4-a4d2-4d8b-9148-e3be6c30e623}">
          <xlrd:rvb i="2031"/>
        </ext>
      </extLst>
    </bk>
    <bk>
      <extLst>
        <ext uri="{3e2802c4-a4d2-4d8b-9148-e3be6c30e623}">
          <xlrd:rvb i="2032"/>
        </ext>
      </extLst>
    </bk>
    <bk>
      <extLst>
        <ext uri="{3e2802c4-a4d2-4d8b-9148-e3be6c30e623}">
          <xlrd:rvb i="2033"/>
        </ext>
      </extLst>
    </bk>
    <bk>
      <extLst>
        <ext uri="{3e2802c4-a4d2-4d8b-9148-e3be6c30e623}">
          <xlrd:rvb i="2034"/>
        </ext>
      </extLst>
    </bk>
    <bk>
      <extLst>
        <ext uri="{3e2802c4-a4d2-4d8b-9148-e3be6c30e623}">
          <xlrd:rvb i="2035"/>
        </ext>
      </extLst>
    </bk>
    <bk>
      <extLst>
        <ext uri="{3e2802c4-a4d2-4d8b-9148-e3be6c30e623}">
          <xlrd:rvb i="2036"/>
        </ext>
      </extLst>
    </bk>
    <bk>
      <extLst>
        <ext uri="{3e2802c4-a4d2-4d8b-9148-e3be6c30e623}">
          <xlrd:rvb i="2037"/>
        </ext>
      </extLst>
    </bk>
    <bk>
      <extLst>
        <ext uri="{3e2802c4-a4d2-4d8b-9148-e3be6c30e623}">
          <xlrd:rvb i="2038"/>
        </ext>
      </extLst>
    </bk>
    <bk>
      <extLst>
        <ext uri="{3e2802c4-a4d2-4d8b-9148-e3be6c30e623}">
          <xlrd:rvb i="2039"/>
        </ext>
      </extLst>
    </bk>
    <bk>
      <extLst>
        <ext uri="{3e2802c4-a4d2-4d8b-9148-e3be6c30e623}">
          <xlrd:rvb i="2040"/>
        </ext>
      </extLst>
    </bk>
    <bk>
      <extLst>
        <ext uri="{3e2802c4-a4d2-4d8b-9148-e3be6c30e623}">
          <xlrd:rvb i="2041"/>
        </ext>
      </extLst>
    </bk>
    <bk>
      <extLst>
        <ext uri="{3e2802c4-a4d2-4d8b-9148-e3be6c30e623}">
          <xlrd:rvb i="2042"/>
        </ext>
      </extLst>
    </bk>
    <bk>
      <extLst>
        <ext uri="{3e2802c4-a4d2-4d8b-9148-e3be6c30e623}">
          <xlrd:rvb i="2043"/>
        </ext>
      </extLst>
    </bk>
    <bk>
      <extLst>
        <ext uri="{3e2802c4-a4d2-4d8b-9148-e3be6c30e623}">
          <xlrd:rvb i="2044"/>
        </ext>
      </extLst>
    </bk>
    <bk>
      <extLst>
        <ext uri="{3e2802c4-a4d2-4d8b-9148-e3be6c30e623}">
          <xlrd:rvb i="2045"/>
        </ext>
      </extLst>
    </bk>
    <bk>
      <extLst>
        <ext uri="{3e2802c4-a4d2-4d8b-9148-e3be6c30e623}">
          <xlrd:rvb i="2046"/>
        </ext>
      </extLst>
    </bk>
    <bk>
      <extLst>
        <ext uri="{3e2802c4-a4d2-4d8b-9148-e3be6c30e623}">
          <xlrd:rvb i="2047"/>
        </ext>
      </extLst>
    </bk>
    <bk>
      <extLst>
        <ext uri="{3e2802c4-a4d2-4d8b-9148-e3be6c30e623}">
          <xlrd:rvb i="2048"/>
        </ext>
      </extLst>
    </bk>
    <bk>
      <extLst>
        <ext uri="{3e2802c4-a4d2-4d8b-9148-e3be6c30e623}">
          <xlrd:rvb i="2049"/>
        </ext>
      </extLst>
    </bk>
    <bk>
      <extLst>
        <ext uri="{3e2802c4-a4d2-4d8b-9148-e3be6c30e623}">
          <xlrd:rvb i="2050"/>
        </ext>
      </extLst>
    </bk>
    <bk>
      <extLst>
        <ext uri="{3e2802c4-a4d2-4d8b-9148-e3be6c30e623}">
          <xlrd:rvb i="2051"/>
        </ext>
      </extLst>
    </bk>
    <bk>
      <extLst>
        <ext uri="{3e2802c4-a4d2-4d8b-9148-e3be6c30e623}">
          <xlrd:rvb i="2052"/>
        </ext>
      </extLst>
    </bk>
    <bk>
      <extLst>
        <ext uri="{3e2802c4-a4d2-4d8b-9148-e3be6c30e623}">
          <xlrd:rvb i="2053"/>
        </ext>
      </extLst>
    </bk>
    <bk>
      <extLst>
        <ext uri="{3e2802c4-a4d2-4d8b-9148-e3be6c30e623}">
          <xlrd:rvb i="2054"/>
        </ext>
      </extLst>
    </bk>
    <bk>
      <extLst>
        <ext uri="{3e2802c4-a4d2-4d8b-9148-e3be6c30e623}">
          <xlrd:rvb i="2055"/>
        </ext>
      </extLst>
    </bk>
    <bk>
      <extLst>
        <ext uri="{3e2802c4-a4d2-4d8b-9148-e3be6c30e623}">
          <xlrd:rvb i="2056"/>
        </ext>
      </extLst>
    </bk>
    <bk>
      <extLst>
        <ext uri="{3e2802c4-a4d2-4d8b-9148-e3be6c30e623}">
          <xlrd:rvb i="2057"/>
        </ext>
      </extLst>
    </bk>
    <bk>
      <extLst>
        <ext uri="{3e2802c4-a4d2-4d8b-9148-e3be6c30e623}">
          <xlrd:rvb i="2058"/>
        </ext>
      </extLst>
    </bk>
    <bk>
      <extLst>
        <ext uri="{3e2802c4-a4d2-4d8b-9148-e3be6c30e623}">
          <xlrd:rvb i="2059"/>
        </ext>
      </extLst>
    </bk>
    <bk>
      <extLst>
        <ext uri="{3e2802c4-a4d2-4d8b-9148-e3be6c30e623}">
          <xlrd:rvb i="2060"/>
        </ext>
      </extLst>
    </bk>
    <bk>
      <extLst>
        <ext uri="{3e2802c4-a4d2-4d8b-9148-e3be6c30e623}">
          <xlrd:rvb i="2061"/>
        </ext>
      </extLst>
    </bk>
    <bk>
      <extLst>
        <ext uri="{3e2802c4-a4d2-4d8b-9148-e3be6c30e623}">
          <xlrd:rvb i="2062"/>
        </ext>
      </extLst>
    </bk>
    <bk>
      <extLst>
        <ext uri="{3e2802c4-a4d2-4d8b-9148-e3be6c30e623}">
          <xlrd:rvb i="2063"/>
        </ext>
      </extLst>
    </bk>
    <bk>
      <extLst>
        <ext uri="{3e2802c4-a4d2-4d8b-9148-e3be6c30e623}">
          <xlrd:rvb i="2064"/>
        </ext>
      </extLst>
    </bk>
    <bk>
      <extLst>
        <ext uri="{3e2802c4-a4d2-4d8b-9148-e3be6c30e623}">
          <xlrd:rvb i="2065"/>
        </ext>
      </extLst>
    </bk>
    <bk>
      <extLst>
        <ext uri="{3e2802c4-a4d2-4d8b-9148-e3be6c30e623}">
          <xlrd:rvb i="2066"/>
        </ext>
      </extLst>
    </bk>
    <bk>
      <extLst>
        <ext uri="{3e2802c4-a4d2-4d8b-9148-e3be6c30e623}">
          <xlrd:rvb i="2067"/>
        </ext>
      </extLst>
    </bk>
    <bk>
      <extLst>
        <ext uri="{3e2802c4-a4d2-4d8b-9148-e3be6c30e623}">
          <xlrd:rvb i="2068"/>
        </ext>
      </extLst>
    </bk>
    <bk>
      <extLst>
        <ext uri="{3e2802c4-a4d2-4d8b-9148-e3be6c30e623}">
          <xlrd:rvb i="2069"/>
        </ext>
      </extLst>
    </bk>
    <bk>
      <extLst>
        <ext uri="{3e2802c4-a4d2-4d8b-9148-e3be6c30e623}">
          <xlrd:rvb i="2070"/>
        </ext>
      </extLst>
    </bk>
    <bk>
      <extLst>
        <ext uri="{3e2802c4-a4d2-4d8b-9148-e3be6c30e623}">
          <xlrd:rvb i="2071"/>
        </ext>
      </extLst>
    </bk>
    <bk>
      <extLst>
        <ext uri="{3e2802c4-a4d2-4d8b-9148-e3be6c30e623}">
          <xlrd:rvb i="2072"/>
        </ext>
      </extLst>
    </bk>
    <bk>
      <extLst>
        <ext uri="{3e2802c4-a4d2-4d8b-9148-e3be6c30e623}">
          <xlrd:rvb i="2073"/>
        </ext>
      </extLst>
    </bk>
    <bk>
      <extLst>
        <ext uri="{3e2802c4-a4d2-4d8b-9148-e3be6c30e623}">
          <xlrd:rvb i="2074"/>
        </ext>
      </extLst>
    </bk>
    <bk>
      <extLst>
        <ext uri="{3e2802c4-a4d2-4d8b-9148-e3be6c30e623}">
          <xlrd:rvb i="2075"/>
        </ext>
      </extLst>
    </bk>
    <bk>
      <extLst>
        <ext uri="{3e2802c4-a4d2-4d8b-9148-e3be6c30e623}">
          <xlrd:rvb i="2076"/>
        </ext>
      </extLst>
    </bk>
    <bk>
      <extLst>
        <ext uri="{3e2802c4-a4d2-4d8b-9148-e3be6c30e623}">
          <xlrd:rvb i="2077"/>
        </ext>
      </extLst>
    </bk>
    <bk>
      <extLst>
        <ext uri="{3e2802c4-a4d2-4d8b-9148-e3be6c30e623}">
          <xlrd:rvb i="2078"/>
        </ext>
      </extLst>
    </bk>
    <bk>
      <extLst>
        <ext uri="{3e2802c4-a4d2-4d8b-9148-e3be6c30e623}">
          <xlrd:rvb i="2079"/>
        </ext>
      </extLst>
    </bk>
    <bk>
      <extLst>
        <ext uri="{3e2802c4-a4d2-4d8b-9148-e3be6c30e623}">
          <xlrd:rvb i="2080"/>
        </ext>
      </extLst>
    </bk>
    <bk>
      <extLst>
        <ext uri="{3e2802c4-a4d2-4d8b-9148-e3be6c30e623}">
          <xlrd:rvb i="2081"/>
        </ext>
      </extLst>
    </bk>
    <bk>
      <extLst>
        <ext uri="{3e2802c4-a4d2-4d8b-9148-e3be6c30e623}">
          <xlrd:rvb i="2082"/>
        </ext>
      </extLst>
    </bk>
    <bk>
      <extLst>
        <ext uri="{3e2802c4-a4d2-4d8b-9148-e3be6c30e623}">
          <xlrd:rvb i="2083"/>
        </ext>
      </extLst>
    </bk>
    <bk>
      <extLst>
        <ext uri="{3e2802c4-a4d2-4d8b-9148-e3be6c30e623}">
          <xlrd:rvb i="2084"/>
        </ext>
      </extLst>
    </bk>
    <bk>
      <extLst>
        <ext uri="{3e2802c4-a4d2-4d8b-9148-e3be6c30e623}">
          <xlrd:rvb i="2085"/>
        </ext>
      </extLst>
    </bk>
    <bk>
      <extLst>
        <ext uri="{3e2802c4-a4d2-4d8b-9148-e3be6c30e623}">
          <xlrd:rvb i="2086"/>
        </ext>
      </extLst>
    </bk>
    <bk>
      <extLst>
        <ext uri="{3e2802c4-a4d2-4d8b-9148-e3be6c30e623}">
          <xlrd:rvb i="2087"/>
        </ext>
      </extLst>
    </bk>
    <bk>
      <extLst>
        <ext uri="{3e2802c4-a4d2-4d8b-9148-e3be6c30e623}">
          <xlrd:rvb i="2088"/>
        </ext>
      </extLst>
    </bk>
    <bk>
      <extLst>
        <ext uri="{3e2802c4-a4d2-4d8b-9148-e3be6c30e623}">
          <xlrd:rvb i="2089"/>
        </ext>
      </extLst>
    </bk>
    <bk>
      <extLst>
        <ext uri="{3e2802c4-a4d2-4d8b-9148-e3be6c30e623}">
          <xlrd:rvb i="2090"/>
        </ext>
      </extLst>
    </bk>
    <bk>
      <extLst>
        <ext uri="{3e2802c4-a4d2-4d8b-9148-e3be6c30e623}">
          <xlrd:rvb i="2091"/>
        </ext>
      </extLst>
    </bk>
    <bk>
      <extLst>
        <ext uri="{3e2802c4-a4d2-4d8b-9148-e3be6c30e623}">
          <xlrd:rvb i="2092"/>
        </ext>
      </extLst>
    </bk>
    <bk>
      <extLst>
        <ext uri="{3e2802c4-a4d2-4d8b-9148-e3be6c30e623}">
          <xlrd:rvb i="2093"/>
        </ext>
      </extLst>
    </bk>
    <bk>
      <extLst>
        <ext uri="{3e2802c4-a4d2-4d8b-9148-e3be6c30e623}">
          <xlrd:rvb i="2094"/>
        </ext>
      </extLst>
    </bk>
    <bk>
      <extLst>
        <ext uri="{3e2802c4-a4d2-4d8b-9148-e3be6c30e623}">
          <xlrd:rvb i="2095"/>
        </ext>
      </extLst>
    </bk>
    <bk>
      <extLst>
        <ext uri="{3e2802c4-a4d2-4d8b-9148-e3be6c30e623}">
          <xlrd:rvb i="2096"/>
        </ext>
      </extLst>
    </bk>
    <bk>
      <extLst>
        <ext uri="{3e2802c4-a4d2-4d8b-9148-e3be6c30e623}">
          <xlrd:rvb i="2097"/>
        </ext>
      </extLst>
    </bk>
    <bk>
      <extLst>
        <ext uri="{3e2802c4-a4d2-4d8b-9148-e3be6c30e623}">
          <xlrd:rvb i="2098"/>
        </ext>
      </extLst>
    </bk>
    <bk>
      <extLst>
        <ext uri="{3e2802c4-a4d2-4d8b-9148-e3be6c30e623}">
          <xlrd:rvb i="2099"/>
        </ext>
      </extLst>
    </bk>
    <bk>
      <extLst>
        <ext uri="{3e2802c4-a4d2-4d8b-9148-e3be6c30e623}">
          <xlrd:rvb i="2100"/>
        </ext>
      </extLst>
    </bk>
    <bk>
      <extLst>
        <ext uri="{3e2802c4-a4d2-4d8b-9148-e3be6c30e623}">
          <xlrd:rvb i="2101"/>
        </ext>
      </extLst>
    </bk>
    <bk>
      <extLst>
        <ext uri="{3e2802c4-a4d2-4d8b-9148-e3be6c30e623}">
          <xlrd:rvb i="2102"/>
        </ext>
      </extLst>
    </bk>
    <bk>
      <extLst>
        <ext uri="{3e2802c4-a4d2-4d8b-9148-e3be6c30e623}">
          <xlrd:rvb i="2103"/>
        </ext>
      </extLst>
    </bk>
    <bk>
      <extLst>
        <ext uri="{3e2802c4-a4d2-4d8b-9148-e3be6c30e623}">
          <xlrd:rvb i="2104"/>
        </ext>
      </extLst>
    </bk>
    <bk>
      <extLst>
        <ext uri="{3e2802c4-a4d2-4d8b-9148-e3be6c30e623}">
          <xlrd:rvb i="2105"/>
        </ext>
      </extLst>
    </bk>
    <bk>
      <extLst>
        <ext uri="{3e2802c4-a4d2-4d8b-9148-e3be6c30e623}">
          <xlrd:rvb i="2106"/>
        </ext>
      </extLst>
    </bk>
    <bk>
      <extLst>
        <ext uri="{3e2802c4-a4d2-4d8b-9148-e3be6c30e623}">
          <xlrd:rvb i="2107"/>
        </ext>
      </extLst>
    </bk>
    <bk>
      <extLst>
        <ext uri="{3e2802c4-a4d2-4d8b-9148-e3be6c30e623}">
          <xlrd:rvb i="2108"/>
        </ext>
      </extLst>
    </bk>
    <bk>
      <extLst>
        <ext uri="{3e2802c4-a4d2-4d8b-9148-e3be6c30e623}">
          <xlrd:rvb i="2109"/>
        </ext>
      </extLst>
    </bk>
    <bk>
      <extLst>
        <ext uri="{3e2802c4-a4d2-4d8b-9148-e3be6c30e623}">
          <xlrd:rvb i="2110"/>
        </ext>
      </extLst>
    </bk>
    <bk>
      <extLst>
        <ext uri="{3e2802c4-a4d2-4d8b-9148-e3be6c30e623}">
          <xlrd:rvb i="2111"/>
        </ext>
      </extLst>
    </bk>
    <bk>
      <extLst>
        <ext uri="{3e2802c4-a4d2-4d8b-9148-e3be6c30e623}">
          <xlrd:rvb i="2112"/>
        </ext>
      </extLst>
    </bk>
    <bk>
      <extLst>
        <ext uri="{3e2802c4-a4d2-4d8b-9148-e3be6c30e623}">
          <xlrd:rvb i="2113"/>
        </ext>
      </extLst>
    </bk>
    <bk>
      <extLst>
        <ext uri="{3e2802c4-a4d2-4d8b-9148-e3be6c30e623}">
          <xlrd:rvb i="2114"/>
        </ext>
      </extLst>
    </bk>
    <bk>
      <extLst>
        <ext uri="{3e2802c4-a4d2-4d8b-9148-e3be6c30e623}">
          <xlrd:rvb i="2115"/>
        </ext>
      </extLst>
    </bk>
    <bk>
      <extLst>
        <ext uri="{3e2802c4-a4d2-4d8b-9148-e3be6c30e623}">
          <xlrd:rvb i="2116"/>
        </ext>
      </extLst>
    </bk>
    <bk>
      <extLst>
        <ext uri="{3e2802c4-a4d2-4d8b-9148-e3be6c30e623}">
          <xlrd:rvb i="2117"/>
        </ext>
      </extLst>
    </bk>
    <bk>
      <extLst>
        <ext uri="{3e2802c4-a4d2-4d8b-9148-e3be6c30e623}">
          <xlrd:rvb i="2118"/>
        </ext>
      </extLst>
    </bk>
    <bk>
      <extLst>
        <ext uri="{3e2802c4-a4d2-4d8b-9148-e3be6c30e623}">
          <xlrd:rvb i="2119"/>
        </ext>
      </extLst>
    </bk>
    <bk>
      <extLst>
        <ext uri="{3e2802c4-a4d2-4d8b-9148-e3be6c30e623}">
          <xlrd:rvb i="2120"/>
        </ext>
      </extLst>
    </bk>
    <bk>
      <extLst>
        <ext uri="{3e2802c4-a4d2-4d8b-9148-e3be6c30e623}">
          <xlrd:rvb i="2121"/>
        </ext>
      </extLst>
    </bk>
    <bk>
      <extLst>
        <ext uri="{3e2802c4-a4d2-4d8b-9148-e3be6c30e623}">
          <xlrd:rvb i="2122"/>
        </ext>
      </extLst>
    </bk>
    <bk>
      <extLst>
        <ext uri="{3e2802c4-a4d2-4d8b-9148-e3be6c30e623}">
          <xlrd:rvb i="2123"/>
        </ext>
      </extLst>
    </bk>
    <bk>
      <extLst>
        <ext uri="{3e2802c4-a4d2-4d8b-9148-e3be6c30e623}">
          <xlrd:rvb i="2124"/>
        </ext>
      </extLst>
    </bk>
    <bk>
      <extLst>
        <ext uri="{3e2802c4-a4d2-4d8b-9148-e3be6c30e623}">
          <xlrd:rvb i="2125"/>
        </ext>
      </extLst>
    </bk>
    <bk>
      <extLst>
        <ext uri="{3e2802c4-a4d2-4d8b-9148-e3be6c30e623}">
          <xlrd:rvb i="2126"/>
        </ext>
      </extLst>
    </bk>
    <bk>
      <extLst>
        <ext uri="{3e2802c4-a4d2-4d8b-9148-e3be6c30e623}">
          <xlrd:rvb i="2127"/>
        </ext>
      </extLst>
    </bk>
    <bk>
      <extLst>
        <ext uri="{3e2802c4-a4d2-4d8b-9148-e3be6c30e623}">
          <xlrd:rvb i="2128"/>
        </ext>
      </extLst>
    </bk>
    <bk>
      <extLst>
        <ext uri="{3e2802c4-a4d2-4d8b-9148-e3be6c30e623}">
          <xlrd:rvb i="2129"/>
        </ext>
      </extLst>
    </bk>
    <bk>
      <extLst>
        <ext uri="{3e2802c4-a4d2-4d8b-9148-e3be6c30e623}">
          <xlrd:rvb i="2130"/>
        </ext>
      </extLst>
    </bk>
    <bk>
      <extLst>
        <ext uri="{3e2802c4-a4d2-4d8b-9148-e3be6c30e623}">
          <xlrd:rvb i="2131"/>
        </ext>
      </extLst>
    </bk>
    <bk>
      <extLst>
        <ext uri="{3e2802c4-a4d2-4d8b-9148-e3be6c30e623}">
          <xlrd:rvb i="2132"/>
        </ext>
      </extLst>
    </bk>
    <bk>
      <extLst>
        <ext uri="{3e2802c4-a4d2-4d8b-9148-e3be6c30e623}">
          <xlrd:rvb i="2133"/>
        </ext>
      </extLst>
    </bk>
    <bk>
      <extLst>
        <ext uri="{3e2802c4-a4d2-4d8b-9148-e3be6c30e623}">
          <xlrd:rvb i="2134"/>
        </ext>
      </extLst>
    </bk>
    <bk>
      <extLst>
        <ext uri="{3e2802c4-a4d2-4d8b-9148-e3be6c30e623}">
          <xlrd:rvb i="2135"/>
        </ext>
      </extLst>
    </bk>
    <bk>
      <extLst>
        <ext uri="{3e2802c4-a4d2-4d8b-9148-e3be6c30e623}">
          <xlrd:rvb i="2136"/>
        </ext>
      </extLst>
    </bk>
    <bk>
      <extLst>
        <ext uri="{3e2802c4-a4d2-4d8b-9148-e3be6c30e623}">
          <xlrd:rvb i="2137"/>
        </ext>
      </extLst>
    </bk>
    <bk>
      <extLst>
        <ext uri="{3e2802c4-a4d2-4d8b-9148-e3be6c30e623}">
          <xlrd:rvb i="2138"/>
        </ext>
      </extLst>
    </bk>
    <bk>
      <extLst>
        <ext uri="{3e2802c4-a4d2-4d8b-9148-e3be6c30e623}">
          <xlrd:rvb i="2139"/>
        </ext>
      </extLst>
    </bk>
    <bk>
      <extLst>
        <ext uri="{3e2802c4-a4d2-4d8b-9148-e3be6c30e623}">
          <xlrd:rvb i="2140"/>
        </ext>
      </extLst>
    </bk>
    <bk>
      <extLst>
        <ext uri="{3e2802c4-a4d2-4d8b-9148-e3be6c30e623}">
          <xlrd:rvb i="2141"/>
        </ext>
      </extLst>
    </bk>
    <bk>
      <extLst>
        <ext uri="{3e2802c4-a4d2-4d8b-9148-e3be6c30e623}">
          <xlrd:rvb i="2142"/>
        </ext>
      </extLst>
    </bk>
    <bk>
      <extLst>
        <ext uri="{3e2802c4-a4d2-4d8b-9148-e3be6c30e623}">
          <xlrd:rvb i="2143"/>
        </ext>
      </extLst>
    </bk>
    <bk>
      <extLst>
        <ext uri="{3e2802c4-a4d2-4d8b-9148-e3be6c30e623}">
          <xlrd:rvb i="2144"/>
        </ext>
      </extLst>
    </bk>
    <bk>
      <extLst>
        <ext uri="{3e2802c4-a4d2-4d8b-9148-e3be6c30e623}">
          <xlrd:rvb i="2145"/>
        </ext>
      </extLst>
    </bk>
    <bk>
      <extLst>
        <ext uri="{3e2802c4-a4d2-4d8b-9148-e3be6c30e623}">
          <xlrd:rvb i="2146"/>
        </ext>
      </extLst>
    </bk>
    <bk>
      <extLst>
        <ext uri="{3e2802c4-a4d2-4d8b-9148-e3be6c30e623}">
          <xlrd:rvb i="2147"/>
        </ext>
      </extLst>
    </bk>
    <bk>
      <extLst>
        <ext uri="{3e2802c4-a4d2-4d8b-9148-e3be6c30e623}">
          <xlrd:rvb i="2148"/>
        </ext>
      </extLst>
    </bk>
    <bk>
      <extLst>
        <ext uri="{3e2802c4-a4d2-4d8b-9148-e3be6c30e623}">
          <xlrd:rvb i="2149"/>
        </ext>
      </extLst>
    </bk>
    <bk>
      <extLst>
        <ext uri="{3e2802c4-a4d2-4d8b-9148-e3be6c30e623}">
          <xlrd:rvb i="2150"/>
        </ext>
      </extLst>
    </bk>
    <bk>
      <extLst>
        <ext uri="{3e2802c4-a4d2-4d8b-9148-e3be6c30e623}">
          <xlrd:rvb i="2151"/>
        </ext>
      </extLst>
    </bk>
    <bk>
      <extLst>
        <ext uri="{3e2802c4-a4d2-4d8b-9148-e3be6c30e623}">
          <xlrd:rvb i="2152"/>
        </ext>
      </extLst>
    </bk>
    <bk>
      <extLst>
        <ext uri="{3e2802c4-a4d2-4d8b-9148-e3be6c30e623}">
          <xlrd:rvb i="2153"/>
        </ext>
      </extLst>
    </bk>
    <bk>
      <extLst>
        <ext uri="{3e2802c4-a4d2-4d8b-9148-e3be6c30e623}">
          <xlrd:rvb i="2154"/>
        </ext>
      </extLst>
    </bk>
    <bk>
      <extLst>
        <ext uri="{3e2802c4-a4d2-4d8b-9148-e3be6c30e623}">
          <xlrd:rvb i="2155"/>
        </ext>
      </extLst>
    </bk>
    <bk>
      <extLst>
        <ext uri="{3e2802c4-a4d2-4d8b-9148-e3be6c30e623}">
          <xlrd:rvb i="2156"/>
        </ext>
      </extLst>
    </bk>
    <bk>
      <extLst>
        <ext uri="{3e2802c4-a4d2-4d8b-9148-e3be6c30e623}">
          <xlrd:rvb i="2157"/>
        </ext>
      </extLst>
    </bk>
    <bk>
      <extLst>
        <ext uri="{3e2802c4-a4d2-4d8b-9148-e3be6c30e623}">
          <xlrd:rvb i="2158"/>
        </ext>
      </extLst>
    </bk>
    <bk>
      <extLst>
        <ext uri="{3e2802c4-a4d2-4d8b-9148-e3be6c30e623}">
          <xlrd:rvb i="2159"/>
        </ext>
      </extLst>
    </bk>
    <bk>
      <extLst>
        <ext uri="{3e2802c4-a4d2-4d8b-9148-e3be6c30e623}">
          <xlrd:rvb i="2160"/>
        </ext>
      </extLst>
    </bk>
    <bk>
      <extLst>
        <ext uri="{3e2802c4-a4d2-4d8b-9148-e3be6c30e623}">
          <xlrd:rvb i="2161"/>
        </ext>
      </extLst>
    </bk>
    <bk>
      <extLst>
        <ext uri="{3e2802c4-a4d2-4d8b-9148-e3be6c30e623}">
          <xlrd:rvb i="2162"/>
        </ext>
      </extLst>
    </bk>
    <bk>
      <extLst>
        <ext uri="{3e2802c4-a4d2-4d8b-9148-e3be6c30e623}">
          <xlrd:rvb i="2163"/>
        </ext>
      </extLst>
    </bk>
    <bk>
      <extLst>
        <ext uri="{3e2802c4-a4d2-4d8b-9148-e3be6c30e623}">
          <xlrd:rvb i="2164"/>
        </ext>
      </extLst>
    </bk>
    <bk>
      <extLst>
        <ext uri="{3e2802c4-a4d2-4d8b-9148-e3be6c30e623}">
          <xlrd:rvb i="2165"/>
        </ext>
      </extLst>
    </bk>
    <bk>
      <extLst>
        <ext uri="{3e2802c4-a4d2-4d8b-9148-e3be6c30e623}">
          <xlrd:rvb i="2166"/>
        </ext>
      </extLst>
    </bk>
    <bk>
      <extLst>
        <ext uri="{3e2802c4-a4d2-4d8b-9148-e3be6c30e623}">
          <xlrd:rvb i="2167"/>
        </ext>
      </extLst>
    </bk>
    <bk>
      <extLst>
        <ext uri="{3e2802c4-a4d2-4d8b-9148-e3be6c30e623}">
          <xlrd:rvb i="2168"/>
        </ext>
      </extLst>
    </bk>
    <bk>
      <extLst>
        <ext uri="{3e2802c4-a4d2-4d8b-9148-e3be6c30e623}">
          <xlrd:rvb i="2169"/>
        </ext>
      </extLst>
    </bk>
    <bk>
      <extLst>
        <ext uri="{3e2802c4-a4d2-4d8b-9148-e3be6c30e623}">
          <xlrd:rvb i="2170"/>
        </ext>
      </extLst>
    </bk>
    <bk>
      <extLst>
        <ext uri="{3e2802c4-a4d2-4d8b-9148-e3be6c30e623}">
          <xlrd:rvb i="2171"/>
        </ext>
      </extLst>
    </bk>
    <bk>
      <extLst>
        <ext uri="{3e2802c4-a4d2-4d8b-9148-e3be6c30e623}">
          <xlrd:rvb i="2172"/>
        </ext>
      </extLst>
    </bk>
    <bk>
      <extLst>
        <ext uri="{3e2802c4-a4d2-4d8b-9148-e3be6c30e623}">
          <xlrd:rvb i="2173"/>
        </ext>
      </extLst>
    </bk>
    <bk>
      <extLst>
        <ext uri="{3e2802c4-a4d2-4d8b-9148-e3be6c30e623}">
          <xlrd:rvb i="2174"/>
        </ext>
      </extLst>
    </bk>
    <bk>
      <extLst>
        <ext uri="{3e2802c4-a4d2-4d8b-9148-e3be6c30e623}">
          <xlrd:rvb i="2175"/>
        </ext>
      </extLst>
    </bk>
    <bk>
      <extLst>
        <ext uri="{3e2802c4-a4d2-4d8b-9148-e3be6c30e623}">
          <xlrd:rvb i="2176"/>
        </ext>
      </extLst>
    </bk>
    <bk>
      <extLst>
        <ext uri="{3e2802c4-a4d2-4d8b-9148-e3be6c30e623}">
          <xlrd:rvb i="2177"/>
        </ext>
      </extLst>
    </bk>
    <bk>
      <extLst>
        <ext uri="{3e2802c4-a4d2-4d8b-9148-e3be6c30e623}">
          <xlrd:rvb i="2178"/>
        </ext>
      </extLst>
    </bk>
    <bk>
      <extLst>
        <ext uri="{3e2802c4-a4d2-4d8b-9148-e3be6c30e623}">
          <xlrd:rvb i="2179"/>
        </ext>
      </extLst>
    </bk>
    <bk>
      <extLst>
        <ext uri="{3e2802c4-a4d2-4d8b-9148-e3be6c30e623}">
          <xlrd:rvb i="2180"/>
        </ext>
      </extLst>
    </bk>
    <bk>
      <extLst>
        <ext uri="{3e2802c4-a4d2-4d8b-9148-e3be6c30e623}">
          <xlrd:rvb i="2181"/>
        </ext>
      </extLst>
    </bk>
    <bk>
      <extLst>
        <ext uri="{3e2802c4-a4d2-4d8b-9148-e3be6c30e623}">
          <xlrd:rvb i="2182"/>
        </ext>
      </extLst>
    </bk>
    <bk>
      <extLst>
        <ext uri="{3e2802c4-a4d2-4d8b-9148-e3be6c30e623}">
          <xlrd:rvb i="2183"/>
        </ext>
      </extLst>
    </bk>
    <bk>
      <extLst>
        <ext uri="{3e2802c4-a4d2-4d8b-9148-e3be6c30e623}">
          <xlrd:rvb i="2184"/>
        </ext>
      </extLst>
    </bk>
    <bk>
      <extLst>
        <ext uri="{3e2802c4-a4d2-4d8b-9148-e3be6c30e623}">
          <xlrd:rvb i="2185"/>
        </ext>
      </extLst>
    </bk>
    <bk>
      <extLst>
        <ext uri="{3e2802c4-a4d2-4d8b-9148-e3be6c30e623}">
          <xlrd:rvb i="2186"/>
        </ext>
      </extLst>
    </bk>
    <bk>
      <extLst>
        <ext uri="{3e2802c4-a4d2-4d8b-9148-e3be6c30e623}">
          <xlrd:rvb i="2187"/>
        </ext>
      </extLst>
    </bk>
    <bk>
      <extLst>
        <ext uri="{3e2802c4-a4d2-4d8b-9148-e3be6c30e623}">
          <xlrd:rvb i="2188"/>
        </ext>
      </extLst>
    </bk>
    <bk>
      <extLst>
        <ext uri="{3e2802c4-a4d2-4d8b-9148-e3be6c30e623}">
          <xlrd:rvb i="2189"/>
        </ext>
      </extLst>
    </bk>
    <bk>
      <extLst>
        <ext uri="{3e2802c4-a4d2-4d8b-9148-e3be6c30e623}">
          <xlrd:rvb i="2190"/>
        </ext>
      </extLst>
    </bk>
    <bk>
      <extLst>
        <ext uri="{3e2802c4-a4d2-4d8b-9148-e3be6c30e623}">
          <xlrd:rvb i="2191"/>
        </ext>
      </extLst>
    </bk>
    <bk>
      <extLst>
        <ext uri="{3e2802c4-a4d2-4d8b-9148-e3be6c30e623}">
          <xlrd:rvb i="2192"/>
        </ext>
      </extLst>
    </bk>
    <bk>
      <extLst>
        <ext uri="{3e2802c4-a4d2-4d8b-9148-e3be6c30e623}">
          <xlrd:rvb i="2193"/>
        </ext>
      </extLst>
    </bk>
    <bk>
      <extLst>
        <ext uri="{3e2802c4-a4d2-4d8b-9148-e3be6c30e623}">
          <xlrd:rvb i="2194"/>
        </ext>
      </extLst>
    </bk>
    <bk>
      <extLst>
        <ext uri="{3e2802c4-a4d2-4d8b-9148-e3be6c30e623}">
          <xlrd:rvb i="2195"/>
        </ext>
      </extLst>
    </bk>
    <bk>
      <extLst>
        <ext uri="{3e2802c4-a4d2-4d8b-9148-e3be6c30e623}">
          <xlrd:rvb i="2196"/>
        </ext>
      </extLst>
    </bk>
    <bk>
      <extLst>
        <ext uri="{3e2802c4-a4d2-4d8b-9148-e3be6c30e623}">
          <xlrd:rvb i="2197"/>
        </ext>
      </extLst>
    </bk>
    <bk>
      <extLst>
        <ext uri="{3e2802c4-a4d2-4d8b-9148-e3be6c30e623}">
          <xlrd:rvb i="2198"/>
        </ext>
      </extLst>
    </bk>
    <bk>
      <extLst>
        <ext uri="{3e2802c4-a4d2-4d8b-9148-e3be6c30e623}">
          <xlrd:rvb i="2199"/>
        </ext>
      </extLst>
    </bk>
    <bk>
      <extLst>
        <ext uri="{3e2802c4-a4d2-4d8b-9148-e3be6c30e623}">
          <xlrd:rvb i="2200"/>
        </ext>
      </extLst>
    </bk>
    <bk>
      <extLst>
        <ext uri="{3e2802c4-a4d2-4d8b-9148-e3be6c30e623}">
          <xlrd:rvb i="2201"/>
        </ext>
      </extLst>
    </bk>
    <bk>
      <extLst>
        <ext uri="{3e2802c4-a4d2-4d8b-9148-e3be6c30e623}">
          <xlrd:rvb i="2202"/>
        </ext>
      </extLst>
    </bk>
    <bk>
      <extLst>
        <ext uri="{3e2802c4-a4d2-4d8b-9148-e3be6c30e623}">
          <xlrd:rvb i="2203"/>
        </ext>
      </extLst>
    </bk>
    <bk>
      <extLst>
        <ext uri="{3e2802c4-a4d2-4d8b-9148-e3be6c30e623}">
          <xlrd:rvb i="2204"/>
        </ext>
      </extLst>
    </bk>
    <bk>
      <extLst>
        <ext uri="{3e2802c4-a4d2-4d8b-9148-e3be6c30e623}">
          <xlrd:rvb i="2205"/>
        </ext>
      </extLst>
    </bk>
    <bk>
      <extLst>
        <ext uri="{3e2802c4-a4d2-4d8b-9148-e3be6c30e623}">
          <xlrd:rvb i="2206"/>
        </ext>
      </extLst>
    </bk>
    <bk>
      <extLst>
        <ext uri="{3e2802c4-a4d2-4d8b-9148-e3be6c30e623}">
          <xlrd:rvb i="2207"/>
        </ext>
      </extLst>
    </bk>
    <bk>
      <extLst>
        <ext uri="{3e2802c4-a4d2-4d8b-9148-e3be6c30e623}">
          <xlrd:rvb i="2208"/>
        </ext>
      </extLst>
    </bk>
    <bk>
      <extLst>
        <ext uri="{3e2802c4-a4d2-4d8b-9148-e3be6c30e623}">
          <xlrd:rvb i="2209"/>
        </ext>
      </extLst>
    </bk>
    <bk>
      <extLst>
        <ext uri="{3e2802c4-a4d2-4d8b-9148-e3be6c30e623}">
          <xlrd:rvb i="2210"/>
        </ext>
      </extLst>
    </bk>
    <bk>
      <extLst>
        <ext uri="{3e2802c4-a4d2-4d8b-9148-e3be6c30e623}">
          <xlrd:rvb i="2211"/>
        </ext>
      </extLst>
    </bk>
    <bk>
      <extLst>
        <ext uri="{3e2802c4-a4d2-4d8b-9148-e3be6c30e623}">
          <xlrd:rvb i="2212"/>
        </ext>
      </extLst>
    </bk>
    <bk>
      <extLst>
        <ext uri="{3e2802c4-a4d2-4d8b-9148-e3be6c30e623}">
          <xlrd:rvb i="2213"/>
        </ext>
      </extLst>
    </bk>
    <bk>
      <extLst>
        <ext uri="{3e2802c4-a4d2-4d8b-9148-e3be6c30e623}">
          <xlrd:rvb i="2214"/>
        </ext>
      </extLst>
    </bk>
    <bk>
      <extLst>
        <ext uri="{3e2802c4-a4d2-4d8b-9148-e3be6c30e623}">
          <xlrd:rvb i="2215"/>
        </ext>
      </extLst>
    </bk>
    <bk>
      <extLst>
        <ext uri="{3e2802c4-a4d2-4d8b-9148-e3be6c30e623}">
          <xlrd:rvb i="2216"/>
        </ext>
      </extLst>
    </bk>
    <bk>
      <extLst>
        <ext uri="{3e2802c4-a4d2-4d8b-9148-e3be6c30e623}">
          <xlrd:rvb i="2217"/>
        </ext>
      </extLst>
    </bk>
    <bk>
      <extLst>
        <ext uri="{3e2802c4-a4d2-4d8b-9148-e3be6c30e623}">
          <xlrd:rvb i="2218"/>
        </ext>
      </extLst>
    </bk>
    <bk>
      <extLst>
        <ext uri="{3e2802c4-a4d2-4d8b-9148-e3be6c30e623}">
          <xlrd:rvb i="2219"/>
        </ext>
      </extLst>
    </bk>
    <bk>
      <extLst>
        <ext uri="{3e2802c4-a4d2-4d8b-9148-e3be6c30e623}">
          <xlrd:rvb i="2220"/>
        </ext>
      </extLst>
    </bk>
    <bk>
      <extLst>
        <ext uri="{3e2802c4-a4d2-4d8b-9148-e3be6c30e623}">
          <xlrd:rvb i="2221"/>
        </ext>
      </extLst>
    </bk>
    <bk>
      <extLst>
        <ext uri="{3e2802c4-a4d2-4d8b-9148-e3be6c30e623}">
          <xlrd:rvb i="2222"/>
        </ext>
      </extLst>
    </bk>
    <bk>
      <extLst>
        <ext uri="{3e2802c4-a4d2-4d8b-9148-e3be6c30e623}">
          <xlrd:rvb i="2223"/>
        </ext>
      </extLst>
    </bk>
    <bk>
      <extLst>
        <ext uri="{3e2802c4-a4d2-4d8b-9148-e3be6c30e623}">
          <xlrd:rvb i="2224"/>
        </ext>
      </extLst>
    </bk>
    <bk>
      <extLst>
        <ext uri="{3e2802c4-a4d2-4d8b-9148-e3be6c30e623}">
          <xlrd:rvb i="2225"/>
        </ext>
      </extLst>
    </bk>
    <bk>
      <extLst>
        <ext uri="{3e2802c4-a4d2-4d8b-9148-e3be6c30e623}">
          <xlrd:rvb i="2226"/>
        </ext>
      </extLst>
    </bk>
    <bk>
      <extLst>
        <ext uri="{3e2802c4-a4d2-4d8b-9148-e3be6c30e623}">
          <xlrd:rvb i="2227"/>
        </ext>
      </extLst>
    </bk>
    <bk>
      <extLst>
        <ext uri="{3e2802c4-a4d2-4d8b-9148-e3be6c30e623}">
          <xlrd:rvb i="2228"/>
        </ext>
      </extLst>
    </bk>
    <bk>
      <extLst>
        <ext uri="{3e2802c4-a4d2-4d8b-9148-e3be6c30e623}">
          <xlrd:rvb i="2229"/>
        </ext>
      </extLst>
    </bk>
    <bk>
      <extLst>
        <ext uri="{3e2802c4-a4d2-4d8b-9148-e3be6c30e623}">
          <xlrd:rvb i="2230"/>
        </ext>
      </extLst>
    </bk>
    <bk>
      <extLst>
        <ext uri="{3e2802c4-a4d2-4d8b-9148-e3be6c30e623}">
          <xlrd:rvb i="2231"/>
        </ext>
      </extLst>
    </bk>
    <bk>
      <extLst>
        <ext uri="{3e2802c4-a4d2-4d8b-9148-e3be6c30e623}">
          <xlrd:rvb i="2232"/>
        </ext>
      </extLst>
    </bk>
    <bk>
      <extLst>
        <ext uri="{3e2802c4-a4d2-4d8b-9148-e3be6c30e623}">
          <xlrd:rvb i="2233"/>
        </ext>
      </extLst>
    </bk>
    <bk>
      <extLst>
        <ext uri="{3e2802c4-a4d2-4d8b-9148-e3be6c30e623}">
          <xlrd:rvb i="2234"/>
        </ext>
      </extLst>
    </bk>
    <bk>
      <extLst>
        <ext uri="{3e2802c4-a4d2-4d8b-9148-e3be6c30e623}">
          <xlrd:rvb i="2235"/>
        </ext>
      </extLst>
    </bk>
    <bk>
      <extLst>
        <ext uri="{3e2802c4-a4d2-4d8b-9148-e3be6c30e623}">
          <xlrd:rvb i="2236"/>
        </ext>
      </extLst>
    </bk>
    <bk>
      <extLst>
        <ext uri="{3e2802c4-a4d2-4d8b-9148-e3be6c30e623}">
          <xlrd:rvb i="2237"/>
        </ext>
      </extLst>
    </bk>
    <bk>
      <extLst>
        <ext uri="{3e2802c4-a4d2-4d8b-9148-e3be6c30e623}">
          <xlrd:rvb i="2238"/>
        </ext>
      </extLst>
    </bk>
    <bk>
      <extLst>
        <ext uri="{3e2802c4-a4d2-4d8b-9148-e3be6c30e623}">
          <xlrd:rvb i="2239"/>
        </ext>
      </extLst>
    </bk>
    <bk>
      <extLst>
        <ext uri="{3e2802c4-a4d2-4d8b-9148-e3be6c30e623}">
          <xlrd:rvb i="2240"/>
        </ext>
      </extLst>
    </bk>
    <bk>
      <extLst>
        <ext uri="{3e2802c4-a4d2-4d8b-9148-e3be6c30e623}">
          <xlrd:rvb i="2241"/>
        </ext>
      </extLst>
    </bk>
    <bk>
      <extLst>
        <ext uri="{3e2802c4-a4d2-4d8b-9148-e3be6c30e623}">
          <xlrd:rvb i="2242"/>
        </ext>
      </extLst>
    </bk>
    <bk>
      <extLst>
        <ext uri="{3e2802c4-a4d2-4d8b-9148-e3be6c30e623}">
          <xlrd:rvb i="2243"/>
        </ext>
      </extLst>
    </bk>
    <bk>
      <extLst>
        <ext uri="{3e2802c4-a4d2-4d8b-9148-e3be6c30e623}">
          <xlrd:rvb i="2244"/>
        </ext>
      </extLst>
    </bk>
    <bk>
      <extLst>
        <ext uri="{3e2802c4-a4d2-4d8b-9148-e3be6c30e623}">
          <xlrd:rvb i="2245"/>
        </ext>
      </extLst>
    </bk>
    <bk>
      <extLst>
        <ext uri="{3e2802c4-a4d2-4d8b-9148-e3be6c30e623}">
          <xlrd:rvb i="2246"/>
        </ext>
      </extLst>
    </bk>
    <bk>
      <extLst>
        <ext uri="{3e2802c4-a4d2-4d8b-9148-e3be6c30e623}">
          <xlrd:rvb i="2247"/>
        </ext>
      </extLst>
    </bk>
    <bk>
      <extLst>
        <ext uri="{3e2802c4-a4d2-4d8b-9148-e3be6c30e623}">
          <xlrd:rvb i="2248"/>
        </ext>
      </extLst>
    </bk>
    <bk>
      <extLst>
        <ext uri="{3e2802c4-a4d2-4d8b-9148-e3be6c30e623}">
          <xlrd:rvb i="2249"/>
        </ext>
      </extLst>
    </bk>
    <bk>
      <extLst>
        <ext uri="{3e2802c4-a4d2-4d8b-9148-e3be6c30e623}">
          <xlrd:rvb i="2250"/>
        </ext>
      </extLst>
    </bk>
    <bk>
      <extLst>
        <ext uri="{3e2802c4-a4d2-4d8b-9148-e3be6c30e623}">
          <xlrd:rvb i="2251"/>
        </ext>
      </extLst>
    </bk>
    <bk>
      <extLst>
        <ext uri="{3e2802c4-a4d2-4d8b-9148-e3be6c30e623}">
          <xlrd:rvb i="2252"/>
        </ext>
      </extLst>
    </bk>
    <bk>
      <extLst>
        <ext uri="{3e2802c4-a4d2-4d8b-9148-e3be6c30e623}">
          <xlrd:rvb i="2253"/>
        </ext>
      </extLst>
    </bk>
    <bk>
      <extLst>
        <ext uri="{3e2802c4-a4d2-4d8b-9148-e3be6c30e623}">
          <xlrd:rvb i="2254"/>
        </ext>
      </extLst>
    </bk>
    <bk>
      <extLst>
        <ext uri="{3e2802c4-a4d2-4d8b-9148-e3be6c30e623}">
          <xlrd:rvb i="2255"/>
        </ext>
      </extLst>
    </bk>
    <bk>
      <extLst>
        <ext uri="{3e2802c4-a4d2-4d8b-9148-e3be6c30e623}">
          <xlrd:rvb i="2256"/>
        </ext>
      </extLst>
    </bk>
    <bk>
      <extLst>
        <ext uri="{3e2802c4-a4d2-4d8b-9148-e3be6c30e623}">
          <xlrd:rvb i="2257"/>
        </ext>
      </extLst>
    </bk>
    <bk>
      <extLst>
        <ext uri="{3e2802c4-a4d2-4d8b-9148-e3be6c30e623}">
          <xlrd:rvb i="2258"/>
        </ext>
      </extLst>
    </bk>
    <bk>
      <extLst>
        <ext uri="{3e2802c4-a4d2-4d8b-9148-e3be6c30e623}">
          <xlrd:rvb i="2259"/>
        </ext>
      </extLst>
    </bk>
    <bk>
      <extLst>
        <ext uri="{3e2802c4-a4d2-4d8b-9148-e3be6c30e623}">
          <xlrd:rvb i="2260"/>
        </ext>
      </extLst>
    </bk>
    <bk>
      <extLst>
        <ext uri="{3e2802c4-a4d2-4d8b-9148-e3be6c30e623}">
          <xlrd:rvb i="2261"/>
        </ext>
      </extLst>
    </bk>
    <bk>
      <extLst>
        <ext uri="{3e2802c4-a4d2-4d8b-9148-e3be6c30e623}">
          <xlrd:rvb i="2262"/>
        </ext>
      </extLst>
    </bk>
    <bk>
      <extLst>
        <ext uri="{3e2802c4-a4d2-4d8b-9148-e3be6c30e623}">
          <xlrd:rvb i="2263"/>
        </ext>
      </extLst>
    </bk>
    <bk>
      <extLst>
        <ext uri="{3e2802c4-a4d2-4d8b-9148-e3be6c30e623}">
          <xlrd:rvb i="2264"/>
        </ext>
      </extLst>
    </bk>
    <bk>
      <extLst>
        <ext uri="{3e2802c4-a4d2-4d8b-9148-e3be6c30e623}">
          <xlrd:rvb i="2265"/>
        </ext>
      </extLst>
    </bk>
    <bk>
      <extLst>
        <ext uri="{3e2802c4-a4d2-4d8b-9148-e3be6c30e623}">
          <xlrd:rvb i="2266"/>
        </ext>
      </extLst>
    </bk>
    <bk>
      <extLst>
        <ext uri="{3e2802c4-a4d2-4d8b-9148-e3be6c30e623}">
          <xlrd:rvb i="2267"/>
        </ext>
      </extLst>
    </bk>
    <bk>
      <extLst>
        <ext uri="{3e2802c4-a4d2-4d8b-9148-e3be6c30e623}">
          <xlrd:rvb i="2268"/>
        </ext>
      </extLst>
    </bk>
    <bk>
      <extLst>
        <ext uri="{3e2802c4-a4d2-4d8b-9148-e3be6c30e623}">
          <xlrd:rvb i="2269"/>
        </ext>
      </extLst>
    </bk>
    <bk>
      <extLst>
        <ext uri="{3e2802c4-a4d2-4d8b-9148-e3be6c30e623}">
          <xlrd:rvb i="2270"/>
        </ext>
      </extLst>
    </bk>
    <bk>
      <extLst>
        <ext uri="{3e2802c4-a4d2-4d8b-9148-e3be6c30e623}">
          <xlrd:rvb i="2271"/>
        </ext>
      </extLst>
    </bk>
    <bk>
      <extLst>
        <ext uri="{3e2802c4-a4d2-4d8b-9148-e3be6c30e623}">
          <xlrd:rvb i="2272"/>
        </ext>
      </extLst>
    </bk>
    <bk>
      <extLst>
        <ext uri="{3e2802c4-a4d2-4d8b-9148-e3be6c30e623}">
          <xlrd:rvb i="2273"/>
        </ext>
      </extLst>
    </bk>
    <bk>
      <extLst>
        <ext uri="{3e2802c4-a4d2-4d8b-9148-e3be6c30e623}">
          <xlrd:rvb i="2274"/>
        </ext>
      </extLst>
    </bk>
    <bk>
      <extLst>
        <ext uri="{3e2802c4-a4d2-4d8b-9148-e3be6c30e623}">
          <xlrd:rvb i="2275"/>
        </ext>
      </extLst>
    </bk>
    <bk>
      <extLst>
        <ext uri="{3e2802c4-a4d2-4d8b-9148-e3be6c30e623}">
          <xlrd:rvb i="2276"/>
        </ext>
      </extLst>
    </bk>
    <bk>
      <extLst>
        <ext uri="{3e2802c4-a4d2-4d8b-9148-e3be6c30e623}">
          <xlrd:rvb i="2277"/>
        </ext>
      </extLst>
    </bk>
    <bk>
      <extLst>
        <ext uri="{3e2802c4-a4d2-4d8b-9148-e3be6c30e623}">
          <xlrd:rvb i="2278"/>
        </ext>
      </extLst>
    </bk>
    <bk>
      <extLst>
        <ext uri="{3e2802c4-a4d2-4d8b-9148-e3be6c30e623}">
          <xlrd:rvb i="2279"/>
        </ext>
      </extLst>
    </bk>
    <bk>
      <extLst>
        <ext uri="{3e2802c4-a4d2-4d8b-9148-e3be6c30e623}">
          <xlrd:rvb i="2280"/>
        </ext>
      </extLst>
    </bk>
    <bk>
      <extLst>
        <ext uri="{3e2802c4-a4d2-4d8b-9148-e3be6c30e623}">
          <xlrd:rvb i="2281"/>
        </ext>
      </extLst>
    </bk>
    <bk>
      <extLst>
        <ext uri="{3e2802c4-a4d2-4d8b-9148-e3be6c30e623}">
          <xlrd:rvb i="2282"/>
        </ext>
      </extLst>
    </bk>
    <bk>
      <extLst>
        <ext uri="{3e2802c4-a4d2-4d8b-9148-e3be6c30e623}">
          <xlrd:rvb i="2283"/>
        </ext>
      </extLst>
    </bk>
    <bk>
      <extLst>
        <ext uri="{3e2802c4-a4d2-4d8b-9148-e3be6c30e623}">
          <xlrd:rvb i="2284"/>
        </ext>
      </extLst>
    </bk>
    <bk>
      <extLst>
        <ext uri="{3e2802c4-a4d2-4d8b-9148-e3be6c30e623}">
          <xlrd:rvb i="2285"/>
        </ext>
      </extLst>
    </bk>
    <bk>
      <extLst>
        <ext uri="{3e2802c4-a4d2-4d8b-9148-e3be6c30e623}">
          <xlrd:rvb i="2286"/>
        </ext>
      </extLst>
    </bk>
    <bk>
      <extLst>
        <ext uri="{3e2802c4-a4d2-4d8b-9148-e3be6c30e623}">
          <xlrd:rvb i="2287"/>
        </ext>
      </extLst>
    </bk>
    <bk>
      <extLst>
        <ext uri="{3e2802c4-a4d2-4d8b-9148-e3be6c30e623}">
          <xlrd:rvb i="2288"/>
        </ext>
      </extLst>
    </bk>
    <bk>
      <extLst>
        <ext uri="{3e2802c4-a4d2-4d8b-9148-e3be6c30e623}">
          <xlrd:rvb i="2289"/>
        </ext>
      </extLst>
    </bk>
    <bk>
      <extLst>
        <ext uri="{3e2802c4-a4d2-4d8b-9148-e3be6c30e623}">
          <xlrd:rvb i="2290"/>
        </ext>
      </extLst>
    </bk>
    <bk>
      <extLst>
        <ext uri="{3e2802c4-a4d2-4d8b-9148-e3be6c30e623}">
          <xlrd:rvb i="2291"/>
        </ext>
      </extLst>
    </bk>
    <bk>
      <extLst>
        <ext uri="{3e2802c4-a4d2-4d8b-9148-e3be6c30e623}">
          <xlrd:rvb i="2292"/>
        </ext>
      </extLst>
    </bk>
    <bk>
      <extLst>
        <ext uri="{3e2802c4-a4d2-4d8b-9148-e3be6c30e623}">
          <xlrd:rvb i="2293"/>
        </ext>
      </extLst>
    </bk>
    <bk>
      <extLst>
        <ext uri="{3e2802c4-a4d2-4d8b-9148-e3be6c30e623}">
          <xlrd:rvb i="2294"/>
        </ext>
      </extLst>
    </bk>
    <bk>
      <extLst>
        <ext uri="{3e2802c4-a4d2-4d8b-9148-e3be6c30e623}">
          <xlrd:rvb i="2295"/>
        </ext>
      </extLst>
    </bk>
    <bk>
      <extLst>
        <ext uri="{3e2802c4-a4d2-4d8b-9148-e3be6c30e623}">
          <xlrd:rvb i="2296"/>
        </ext>
      </extLst>
    </bk>
    <bk>
      <extLst>
        <ext uri="{3e2802c4-a4d2-4d8b-9148-e3be6c30e623}">
          <xlrd:rvb i="2297"/>
        </ext>
      </extLst>
    </bk>
    <bk>
      <extLst>
        <ext uri="{3e2802c4-a4d2-4d8b-9148-e3be6c30e623}">
          <xlrd:rvb i="2298"/>
        </ext>
      </extLst>
    </bk>
    <bk>
      <extLst>
        <ext uri="{3e2802c4-a4d2-4d8b-9148-e3be6c30e623}">
          <xlrd:rvb i="2299"/>
        </ext>
      </extLst>
    </bk>
    <bk>
      <extLst>
        <ext uri="{3e2802c4-a4d2-4d8b-9148-e3be6c30e623}">
          <xlrd:rvb i="2300"/>
        </ext>
      </extLst>
    </bk>
    <bk>
      <extLst>
        <ext uri="{3e2802c4-a4d2-4d8b-9148-e3be6c30e623}">
          <xlrd:rvb i="2301"/>
        </ext>
      </extLst>
    </bk>
    <bk>
      <extLst>
        <ext uri="{3e2802c4-a4d2-4d8b-9148-e3be6c30e623}">
          <xlrd:rvb i="2302"/>
        </ext>
      </extLst>
    </bk>
    <bk>
      <extLst>
        <ext uri="{3e2802c4-a4d2-4d8b-9148-e3be6c30e623}">
          <xlrd:rvb i="2303"/>
        </ext>
      </extLst>
    </bk>
    <bk>
      <extLst>
        <ext uri="{3e2802c4-a4d2-4d8b-9148-e3be6c30e623}">
          <xlrd:rvb i="2304"/>
        </ext>
      </extLst>
    </bk>
    <bk>
      <extLst>
        <ext uri="{3e2802c4-a4d2-4d8b-9148-e3be6c30e623}">
          <xlrd:rvb i="2305"/>
        </ext>
      </extLst>
    </bk>
    <bk>
      <extLst>
        <ext uri="{3e2802c4-a4d2-4d8b-9148-e3be6c30e623}">
          <xlrd:rvb i="2306"/>
        </ext>
      </extLst>
    </bk>
    <bk>
      <extLst>
        <ext uri="{3e2802c4-a4d2-4d8b-9148-e3be6c30e623}">
          <xlrd:rvb i="2307"/>
        </ext>
      </extLst>
    </bk>
    <bk>
      <extLst>
        <ext uri="{3e2802c4-a4d2-4d8b-9148-e3be6c30e623}">
          <xlrd:rvb i="2308"/>
        </ext>
      </extLst>
    </bk>
    <bk>
      <extLst>
        <ext uri="{3e2802c4-a4d2-4d8b-9148-e3be6c30e623}">
          <xlrd:rvb i="2309"/>
        </ext>
      </extLst>
    </bk>
    <bk>
      <extLst>
        <ext uri="{3e2802c4-a4d2-4d8b-9148-e3be6c30e623}">
          <xlrd:rvb i="2310"/>
        </ext>
      </extLst>
    </bk>
    <bk>
      <extLst>
        <ext uri="{3e2802c4-a4d2-4d8b-9148-e3be6c30e623}">
          <xlrd:rvb i="2311"/>
        </ext>
      </extLst>
    </bk>
    <bk>
      <extLst>
        <ext uri="{3e2802c4-a4d2-4d8b-9148-e3be6c30e623}">
          <xlrd:rvb i="2312"/>
        </ext>
      </extLst>
    </bk>
    <bk>
      <extLst>
        <ext uri="{3e2802c4-a4d2-4d8b-9148-e3be6c30e623}">
          <xlrd:rvb i="2313"/>
        </ext>
      </extLst>
    </bk>
    <bk>
      <extLst>
        <ext uri="{3e2802c4-a4d2-4d8b-9148-e3be6c30e623}">
          <xlrd:rvb i="2314"/>
        </ext>
      </extLst>
    </bk>
    <bk>
      <extLst>
        <ext uri="{3e2802c4-a4d2-4d8b-9148-e3be6c30e623}">
          <xlrd:rvb i="2315"/>
        </ext>
      </extLst>
    </bk>
    <bk>
      <extLst>
        <ext uri="{3e2802c4-a4d2-4d8b-9148-e3be6c30e623}">
          <xlrd:rvb i="2316"/>
        </ext>
      </extLst>
    </bk>
    <bk>
      <extLst>
        <ext uri="{3e2802c4-a4d2-4d8b-9148-e3be6c30e623}">
          <xlrd:rvb i="2317"/>
        </ext>
      </extLst>
    </bk>
    <bk>
      <extLst>
        <ext uri="{3e2802c4-a4d2-4d8b-9148-e3be6c30e623}">
          <xlrd:rvb i="2318"/>
        </ext>
      </extLst>
    </bk>
    <bk>
      <extLst>
        <ext uri="{3e2802c4-a4d2-4d8b-9148-e3be6c30e623}">
          <xlrd:rvb i="2319"/>
        </ext>
      </extLst>
    </bk>
    <bk>
      <extLst>
        <ext uri="{3e2802c4-a4d2-4d8b-9148-e3be6c30e623}">
          <xlrd:rvb i="2320"/>
        </ext>
      </extLst>
    </bk>
    <bk>
      <extLst>
        <ext uri="{3e2802c4-a4d2-4d8b-9148-e3be6c30e623}">
          <xlrd:rvb i="2321"/>
        </ext>
      </extLst>
    </bk>
    <bk>
      <extLst>
        <ext uri="{3e2802c4-a4d2-4d8b-9148-e3be6c30e623}">
          <xlrd:rvb i="2322"/>
        </ext>
      </extLst>
    </bk>
    <bk>
      <extLst>
        <ext uri="{3e2802c4-a4d2-4d8b-9148-e3be6c30e623}">
          <xlrd:rvb i="2323"/>
        </ext>
      </extLst>
    </bk>
    <bk>
      <extLst>
        <ext uri="{3e2802c4-a4d2-4d8b-9148-e3be6c30e623}">
          <xlrd:rvb i="2324"/>
        </ext>
      </extLst>
    </bk>
    <bk>
      <extLst>
        <ext uri="{3e2802c4-a4d2-4d8b-9148-e3be6c30e623}">
          <xlrd:rvb i="2325"/>
        </ext>
      </extLst>
    </bk>
    <bk>
      <extLst>
        <ext uri="{3e2802c4-a4d2-4d8b-9148-e3be6c30e623}">
          <xlrd:rvb i="2326"/>
        </ext>
      </extLst>
    </bk>
    <bk>
      <extLst>
        <ext uri="{3e2802c4-a4d2-4d8b-9148-e3be6c30e623}">
          <xlrd:rvb i="2327"/>
        </ext>
      </extLst>
    </bk>
    <bk>
      <extLst>
        <ext uri="{3e2802c4-a4d2-4d8b-9148-e3be6c30e623}">
          <xlrd:rvb i="2328"/>
        </ext>
      </extLst>
    </bk>
    <bk>
      <extLst>
        <ext uri="{3e2802c4-a4d2-4d8b-9148-e3be6c30e623}">
          <xlrd:rvb i="2329"/>
        </ext>
      </extLst>
    </bk>
    <bk>
      <extLst>
        <ext uri="{3e2802c4-a4d2-4d8b-9148-e3be6c30e623}">
          <xlrd:rvb i="2330"/>
        </ext>
      </extLst>
    </bk>
    <bk>
      <extLst>
        <ext uri="{3e2802c4-a4d2-4d8b-9148-e3be6c30e623}">
          <xlrd:rvb i="2331"/>
        </ext>
      </extLst>
    </bk>
    <bk>
      <extLst>
        <ext uri="{3e2802c4-a4d2-4d8b-9148-e3be6c30e623}">
          <xlrd:rvb i="2332"/>
        </ext>
      </extLst>
    </bk>
    <bk>
      <extLst>
        <ext uri="{3e2802c4-a4d2-4d8b-9148-e3be6c30e623}">
          <xlrd:rvb i="2333"/>
        </ext>
      </extLst>
    </bk>
    <bk>
      <extLst>
        <ext uri="{3e2802c4-a4d2-4d8b-9148-e3be6c30e623}">
          <xlrd:rvb i="2334"/>
        </ext>
      </extLst>
    </bk>
    <bk>
      <extLst>
        <ext uri="{3e2802c4-a4d2-4d8b-9148-e3be6c30e623}">
          <xlrd:rvb i="2335"/>
        </ext>
      </extLst>
    </bk>
    <bk>
      <extLst>
        <ext uri="{3e2802c4-a4d2-4d8b-9148-e3be6c30e623}">
          <xlrd:rvb i="2336"/>
        </ext>
      </extLst>
    </bk>
    <bk>
      <extLst>
        <ext uri="{3e2802c4-a4d2-4d8b-9148-e3be6c30e623}">
          <xlrd:rvb i="2337"/>
        </ext>
      </extLst>
    </bk>
    <bk>
      <extLst>
        <ext uri="{3e2802c4-a4d2-4d8b-9148-e3be6c30e623}">
          <xlrd:rvb i="2338"/>
        </ext>
      </extLst>
    </bk>
    <bk>
      <extLst>
        <ext uri="{3e2802c4-a4d2-4d8b-9148-e3be6c30e623}">
          <xlrd:rvb i="2339"/>
        </ext>
      </extLst>
    </bk>
    <bk>
      <extLst>
        <ext uri="{3e2802c4-a4d2-4d8b-9148-e3be6c30e623}">
          <xlrd:rvb i="2340"/>
        </ext>
      </extLst>
    </bk>
    <bk>
      <extLst>
        <ext uri="{3e2802c4-a4d2-4d8b-9148-e3be6c30e623}">
          <xlrd:rvb i="2341"/>
        </ext>
      </extLst>
    </bk>
    <bk>
      <extLst>
        <ext uri="{3e2802c4-a4d2-4d8b-9148-e3be6c30e623}">
          <xlrd:rvb i="2342"/>
        </ext>
      </extLst>
    </bk>
    <bk>
      <extLst>
        <ext uri="{3e2802c4-a4d2-4d8b-9148-e3be6c30e623}">
          <xlrd:rvb i="2343"/>
        </ext>
      </extLst>
    </bk>
    <bk>
      <extLst>
        <ext uri="{3e2802c4-a4d2-4d8b-9148-e3be6c30e623}">
          <xlrd:rvb i="2344"/>
        </ext>
      </extLst>
    </bk>
    <bk>
      <extLst>
        <ext uri="{3e2802c4-a4d2-4d8b-9148-e3be6c30e623}">
          <xlrd:rvb i="2345"/>
        </ext>
      </extLst>
    </bk>
    <bk>
      <extLst>
        <ext uri="{3e2802c4-a4d2-4d8b-9148-e3be6c30e623}">
          <xlrd:rvb i="2346"/>
        </ext>
      </extLst>
    </bk>
    <bk>
      <extLst>
        <ext uri="{3e2802c4-a4d2-4d8b-9148-e3be6c30e623}">
          <xlrd:rvb i="2347"/>
        </ext>
      </extLst>
    </bk>
    <bk>
      <extLst>
        <ext uri="{3e2802c4-a4d2-4d8b-9148-e3be6c30e623}">
          <xlrd:rvb i="2348"/>
        </ext>
      </extLst>
    </bk>
    <bk>
      <extLst>
        <ext uri="{3e2802c4-a4d2-4d8b-9148-e3be6c30e623}">
          <xlrd:rvb i="2349"/>
        </ext>
      </extLst>
    </bk>
    <bk>
      <extLst>
        <ext uri="{3e2802c4-a4d2-4d8b-9148-e3be6c30e623}">
          <xlrd:rvb i="2350"/>
        </ext>
      </extLst>
    </bk>
    <bk>
      <extLst>
        <ext uri="{3e2802c4-a4d2-4d8b-9148-e3be6c30e623}">
          <xlrd:rvb i="2351"/>
        </ext>
      </extLst>
    </bk>
    <bk>
      <extLst>
        <ext uri="{3e2802c4-a4d2-4d8b-9148-e3be6c30e623}">
          <xlrd:rvb i="2352"/>
        </ext>
      </extLst>
    </bk>
    <bk>
      <extLst>
        <ext uri="{3e2802c4-a4d2-4d8b-9148-e3be6c30e623}">
          <xlrd:rvb i="2353"/>
        </ext>
      </extLst>
    </bk>
    <bk>
      <extLst>
        <ext uri="{3e2802c4-a4d2-4d8b-9148-e3be6c30e623}">
          <xlrd:rvb i="2354"/>
        </ext>
      </extLst>
    </bk>
    <bk>
      <extLst>
        <ext uri="{3e2802c4-a4d2-4d8b-9148-e3be6c30e623}">
          <xlrd:rvb i="2355"/>
        </ext>
      </extLst>
    </bk>
    <bk>
      <extLst>
        <ext uri="{3e2802c4-a4d2-4d8b-9148-e3be6c30e623}">
          <xlrd:rvb i="2356"/>
        </ext>
      </extLst>
    </bk>
    <bk>
      <extLst>
        <ext uri="{3e2802c4-a4d2-4d8b-9148-e3be6c30e623}">
          <xlrd:rvb i="2357"/>
        </ext>
      </extLst>
    </bk>
    <bk>
      <extLst>
        <ext uri="{3e2802c4-a4d2-4d8b-9148-e3be6c30e623}">
          <xlrd:rvb i="2358"/>
        </ext>
      </extLst>
    </bk>
    <bk>
      <extLst>
        <ext uri="{3e2802c4-a4d2-4d8b-9148-e3be6c30e623}">
          <xlrd:rvb i="2359"/>
        </ext>
      </extLst>
    </bk>
    <bk>
      <extLst>
        <ext uri="{3e2802c4-a4d2-4d8b-9148-e3be6c30e623}">
          <xlrd:rvb i="2360"/>
        </ext>
      </extLst>
    </bk>
    <bk>
      <extLst>
        <ext uri="{3e2802c4-a4d2-4d8b-9148-e3be6c30e623}">
          <xlrd:rvb i="2361"/>
        </ext>
      </extLst>
    </bk>
    <bk>
      <extLst>
        <ext uri="{3e2802c4-a4d2-4d8b-9148-e3be6c30e623}">
          <xlrd:rvb i="2362"/>
        </ext>
      </extLst>
    </bk>
    <bk>
      <extLst>
        <ext uri="{3e2802c4-a4d2-4d8b-9148-e3be6c30e623}">
          <xlrd:rvb i="2363"/>
        </ext>
      </extLst>
    </bk>
    <bk>
      <extLst>
        <ext uri="{3e2802c4-a4d2-4d8b-9148-e3be6c30e623}">
          <xlrd:rvb i="2364"/>
        </ext>
      </extLst>
    </bk>
    <bk>
      <extLst>
        <ext uri="{3e2802c4-a4d2-4d8b-9148-e3be6c30e623}">
          <xlrd:rvb i="2365"/>
        </ext>
      </extLst>
    </bk>
    <bk>
      <extLst>
        <ext uri="{3e2802c4-a4d2-4d8b-9148-e3be6c30e623}">
          <xlrd:rvb i="2366"/>
        </ext>
      </extLst>
    </bk>
    <bk>
      <extLst>
        <ext uri="{3e2802c4-a4d2-4d8b-9148-e3be6c30e623}">
          <xlrd:rvb i="2367"/>
        </ext>
      </extLst>
    </bk>
    <bk>
      <extLst>
        <ext uri="{3e2802c4-a4d2-4d8b-9148-e3be6c30e623}">
          <xlrd:rvb i="2368"/>
        </ext>
      </extLst>
    </bk>
    <bk>
      <extLst>
        <ext uri="{3e2802c4-a4d2-4d8b-9148-e3be6c30e623}">
          <xlrd:rvb i="2369"/>
        </ext>
      </extLst>
    </bk>
    <bk>
      <extLst>
        <ext uri="{3e2802c4-a4d2-4d8b-9148-e3be6c30e623}">
          <xlrd:rvb i="2370"/>
        </ext>
      </extLst>
    </bk>
    <bk>
      <extLst>
        <ext uri="{3e2802c4-a4d2-4d8b-9148-e3be6c30e623}">
          <xlrd:rvb i="2371"/>
        </ext>
      </extLst>
    </bk>
    <bk>
      <extLst>
        <ext uri="{3e2802c4-a4d2-4d8b-9148-e3be6c30e623}">
          <xlrd:rvb i="2372"/>
        </ext>
      </extLst>
    </bk>
  </futureMetadata>
  <cellMetadata count="1">
    <bk>
      <rc t="1" v="0"/>
    </bk>
  </cellMetadata>
  <valueMetadata count="2373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  <bk>
      <rc t="2" v="250"/>
    </bk>
    <bk>
      <rc t="2" v="251"/>
    </bk>
    <bk>
      <rc t="2" v="252"/>
    </bk>
    <bk>
      <rc t="2" v="253"/>
    </bk>
    <bk>
      <rc t="2" v="254"/>
    </bk>
    <bk>
      <rc t="2" v="255"/>
    </bk>
    <bk>
      <rc t="2" v="256"/>
    </bk>
    <bk>
      <rc t="2" v="257"/>
    </bk>
    <bk>
      <rc t="2" v="258"/>
    </bk>
    <bk>
      <rc t="2" v="259"/>
    </bk>
    <bk>
      <rc t="2" v="260"/>
    </bk>
    <bk>
      <rc t="2" v="261"/>
    </bk>
    <bk>
      <rc t="2" v="262"/>
    </bk>
    <bk>
      <rc t="2" v="263"/>
    </bk>
    <bk>
      <rc t="2" v="264"/>
    </bk>
    <bk>
      <rc t="2" v="265"/>
    </bk>
    <bk>
      <rc t="2" v="266"/>
    </bk>
    <bk>
      <rc t="2" v="267"/>
    </bk>
    <bk>
      <rc t="2" v="268"/>
    </bk>
    <bk>
      <rc t="2" v="269"/>
    </bk>
    <bk>
      <rc t="2" v="270"/>
    </bk>
    <bk>
      <rc t="2" v="271"/>
    </bk>
    <bk>
      <rc t="2" v="272"/>
    </bk>
    <bk>
      <rc t="2" v="273"/>
    </bk>
    <bk>
      <rc t="2" v="274"/>
    </bk>
    <bk>
      <rc t="2" v="275"/>
    </bk>
    <bk>
      <rc t="2" v="276"/>
    </bk>
    <bk>
      <rc t="2" v="277"/>
    </bk>
    <bk>
      <rc t="2" v="278"/>
    </bk>
    <bk>
      <rc t="2" v="279"/>
    </bk>
    <bk>
      <rc t="2" v="280"/>
    </bk>
    <bk>
      <rc t="2" v="281"/>
    </bk>
    <bk>
      <rc t="2" v="282"/>
    </bk>
    <bk>
      <rc t="2" v="283"/>
    </bk>
    <bk>
      <rc t="2" v="284"/>
    </bk>
    <bk>
      <rc t="2" v="285"/>
    </bk>
    <bk>
      <rc t="2" v="286"/>
    </bk>
    <bk>
      <rc t="2" v="287"/>
    </bk>
    <bk>
      <rc t="2" v="288"/>
    </bk>
    <bk>
      <rc t="2" v="289"/>
    </bk>
    <bk>
      <rc t="2" v="290"/>
    </bk>
    <bk>
      <rc t="2" v="291"/>
    </bk>
    <bk>
      <rc t="2" v="292"/>
    </bk>
    <bk>
      <rc t="2" v="293"/>
    </bk>
    <bk>
      <rc t="2" v="294"/>
    </bk>
    <bk>
      <rc t="2" v="295"/>
    </bk>
    <bk>
      <rc t="2" v="296"/>
    </bk>
    <bk>
      <rc t="2" v="297"/>
    </bk>
    <bk>
      <rc t="2" v="298"/>
    </bk>
    <bk>
      <rc t="2" v="299"/>
    </bk>
    <bk>
      <rc t="2" v="300"/>
    </bk>
    <bk>
      <rc t="2" v="301"/>
    </bk>
    <bk>
      <rc t="2" v="302"/>
    </bk>
    <bk>
      <rc t="2" v="303"/>
    </bk>
    <bk>
      <rc t="2" v="304"/>
    </bk>
    <bk>
      <rc t="2" v="305"/>
    </bk>
    <bk>
      <rc t="2" v="306"/>
    </bk>
    <bk>
      <rc t="2" v="307"/>
    </bk>
    <bk>
      <rc t="2" v="308"/>
    </bk>
    <bk>
      <rc t="2" v="309"/>
    </bk>
    <bk>
      <rc t="2" v="310"/>
    </bk>
    <bk>
      <rc t="2" v="311"/>
    </bk>
    <bk>
      <rc t="2" v="312"/>
    </bk>
    <bk>
      <rc t="2" v="313"/>
    </bk>
    <bk>
      <rc t="2" v="314"/>
    </bk>
    <bk>
      <rc t="2" v="315"/>
    </bk>
    <bk>
      <rc t="2" v="316"/>
    </bk>
    <bk>
      <rc t="2" v="317"/>
    </bk>
    <bk>
      <rc t="2" v="318"/>
    </bk>
    <bk>
      <rc t="2" v="319"/>
    </bk>
    <bk>
      <rc t="2" v="320"/>
    </bk>
    <bk>
      <rc t="2" v="321"/>
    </bk>
    <bk>
      <rc t="2" v="322"/>
    </bk>
    <bk>
      <rc t="2" v="323"/>
    </bk>
    <bk>
      <rc t="2" v="324"/>
    </bk>
    <bk>
      <rc t="2" v="325"/>
    </bk>
    <bk>
      <rc t="2" v="326"/>
    </bk>
    <bk>
      <rc t="2" v="327"/>
    </bk>
    <bk>
      <rc t="2" v="328"/>
    </bk>
    <bk>
      <rc t="2" v="329"/>
    </bk>
    <bk>
      <rc t="2" v="330"/>
    </bk>
    <bk>
      <rc t="2" v="331"/>
    </bk>
    <bk>
      <rc t="2" v="332"/>
    </bk>
    <bk>
      <rc t="2" v="333"/>
    </bk>
    <bk>
      <rc t="2" v="334"/>
    </bk>
    <bk>
      <rc t="2" v="335"/>
    </bk>
    <bk>
      <rc t="2" v="336"/>
    </bk>
    <bk>
      <rc t="2" v="337"/>
    </bk>
    <bk>
      <rc t="2" v="338"/>
    </bk>
    <bk>
      <rc t="2" v="339"/>
    </bk>
    <bk>
      <rc t="2" v="340"/>
    </bk>
    <bk>
      <rc t="2" v="341"/>
    </bk>
    <bk>
      <rc t="2" v="342"/>
    </bk>
    <bk>
      <rc t="2" v="343"/>
    </bk>
    <bk>
      <rc t="2" v="344"/>
    </bk>
    <bk>
      <rc t="2" v="345"/>
    </bk>
    <bk>
      <rc t="2" v="346"/>
    </bk>
    <bk>
      <rc t="2" v="347"/>
    </bk>
    <bk>
      <rc t="2" v="348"/>
    </bk>
    <bk>
      <rc t="2" v="349"/>
    </bk>
    <bk>
      <rc t="2" v="350"/>
    </bk>
    <bk>
      <rc t="2" v="351"/>
    </bk>
    <bk>
      <rc t="2" v="352"/>
    </bk>
    <bk>
      <rc t="2" v="353"/>
    </bk>
    <bk>
      <rc t="2" v="354"/>
    </bk>
    <bk>
      <rc t="2" v="355"/>
    </bk>
    <bk>
      <rc t="2" v="356"/>
    </bk>
    <bk>
      <rc t="2" v="357"/>
    </bk>
    <bk>
      <rc t="2" v="358"/>
    </bk>
    <bk>
      <rc t="2" v="359"/>
    </bk>
    <bk>
      <rc t="2" v="360"/>
    </bk>
    <bk>
      <rc t="2" v="361"/>
    </bk>
    <bk>
      <rc t="2" v="362"/>
    </bk>
    <bk>
      <rc t="2" v="363"/>
    </bk>
    <bk>
      <rc t="2" v="364"/>
    </bk>
    <bk>
      <rc t="2" v="365"/>
    </bk>
    <bk>
      <rc t="2" v="366"/>
    </bk>
    <bk>
      <rc t="2" v="367"/>
    </bk>
    <bk>
      <rc t="2" v="368"/>
    </bk>
    <bk>
      <rc t="2" v="369"/>
    </bk>
    <bk>
      <rc t="2" v="370"/>
    </bk>
    <bk>
      <rc t="2" v="371"/>
    </bk>
    <bk>
      <rc t="2" v="372"/>
    </bk>
    <bk>
      <rc t="2" v="373"/>
    </bk>
    <bk>
      <rc t="2" v="374"/>
    </bk>
    <bk>
      <rc t="2" v="375"/>
    </bk>
    <bk>
      <rc t="2" v="376"/>
    </bk>
    <bk>
      <rc t="2" v="377"/>
    </bk>
    <bk>
      <rc t="2" v="378"/>
    </bk>
    <bk>
      <rc t="2" v="379"/>
    </bk>
    <bk>
      <rc t="2" v="380"/>
    </bk>
    <bk>
      <rc t="2" v="381"/>
    </bk>
    <bk>
      <rc t="2" v="382"/>
    </bk>
    <bk>
      <rc t="2" v="383"/>
    </bk>
    <bk>
      <rc t="2" v="384"/>
    </bk>
    <bk>
      <rc t="2" v="385"/>
    </bk>
    <bk>
      <rc t="2" v="386"/>
    </bk>
    <bk>
      <rc t="2" v="387"/>
    </bk>
    <bk>
      <rc t="2" v="388"/>
    </bk>
    <bk>
      <rc t="2" v="389"/>
    </bk>
    <bk>
      <rc t="2" v="390"/>
    </bk>
    <bk>
      <rc t="2" v="391"/>
    </bk>
    <bk>
      <rc t="2" v="392"/>
    </bk>
    <bk>
      <rc t="2" v="393"/>
    </bk>
    <bk>
      <rc t="2" v="394"/>
    </bk>
    <bk>
      <rc t="2" v="395"/>
    </bk>
    <bk>
      <rc t="2" v="396"/>
    </bk>
    <bk>
      <rc t="2" v="397"/>
    </bk>
    <bk>
      <rc t="2" v="398"/>
    </bk>
    <bk>
      <rc t="2" v="399"/>
    </bk>
    <bk>
      <rc t="2" v="400"/>
    </bk>
    <bk>
      <rc t="2" v="401"/>
    </bk>
    <bk>
      <rc t="2" v="402"/>
    </bk>
    <bk>
      <rc t="2" v="403"/>
    </bk>
    <bk>
      <rc t="2" v="404"/>
    </bk>
    <bk>
      <rc t="2" v="405"/>
    </bk>
    <bk>
      <rc t="2" v="406"/>
    </bk>
    <bk>
      <rc t="2" v="407"/>
    </bk>
    <bk>
      <rc t="2" v="408"/>
    </bk>
    <bk>
      <rc t="2" v="409"/>
    </bk>
    <bk>
      <rc t="2" v="410"/>
    </bk>
    <bk>
      <rc t="2" v="411"/>
    </bk>
    <bk>
      <rc t="2" v="412"/>
    </bk>
    <bk>
      <rc t="2" v="413"/>
    </bk>
    <bk>
      <rc t="2" v="414"/>
    </bk>
    <bk>
      <rc t="2" v="415"/>
    </bk>
    <bk>
      <rc t="2" v="416"/>
    </bk>
    <bk>
      <rc t="2" v="417"/>
    </bk>
    <bk>
      <rc t="2" v="418"/>
    </bk>
    <bk>
      <rc t="2" v="419"/>
    </bk>
    <bk>
      <rc t="2" v="420"/>
    </bk>
    <bk>
      <rc t="2" v="421"/>
    </bk>
    <bk>
      <rc t="2" v="422"/>
    </bk>
    <bk>
      <rc t="2" v="423"/>
    </bk>
    <bk>
      <rc t="2" v="424"/>
    </bk>
    <bk>
      <rc t="2" v="425"/>
    </bk>
    <bk>
      <rc t="2" v="426"/>
    </bk>
    <bk>
      <rc t="2" v="427"/>
    </bk>
    <bk>
      <rc t="2" v="428"/>
    </bk>
    <bk>
      <rc t="2" v="429"/>
    </bk>
    <bk>
      <rc t="2" v="430"/>
    </bk>
    <bk>
      <rc t="2" v="431"/>
    </bk>
    <bk>
      <rc t="2" v="432"/>
    </bk>
    <bk>
      <rc t="2" v="433"/>
    </bk>
    <bk>
      <rc t="2" v="434"/>
    </bk>
    <bk>
      <rc t="2" v="435"/>
    </bk>
    <bk>
      <rc t="2" v="436"/>
    </bk>
    <bk>
      <rc t="2" v="437"/>
    </bk>
    <bk>
      <rc t="2" v="438"/>
    </bk>
    <bk>
      <rc t="2" v="439"/>
    </bk>
    <bk>
      <rc t="2" v="440"/>
    </bk>
    <bk>
      <rc t="2" v="441"/>
    </bk>
    <bk>
      <rc t="2" v="442"/>
    </bk>
    <bk>
      <rc t="2" v="443"/>
    </bk>
    <bk>
      <rc t="2" v="444"/>
    </bk>
    <bk>
      <rc t="2" v="445"/>
    </bk>
    <bk>
      <rc t="2" v="446"/>
    </bk>
    <bk>
      <rc t="2" v="447"/>
    </bk>
    <bk>
      <rc t="2" v="448"/>
    </bk>
    <bk>
      <rc t="2" v="449"/>
    </bk>
    <bk>
      <rc t="2" v="450"/>
    </bk>
    <bk>
      <rc t="2" v="451"/>
    </bk>
    <bk>
      <rc t="2" v="452"/>
    </bk>
    <bk>
      <rc t="2" v="453"/>
    </bk>
    <bk>
      <rc t="2" v="454"/>
    </bk>
    <bk>
      <rc t="2" v="455"/>
    </bk>
    <bk>
      <rc t="2" v="456"/>
    </bk>
    <bk>
      <rc t="2" v="457"/>
    </bk>
    <bk>
      <rc t="2" v="458"/>
    </bk>
    <bk>
      <rc t="2" v="459"/>
    </bk>
    <bk>
      <rc t="2" v="460"/>
    </bk>
    <bk>
      <rc t="2" v="461"/>
    </bk>
    <bk>
      <rc t="2" v="462"/>
    </bk>
    <bk>
      <rc t="2" v="463"/>
    </bk>
    <bk>
      <rc t="2" v="464"/>
    </bk>
    <bk>
      <rc t="2" v="465"/>
    </bk>
    <bk>
      <rc t="2" v="466"/>
    </bk>
    <bk>
      <rc t="2" v="467"/>
    </bk>
    <bk>
      <rc t="2" v="468"/>
    </bk>
    <bk>
      <rc t="2" v="469"/>
    </bk>
    <bk>
      <rc t="2" v="470"/>
    </bk>
    <bk>
      <rc t="2" v="471"/>
    </bk>
    <bk>
      <rc t="2" v="472"/>
    </bk>
    <bk>
      <rc t="2" v="473"/>
    </bk>
    <bk>
      <rc t="2" v="474"/>
    </bk>
    <bk>
      <rc t="2" v="475"/>
    </bk>
    <bk>
      <rc t="2" v="476"/>
    </bk>
    <bk>
      <rc t="2" v="477"/>
    </bk>
    <bk>
      <rc t="2" v="478"/>
    </bk>
    <bk>
      <rc t="2" v="479"/>
    </bk>
    <bk>
      <rc t="2" v="480"/>
    </bk>
    <bk>
      <rc t="2" v="481"/>
    </bk>
    <bk>
      <rc t="2" v="482"/>
    </bk>
    <bk>
      <rc t="2" v="483"/>
    </bk>
    <bk>
      <rc t="2" v="484"/>
    </bk>
    <bk>
      <rc t="2" v="485"/>
    </bk>
    <bk>
      <rc t="2" v="486"/>
    </bk>
    <bk>
      <rc t="2" v="487"/>
    </bk>
    <bk>
      <rc t="2" v="488"/>
    </bk>
    <bk>
      <rc t="2" v="489"/>
    </bk>
    <bk>
      <rc t="2" v="490"/>
    </bk>
    <bk>
      <rc t="2" v="491"/>
    </bk>
    <bk>
      <rc t="2" v="492"/>
    </bk>
    <bk>
      <rc t="2" v="493"/>
    </bk>
    <bk>
      <rc t="2" v="494"/>
    </bk>
    <bk>
      <rc t="2" v="495"/>
    </bk>
    <bk>
      <rc t="2" v="496"/>
    </bk>
    <bk>
      <rc t="2" v="497"/>
    </bk>
    <bk>
      <rc t="2" v="498"/>
    </bk>
    <bk>
      <rc t="2" v="499"/>
    </bk>
    <bk>
      <rc t="2" v="500"/>
    </bk>
    <bk>
      <rc t="2" v="501"/>
    </bk>
    <bk>
      <rc t="2" v="502"/>
    </bk>
    <bk>
      <rc t="2" v="503"/>
    </bk>
    <bk>
      <rc t="2" v="504"/>
    </bk>
    <bk>
      <rc t="2" v="505"/>
    </bk>
    <bk>
      <rc t="2" v="506"/>
    </bk>
    <bk>
      <rc t="2" v="507"/>
    </bk>
    <bk>
      <rc t="2" v="508"/>
    </bk>
    <bk>
      <rc t="2" v="509"/>
    </bk>
    <bk>
      <rc t="2" v="510"/>
    </bk>
    <bk>
      <rc t="2" v="511"/>
    </bk>
    <bk>
      <rc t="2" v="512"/>
    </bk>
    <bk>
      <rc t="2" v="513"/>
    </bk>
    <bk>
      <rc t="2" v="514"/>
    </bk>
    <bk>
      <rc t="2" v="515"/>
    </bk>
    <bk>
      <rc t="2" v="516"/>
    </bk>
    <bk>
      <rc t="2" v="517"/>
    </bk>
    <bk>
      <rc t="2" v="518"/>
    </bk>
    <bk>
      <rc t="2" v="519"/>
    </bk>
    <bk>
      <rc t="2" v="520"/>
    </bk>
    <bk>
      <rc t="2" v="521"/>
    </bk>
    <bk>
      <rc t="2" v="522"/>
    </bk>
    <bk>
      <rc t="2" v="523"/>
    </bk>
    <bk>
      <rc t="2" v="524"/>
    </bk>
    <bk>
      <rc t="2" v="525"/>
    </bk>
    <bk>
      <rc t="2" v="526"/>
    </bk>
    <bk>
      <rc t="2" v="527"/>
    </bk>
    <bk>
      <rc t="2" v="528"/>
    </bk>
    <bk>
      <rc t="2" v="529"/>
    </bk>
    <bk>
      <rc t="2" v="530"/>
    </bk>
    <bk>
      <rc t="2" v="531"/>
    </bk>
    <bk>
      <rc t="2" v="532"/>
    </bk>
    <bk>
      <rc t="2" v="533"/>
    </bk>
    <bk>
      <rc t="2" v="534"/>
    </bk>
    <bk>
      <rc t="2" v="535"/>
    </bk>
    <bk>
      <rc t="2" v="536"/>
    </bk>
    <bk>
      <rc t="2" v="537"/>
    </bk>
    <bk>
      <rc t="2" v="538"/>
    </bk>
    <bk>
      <rc t="2" v="539"/>
    </bk>
    <bk>
      <rc t="2" v="540"/>
    </bk>
    <bk>
      <rc t="2" v="541"/>
    </bk>
    <bk>
      <rc t="2" v="542"/>
    </bk>
    <bk>
      <rc t="2" v="543"/>
    </bk>
    <bk>
      <rc t="2" v="544"/>
    </bk>
    <bk>
      <rc t="2" v="545"/>
    </bk>
    <bk>
      <rc t="2" v="546"/>
    </bk>
    <bk>
      <rc t="2" v="547"/>
    </bk>
    <bk>
      <rc t="2" v="548"/>
    </bk>
    <bk>
      <rc t="2" v="549"/>
    </bk>
    <bk>
      <rc t="2" v="550"/>
    </bk>
    <bk>
      <rc t="2" v="551"/>
    </bk>
    <bk>
      <rc t="2" v="552"/>
    </bk>
    <bk>
      <rc t="2" v="553"/>
    </bk>
    <bk>
      <rc t="2" v="554"/>
    </bk>
    <bk>
      <rc t="2" v="555"/>
    </bk>
    <bk>
      <rc t="2" v="556"/>
    </bk>
    <bk>
      <rc t="2" v="557"/>
    </bk>
    <bk>
      <rc t="2" v="558"/>
    </bk>
    <bk>
      <rc t="2" v="559"/>
    </bk>
    <bk>
      <rc t="2" v="560"/>
    </bk>
    <bk>
      <rc t="2" v="561"/>
    </bk>
    <bk>
      <rc t="2" v="562"/>
    </bk>
    <bk>
      <rc t="2" v="563"/>
    </bk>
    <bk>
      <rc t="2" v="564"/>
    </bk>
    <bk>
      <rc t="2" v="565"/>
    </bk>
    <bk>
      <rc t="2" v="566"/>
    </bk>
    <bk>
      <rc t="2" v="567"/>
    </bk>
    <bk>
      <rc t="2" v="568"/>
    </bk>
    <bk>
      <rc t="2" v="569"/>
    </bk>
    <bk>
      <rc t="2" v="570"/>
    </bk>
    <bk>
      <rc t="2" v="571"/>
    </bk>
    <bk>
      <rc t="2" v="572"/>
    </bk>
    <bk>
      <rc t="2" v="573"/>
    </bk>
    <bk>
      <rc t="2" v="574"/>
    </bk>
    <bk>
      <rc t="2" v="575"/>
    </bk>
    <bk>
      <rc t="2" v="576"/>
    </bk>
    <bk>
      <rc t="2" v="577"/>
    </bk>
    <bk>
      <rc t="2" v="578"/>
    </bk>
    <bk>
      <rc t="2" v="579"/>
    </bk>
    <bk>
      <rc t="2" v="580"/>
    </bk>
    <bk>
      <rc t="2" v="581"/>
    </bk>
    <bk>
      <rc t="2" v="582"/>
    </bk>
    <bk>
      <rc t="2" v="583"/>
    </bk>
    <bk>
      <rc t="2" v="584"/>
    </bk>
    <bk>
      <rc t="2" v="585"/>
    </bk>
    <bk>
      <rc t="2" v="586"/>
    </bk>
    <bk>
      <rc t="2" v="587"/>
    </bk>
    <bk>
      <rc t="2" v="588"/>
    </bk>
    <bk>
      <rc t="2" v="589"/>
    </bk>
    <bk>
      <rc t="2" v="590"/>
    </bk>
    <bk>
      <rc t="2" v="591"/>
    </bk>
    <bk>
      <rc t="2" v="592"/>
    </bk>
    <bk>
      <rc t="2" v="593"/>
    </bk>
    <bk>
      <rc t="2" v="594"/>
    </bk>
    <bk>
      <rc t="2" v="595"/>
    </bk>
    <bk>
      <rc t="2" v="596"/>
    </bk>
    <bk>
      <rc t="2" v="597"/>
    </bk>
    <bk>
      <rc t="2" v="598"/>
    </bk>
    <bk>
      <rc t="2" v="599"/>
    </bk>
    <bk>
      <rc t="2" v="600"/>
    </bk>
    <bk>
      <rc t="2" v="601"/>
    </bk>
    <bk>
      <rc t="2" v="602"/>
    </bk>
    <bk>
      <rc t="2" v="603"/>
    </bk>
    <bk>
      <rc t="2" v="604"/>
    </bk>
    <bk>
      <rc t="2" v="605"/>
    </bk>
    <bk>
      <rc t="2" v="606"/>
    </bk>
    <bk>
      <rc t="2" v="607"/>
    </bk>
    <bk>
      <rc t="2" v="608"/>
    </bk>
    <bk>
      <rc t="2" v="609"/>
    </bk>
    <bk>
      <rc t="2" v="610"/>
    </bk>
    <bk>
      <rc t="2" v="611"/>
    </bk>
    <bk>
      <rc t="2" v="612"/>
    </bk>
    <bk>
      <rc t="2" v="613"/>
    </bk>
    <bk>
      <rc t="2" v="614"/>
    </bk>
    <bk>
      <rc t="2" v="615"/>
    </bk>
    <bk>
      <rc t="2" v="616"/>
    </bk>
    <bk>
      <rc t="2" v="617"/>
    </bk>
    <bk>
      <rc t="2" v="618"/>
    </bk>
    <bk>
      <rc t="2" v="619"/>
    </bk>
    <bk>
      <rc t="2" v="620"/>
    </bk>
    <bk>
      <rc t="2" v="621"/>
    </bk>
    <bk>
      <rc t="2" v="622"/>
    </bk>
    <bk>
      <rc t="2" v="623"/>
    </bk>
    <bk>
      <rc t="2" v="624"/>
    </bk>
    <bk>
      <rc t="2" v="625"/>
    </bk>
    <bk>
      <rc t="2" v="626"/>
    </bk>
    <bk>
      <rc t="2" v="627"/>
    </bk>
    <bk>
      <rc t="2" v="628"/>
    </bk>
    <bk>
      <rc t="2" v="629"/>
    </bk>
    <bk>
      <rc t="2" v="630"/>
    </bk>
    <bk>
      <rc t="2" v="631"/>
    </bk>
    <bk>
      <rc t="2" v="632"/>
    </bk>
    <bk>
      <rc t="2" v="633"/>
    </bk>
    <bk>
      <rc t="2" v="634"/>
    </bk>
    <bk>
      <rc t="2" v="635"/>
    </bk>
    <bk>
      <rc t="2" v="636"/>
    </bk>
    <bk>
      <rc t="2" v="637"/>
    </bk>
    <bk>
      <rc t="2" v="638"/>
    </bk>
    <bk>
      <rc t="2" v="639"/>
    </bk>
    <bk>
      <rc t="2" v="640"/>
    </bk>
    <bk>
      <rc t="2" v="641"/>
    </bk>
    <bk>
      <rc t="2" v="642"/>
    </bk>
    <bk>
      <rc t="2" v="643"/>
    </bk>
    <bk>
      <rc t="2" v="644"/>
    </bk>
    <bk>
      <rc t="2" v="645"/>
    </bk>
    <bk>
      <rc t="2" v="646"/>
    </bk>
    <bk>
      <rc t="2" v="647"/>
    </bk>
    <bk>
      <rc t="2" v="648"/>
    </bk>
    <bk>
      <rc t="2" v="649"/>
    </bk>
    <bk>
      <rc t="2" v="650"/>
    </bk>
    <bk>
      <rc t="2" v="651"/>
    </bk>
    <bk>
      <rc t="2" v="652"/>
    </bk>
    <bk>
      <rc t="2" v="653"/>
    </bk>
    <bk>
      <rc t="2" v="654"/>
    </bk>
    <bk>
      <rc t="2" v="655"/>
    </bk>
    <bk>
      <rc t="2" v="656"/>
    </bk>
    <bk>
      <rc t="2" v="657"/>
    </bk>
    <bk>
      <rc t="2" v="658"/>
    </bk>
    <bk>
      <rc t="2" v="659"/>
    </bk>
    <bk>
      <rc t="2" v="660"/>
    </bk>
    <bk>
      <rc t="2" v="661"/>
    </bk>
    <bk>
      <rc t="2" v="662"/>
    </bk>
    <bk>
      <rc t="2" v="663"/>
    </bk>
    <bk>
      <rc t="2" v="664"/>
    </bk>
    <bk>
      <rc t="2" v="665"/>
    </bk>
    <bk>
      <rc t="2" v="666"/>
    </bk>
    <bk>
      <rc t="2" v="667"/>
    </bk>
    <bk>
      <rc t="2" v="668"/>
    </bk>
    <bk>
      <rc t="2" v="669"/>
    </bk>
    <bk>
      <rc t="2" v="670"/>
    </bk>
    <bk>
      <rc t="2" v="671"/>
    </bk>
    <bk>
      <rc t="2" v="672"/>
    </bk>
    <bk>
      <rc t="2" v="673"/>
    </bk>
    <bk>
      <rc t="2" v="674"/>
    </bk>
    <bk>
      <rc t="2" v="675"/>
    </bk>
    <bk>
      <rc t="2" v="676"/>
    </bk>
    <bk>
      <rc t="2" v="677"/>
    </bk>
    <bk>
      <rc t="2" v="678"/>
    </bk>
    <bk>
      <rc t="2" v="679"/>
    </bk>
    <bk>
      <rc t="2" v="680"/>
    </bk>
    <bk>
      <rc t="2" v="681"/>
    </bk>
    <bk>
      <rc t="2" v="682"/>
    </bk>
    <bk>
      <rc t="2" v="683"/>
    </bk>
    <bk>
      <rc t="2" v="684"/>
    </bk>
    <bk>
      <rc t="2" v="685"/>
    </bk>
    <bk>
      <rc t="2" v="686"/>
    </bk>
    <bk>
      <rc t="2" v="687"/>
    </bk>
    <bk>
      <rc t="2" v="688"/>
    </bk>
    <bk>
      <rc t="2" v="689"/>
    </bk>
    <bk>
      <rc t="2" v="690"/>
    </bk>
    <bk>
      <rc t="2" v="691"/>
    </bk>
    <bk>
      <rc t="2" v="692"/>
    </bk>
    <bk>
      <rc t="2" v="693"/>
    </bk>
    <bk>
      <rc t="2" v="694"/>
    </bk>
    <bk>
      <rc t="2" v="695"/>
    </bk>
    <bk>
      <rc t="2" v="696"/>
    </bk>
    <bk>
      <rc t="2" v="697"/>
    </bk>
    <bk>
      <rc t="2" v="698"/>
    </bk>
    <bk>
      <rc t="2" v="699"/>
    </bk>
    <bk>
      <rc t="2" v="700"/>
    </bk>
    <bk>
      <rc t="2" v="701"/>
    </bk>
    <bk>
      <rc t="2" v="702"/>
    </bk>
    <bk>
      <rc t="2" v="703"/>
    </bk>
    <bk>
      <rc t="2" v="704"/>
    </bk>
    <bk>
      <rc t="2" v="705"/>
    </bk>
    <bk>
      <rc t="2" v="706"/>
    </bk>
    <bk>
      <rc t="2" v="707"/>
    </bk>
    <bk>
      <rc t="2" v="708"/>
    </bk>
    <bk>
      <rc t="2" v="709"/>
    </bk>
    <bk>
      <rc t="2" v="710"/>
    </bk>
    <bk>
      <rc t="2" v="711"/>
    </bk>
    <bk>
      <rc t="2" v="712"/>
    </bk>
    <bk>
      <rc t="2" v="713"/>
    </bk>
    <bk>
      <rc t="2" v="714"/>
    </bk>
    <bk>
      <rc t="2" v="715"/>
    </bk>
    <bk>
      <rc t="2" v="716"/>
    </bk>
    <bk>
      <rc t="2" v="717"/>
    </bk>
    <bk>
      <rc t="2" v="718"/>
    </bk>
    <bk>
      <rc t="2" v="719"/>
    </bk>
    <bk>
      <rc t="2" v="720"/>
    </bk>
    <bk>
      <rc t="2" v="721"/>
    </bk>
    <bk>
      <rc t="2" v="722"/>
    </bk>
    <bk>
      <rc t="2" v="723"/>
    </bk>
    <bk>
      <rc t="2" v="724"/>
    </bk>
    <bk>
      <rc t="2" v="725"/>
    </bk>
    <bk>
      <rc t="2" v="726"/>
    </bk>
    <bk>
      <rc t="2" v="727"/>
    </bk>
    <bk>
      <rc t="2" v="728"/>
    </bk>
    <bk>
      <rc t="2" v="729"/>
    </bk>
    <bk>
      <rc t="2" v="730"/>
    </bk>
    <bk>
      <rc t="2" v="731"/>
    </bk>
    <bk>
      <rc t="2" v="732"/>
    </bk>
    <bk>
      <rc t="2" v="733"/>
    </bk>
    <bk>
      <rc t="2" v="734"/>
    </bk>
    <bk>
      <rc t="2" v="735"/>
    </bk>
    <bk>
      <rc t="2" v="736"/>
    </bk>
    <bk>
      <rc t="2" v="737"/>
    </bk>
    <bk>
      <rc t="2" v="738"/>
    </bk>
    <bk>
      <rc t="2" v="739"/>
    </bk>
    <bk>
      <rc t="2" v="740"/>
    </bk>
    <bk>
      <rc t="2" v="741"/>
    </bk>
    <bk>
      <rc t="2" v="742"/>
    </bk>
    <bk>
      <rc t="2" v="743"/>
    </bk>
    <bk>
      <rc t="2" v="744"/>
    </bk>
    <bk>
      <rc t="2" v="745"/>
    </bk>
    <bk>
      <rc t="2" v="746"/>
    </bk>
    <bk>
      <rc t="2" v="747"/>
    </bk>
    <bk>
      <rc t="2" v="748"/>
    </bk>
    <bk>
      <rc t="2" v="749"/>
    </bk>
    <bk>
      <rc t="2" v="750"/>
    </bk>
    <bk>
      <rc t="2" v="751"/>
    </bk>
    <bk>
      <rc t="2" v="752"/>
    </bk>
    <bk>
      <rc t="2" v="753"/>
    </bk>
    <bk>
      <rc t="2" v="754"/>
    </bk>
    <bk>
      <rc t="2" v="755"/>
    </bk>
    <bk>
      <rc t="2" v="756"/>
    </bk>
    <bk>
      <rc t="2" v="757"/>
    </bk>
    <bk>
      <rc t="2" v="758"/>
    </bk>
    <bk>
      <rc t="2" v="759"/>
    </bk>
    <bk>
      <rc t="2" v="760"/>
    </bk>
    <bk>
      <rc t="2" v="761"/>
    </bk>
    <bk>
      <rc t="2" v="762"/>
    </bk>
    <bk>
      <rc t="2" v="763"/>
    </bk>
    <bk>
      <rc t="2" v="764"/>
    </bk>
    <bk>
      <rc t="2" v="765"/>
    </bk>
    <bk>
      <rc t="2" v="766"/>
    </bk>
    <bk>
      <rc t="2" v="767"/>
    </bk>
    <bk>
      <rc t="2" v="768"/>
    </bk>
    <bk>
      <rc t="2" v="769"/>
    </bk>
    <bk>
      <rc t="2" v="770"/>
    </bk>
    <bk>
      <rc t="2" v="771"/>
    </bk>
    <bk>
      <rc t="2" v="772"/>
    </bk>
    <bk>
      <rc t="2" v="773"/>
    </bk>
    <bk>
      <rc t="2" v="774"/>
    </bk>
    <bk>
      <rc t="2" v="775"/>
    </bk>
    <bk>
      <rc t="2" v="776"/>
    </bk>
    <bk>
      <rc t="2" v="777"/>
    </bk>
    <bk>
      <rc t="2" v="778"/>
    </bk>
    <bk>
      <rc t="2" v="779"/>
    </bk>
    <bk>
      <rc t="2" v="780"/>
    </bk>
    <bk>
      <rc t="2" v="781"/>
    </bk>
    <bk>
      <rc t="2" v="782"/>
    </bk>
    <bk>
      <rc t="2" v="783"/>
    </bk>
    <bk>
      <rc t="2" v="784"/>
    </bk>
    <bk>
      <rc t="2" v="785"/>
    </bk>
    <bk>
      <rc t="2" v="786"/>
    </bk>
    <bk>
      <rc t="2" v="787"/>
    </bk>
    <bk>
      <rc t="2" v="788"/>
    </bk>
    <bk>
      <rc t="2" v="789"/>
    </bk>
    <bk>
      <rc t="2" v="790"/>
    </bk>
    <bk>
      <rc t="2" v="791"/>
    </bk>
    <bk>
      <rc t="2" v="792"/>
    </bk>
    <bk>
      <rc t="2" v="793"/>
    </bk>
    <bk>
      <rc t="2" v="794"/>
    </bk>
    <bk>
      <rc t="2" v="795"/>
    </bk>
    <bk>
      <rc t="2" v="796"/>
    </bk>
    <bk>
      <rc t="2" v="797"/>
    </bk>
    <bk>
      <rc t="2" v="798"/>
    </bk>
    <bk>
      <rc t="2" v="799"/>
    </bk>
    <bk>
      <rc t="2" v="800"/>
    </bk>
    <bk>
      <rc t="2" v="801"/>
    </bk>
    <bk>
      <rc t="2" v="802"/>
    </bk>
    <bk>
      <rc t="2" v="803"/>
    </bk>
    <bk>
      <rc t="2" v="804"/>
    </bk>
    <bk>
      <rc t="2" v="805"/>
    </bk>
    <bk>
      <rc t="2" v="806"/>
    </bk>
    <bk>
      <rc t="2" v="807"/>
    </bk>
    <bk>
      <rc t="2" v="808"/>
    </bk>
    <bk>
      <rc t="2" v="809"/>
    </bk>
    <bk>
      <rc t="2" v="810"/>
    </bk>
    <bk>
      <rc t="2" v="811"/>
    </bk>
    <bk>
      <rc t="2" v="812"/>
    </bk>
    <bk>
      <rc t="2" v="813"/>
    </bk>
    <bk>
      <rc t="2" v="814"/>
    </bk>
    <bk>
      <rc t="2" v="815"/>
    </bk>
    <bk>
      <rc t="2" v="816"/>
    </bk>
    <bk>
      <rc t="2" v="817"/>
    </bk>
    <bk>
      <rc t="2" v="818"/>
    </bk>
    <bk>
      <rc t="2" v="819"/>
    </bk>
    <bk>
      <rc t="2" v="820"/>
    </bk>
    <bk>
      <rc t="2" v="821"/>
    </bk>
    <bk>
      <rc t="2" v="822"/>
    </bk>
    <bk>
      <rc t="2" v="823"/>
    </bk>
    <bk>
      <rc t="2" v="824"/>
    </bk>
    <bk>
      <rc t="2" v="825"/>
    </bk>
    <bk>
      <rc t="2" v="826"/>
    </bk>
    <bk>
      <rc t="2" v="827"/>
    </bk>
    <bk>
      <rc t="2" v="828"/>
    </bk>
    <bk>
      <rc t="2" v="829"/>
    </bk>
    <bk>
      <rc t="2" v="830"/>
    </bk>
    <bk>
      <rc t="2" v="831"/>
    </bk>
    <bk>
      <rc t="2" v="832"/>
    </bk>
    <bk>
      <rc t="2" v="833"/>
    </bk>
    <bk>
      <rc t="2" v="834"/>
    </bk>
    <bk>
      <rc t="2" v="835"/>
    </bk>
    <bk>
      <rc t="2" v="836"/>
    </bk>
    <bk>
      <rc t="2" v="837"/>
    </bk>
    <bk>
      <rc t="2" v="838"/>
    </bk>
    <bk>
      <rc t="2" v="839"/>
    </bk>
    <bk>
      <rc t="2" v="840"/>
    </bk>
    <bk>
      <rc t="2" v="841"/>
    </bk>
    <bk>
      <rc t="2" v="842"/>
    </bk>
    <bk>
      <rc t="2" v="843"/>
    </bk>
    <bk>
      <rc t="2" v="844"/>
    </bk>
    <bk>
      <rc t="2" v="845"/>
    </bk>
    <bk>
      <rc t="2" v="846"/>
    </bk>
    <bk>
      <rc t="2" v="847"/>
    </bk>
    <bk>
      <rc t="2" v="848"/>
    </bk>
    <bk>
      <rc t="2" v="849"/>
    </bk>
    <bk>
      <rc t="2" v="850"/>
    </bk>
    <bk>
      <rc t="2" v="851"/>
    </bk>
    <bk>
      <rc t="2" v="852"/>
    </bk>
    <bk>
      <rc t="2" v="853"/>
    </bk>
    <bk>
      <rc t="2" v="854"/>
    </bk>
    <bk>
      <rc t="2" v="855"/>
    </bk>
    <bk>
      <rc t="2" v="856"/>
    </bk>
    <bk>
      <rc t="2" v="857"/>
    </bk>
    <bk>
      <rc t="2" v="858"/>
    </bk>
    <bk>
      <rc t="2" v="859"/>
    </bk>
    <bk>
      <rc t="2" v="860"/>
    </bk>
    <bk>
      <rc t="2" v="861"/>
    </bk>
    <bk>
      <rc t="2" v="862"/>
    </bk>
    <bk>
      <rc t="2" v="863"/>
    </bk>
    <bk>
      <rc t="2" v="864"/>
    </bk>
    <bk>
      <rc t="2" v="865"/>
    </bk>
    <bk>
      <rc t="2" v="866"/>
    </bk>
    <bk>
      <rc t="2" v="867"/>
    </bk>
    <bk>
      <rc t="2" v="868"/>
    </bk>
    <bk>
      <rc t="2" v="869"/>
    </bk>
    <bk>
      <rc t="2" v="870"/>
    </bk>
    <bk>
      <rc t="2" v="871"/>
    </bk>
    <bk>
      <rc t="2" v="872"/>
    </bk>
    <bk>
      <rc t="2" v="873"/>
    </bk>
    <bk>
      <rc t="2" v="874"/>
    </bk>
    <bk>
      <rc t="2" v="875"/>
    </bk>
    <bk>
      <rc t="2" v="876"/>
    </bk>
    <bk>
      <rc t="2" v="877"/>
    </bk>
    <bk>
      <rc t="2" v="878"/>
    </bk>
    <bk>
      <rc t="2" v="879"/>
    </bk>
    <bk>
      <rc t="2" v="880"/>
    </bk>
    <bk>
      <rc t="2" v="881"/>
    </bk>
    <bk>
      <rc t="2" v="882"/>
    </bk>
    <bk>
      <rc t="2" v="883"/>
    </bk>
    <bk>
      <rc t="2" v="884"/>
    </bk>
    <bk>
      <rc t="2" v="885"/>
    </bk>
    <bk>
      <rc t="2" v="886"/>
    </bk>
    <bk>
      <rc t="2" v="887"/>
    </bk>
    <bk>
      <rc t="2" v="888"/>
    </bk>
    <bk>
      <rc t="2" v="889"/>
    </bk>
    <bk>
      <rc t="2" v="890"/>
    </bk>
    <bk>
      <rc t="2" v="891"/>
    </bk>
    <bk>
      <rc t="2" v="892"/>
    </bk>
    <bk>
      <rc t="2" v="893"/>
    </bk>
    <bk>
      <rc t="2" v="894"/>
    </bk>
    <bk>
      <rc t="2" v="895"/>
    </bk>
    <bk>
      <rc t="2" v="896"/>
    </bk>
    <bk>
      <rc t="2" v="897"/>
    </bk>
    <bk>
      <rc t="2" v="898"/>
    </bk>
    <bk>
      <rc t="2" v="899"/>
    </bk>
    <bk>
      <rc t="2" v="900"/>
    </bk>
    <bk>
      <rc t="2" v="901"/>
    </bk>
    <bk>
      <rc t="2" v="902"/>
    </bk>
    <bk>
      <rc t="2" v="903"/>
    </bk>
    <bk>
      <rc t="2" v="904"/>
    </bk>
    <bk>
      <rc t="2" v="905"/>
    </bk>
    <bk>
      <rc t="2" v="906"/>
    </bk>
    <bk>
      <rc t="2" v="907"/>
    </bk>
    <bk>
      <rc t="2" v="908"/>
    </bk>
    <bk>
      <rc t="2" v="909"/>
    </bk>
    <bk>
      <rc t="2" v="910"/>
    </bk>
    <bk>
      <rc t="2" v="911"/>
    </bk>
    <bk>
      <rc t="2" v="912"/>
    </bk>
    <bk>
      <rc t="2" v="913"/>
    </bk>
    <bk>
      <rc t="2" v="914"/>
    </bk>
    <bk>
      <rc t="2" v="915"/>
    </bk>
    <bk>
      <rc t="2" v="916"/>
    </bk>
    <bk>
      <rc t="2" v="917"/>
    </bk>
    <bk>
      <rc t="2" v="918"/>
    </bk>
    <bk>
      <rc t="2" v="919"/>
    </bk>
    <bk>
      <rc t="2" v="920"/>
    </bk>
    <bk>
      <rc t="2" v="921"/>
    </bk>
    <bk>
      <rc t="2" v="922"/>
    </bk>
    <bk>
      <rc t="2" v="923"/>
    </bk>
    <bk>
      <rc t="2" v="924"/>
    </bk>
    <bk>
      <rc t="2" v="925"/>
    </bk>
    <bk>
      <rc t="2" v="926"/>
    </bk>
    <bk>
      <rc t="2" v="927"/>
    </bk>
    <bk>
      <rc t="2" v="928"/>
    </bk>
    <bk>
      <rc t="2" v="929"/>
    </bk>
    <bk>
      <rc t="2" v="930"/>
    </bk>
    <bk>
      <rc t="2" v="931"/>
    </bk>
    <bk>
      <rc t="2" v="932"/>
    </bk>
    <bk>
      <rc t="2" v="933"/>
    </bk>
    <bk>
      <rc t="2" v="934"/>
    </bk>
    <bk>
      <rc t="2" v="935"/>
    </bk>
    <bk>
      <rc t="2" v="936"/>
    </bk>
    <bk>
      <rc t="2" v="937"/>
    </bk>
    <bk>
      <rc t="2" v="938"/>
    </bk>
    <bk>
      <rc t="2" v="939"/>
    </bk>
    <bk>
      <rc t="2" v="940"/>
    </bk>
    <bk>
      <rc t="2" v="941"/>
    </bk>
    <bk>
      <rc t="2" v="942"/>
    </bk>
    <bk>
      <rc t="2" v="943"/>
    </bk>
    <bk>
      <rc t="2" v="944"/>
    </bk>
    <bk>
      <rc t="2" v="945"/>
    </bk>
    <bk>
      <rc t="2" v="946"/>
    </bk>
    <bk>
      <rc t="2" v="947"/>
    </bk>
    <bk>
      <rc t="2" v="948"/>
    </bk>
    <bk>
      <rc t="2" v="949"/>
    </bk>
    <bk>
      <rc t="2" v="950"/>
    </bk>
    <bk>
      <rc t="2" v="951"/>
    </bk>
    <bk>
      <rc t="2" v="952"/>
    </bk>
    <bk>
      <rc t="2" v="953"/>
    </bk>
    <bk>
      <rc t="2" v="954"/>
    </bk>
    <bk>
      <rc t="2" v="955"/>
    </bk>
    <bk>
      <rc t="2" v="956"/>
    </bk>
    <bk>
      <rc t="2" v="957"/>
    </bk>
    <bk>
      <rc t="2" v="958"/>
    </bk>
    <bk>
      <rc t="2" v="959"/>
    </bk>
    <bk>
      <rc t="2" v="960"/>
    </bk>
    <bk>
      <rc t="2" v="961"/>
    </bk>
    <bk>
      <rc t="2" v="962"/>
    </bk>
    <bk>
      <rc t="2" v="963"/>
    </bk>
    <bk>
      <rc t="2" v="964"/>
    </bk>
    <bk>
      <rc t="2" v="965"/>
    </bk>
    <bk>
      <rc t="2" v="966"/>
    </bk>
    <bk>
      <rc t="2" v="967"/>
    </bk>
    <bk>
      <rc t="2" v="968"/>
    </bk>
    <bk>
      <rc t="2" v="969"/>
    </bk>
    <bk>
      <rc t="2" v="970"/>
    </bk>
    <bk>
      <rc t="2" v="971"/>
    </bk>
    <bk>
      <rc t="2" v="972"/>
    </bk>
    <bk>
      <rc t="2" v="973"/>
    </bk>
    <bk>
      <rc t="2" v="974"/>
    </bk>
    <bk>
      <rc t="2" v="975"/>
    </bk>
    <bk>
      <rc t="2" v="976"/>
    </bk>
    <bk>
      <rc t="2" v="977"/>
    </bk>
    <bk>
      <rc t="2" v="978"/>
    </bk>
    <bk>
      <rc t="2" v="979"/>
    </bk>
    <bk>
      <rc t="2" v="980"/>
    </bk>
    <bk>
      <rc t="2" v="981"/>
    </bk>
    <bk>
      <rc t="2" v="982"/>
    </bk>
    <bk>
      <rc t="2" v="983"/>
    </bk>
    <bk>
      <rc t="2" v="984"/>
    </bk>
    <bk>
      <rc t="2" v="985"/>
    </bk>
    <bk>
      <rc t="2" v="986"/>
    </bk>
    <bk>
      <rc t="2" v="987"/>
    </bk>
    <bk>
      <rc t="2" v="988"/>
    </bk>
    <bk>
      <rc t="2" v="989"/>
    </bk>
    <bk>
      <rc t="2" v="990"/>
    </bk>
    <bk>
      <rc t="2" v="991"/>
    </bk>
    <bk>
      <rc t="2" v="992"/>
    </bk>
    <bk>
      <rc t="2" v="993"/>
    </bk>
    <bk>
      <rc t="2" v="994"/>
    </bk>
    <bk>
      <rc t="2" v="995"/>
    </bk>
    <bk>
      <rc t="2" v="996"/>
    </bk>
    <bk>
      <rc t="2" v="997"/>
    </bk>
    <bk>
      <rc t="2" v="998"/>
    </bk>
    <bk>
      <rc t="2" v="999"/>
    </bk>
    <bk>
      <rc t="2" v="1000"/>
    </bk>
    <bk>
      <rc t="2" v="1001"/>
    </bk>
    <bk>
      <rc t="2" v="1002"/>
    </bk>
    <bk>
      <rc t="2" v="1003"/>
    </bk>
    <bk>
      <rc t="2" v="1004"/>
    </bk>
    <bk>
      <rc t="2" v="1005"/>
    </bk>
    <bk>
      <rc t="2" v="1006"/>
    </bk>
    <bk>
      <rc t="2" v="1007"/>
    </bk>
    <bk>
      <rc t="2" v="1008"/>
    </bk>
    <bk>
      <rc t="2" v="1009"/>
    </bk>
    <bk>
      <rc t="2" v="1010"/>
    </bk>
    <bk>
      <rc t="2" v="1011"/>
    </bk>
    <bk>
      <rc t="2" v="1012"/>
    </bk>
    <bk>
      <rc t="2" v="1013"/>
    </bk>
    <bk>
      <rc t="2" v="1014"/>
    </bk>
    <bk>
      <rc t="2" v="1015"/>
    </bk>
    <bk>
      <rc t="2" v="1016"/>
    </bk>
    <bk>
      <rc t="2" v="1017"/>
    </bk>
    <bk>
      <rc t="2" v="1018"/>
    </bk>
    <bk>
      <rc t="2" v="1019"/>
    </bk>
    <bk>
      <rc t="2" v="1020"/>
    </bk>
    <bk>
      <rc t="2" v="1021"/>
    </bk>
    <bk>
      <rc t="2" v="1022"/>
    </bk>
    <bk>
      <rc t="2" v="1023"/>
    </bk>
    <bk>
      <rc t="2" v="1024"/>
    </bk>
    <bk>
      <rc t="2" v="1025"/>
    </bk>
    <bk>
      <rc t="2" v="1026"/>
    </bk>
    <bk>
      <rc t="2" v="1027"/>
    </bk>
    <bk>
      <rc t="2" v="1028"/>
    </bk>
    <bk>
      <rc t="2" v="1029"/>
    </bk>
    <bk>
      <rc t="2" v="1030"/>
    </bk>
    <bk>
      <rc t="2" v="1031"/>
    </bk>
    <bk>
      <rc t="2" v="1032"/>
    </bk>
    <bk>
      <rc t="2" v="1033"/>
    </bk>
    <bk>
      <rc t="2" v="1034"/>
    </bk>
    <bk>
      <rc t="2" v="1035"/>
    </bk>
    <bk>
      <rc t="2" v="1036"/>
    </bk>
    <bk>
      <rc t="2" v="1037"/>
    </bk>
    <bk>
      <rc t="2" v="1038"/>
    </bk>
    <bk>
      <rc t="2" v="1039"/>
    </bk>
    <bk>
      <rc t="2" v="1040"/>
    </bk>
    <bk>
      <rc t="2" v="1041"/>
    </bk>
    <bk>
      <rc t="2" v="1042"/>
    </bk>
    <bk>
      <rc t="2" v="1043"/>
    </bk>
    <bk>
      <rc t="2" v="1044"/>
    </bk>
    <bk>
      <rc t="2" v="1045"/>
    </bk>
    <bk>
      <rc t="2" v="1046"/>
    </bk>
    <bk>
      <rc t="2" v="1047"/>
    </bk>
    <bk>
      <rc t="2" v="1048"/>
    </bk>
    <bk>
      <rc t="2" v="1049"/>
    </bk>
    <bk>
      <rc t="2" v="1050"/>
    </bk>
    <bk>
      <rc t="2" v="1051"/>
    </bk>
    <bk>
      <rc t="2" v="1052"/>
    </bk>
    <bk>
      <rc t="2" v="1053"/>
    </bk>
    <bk>
      <rc t="2" v="1054"/>
    </bk>
    <bk>
      <rc t="2" v="1055"/>
    </bk>
    <bk>
      <rc t="2" v="1056"/>
    </bk>
    <bk>
      <rc t="2" v="1057"/>
    </bk>
    <bk>
      <rc t="2" v="1058"/>
    </bk>
    <bk>
      <rc t="2" v="1059"/>
    </bk>
    <bk>
      <rc t="2" v="1060"/>
    </bk>
    <bk>
      <rc t="2" v="1061"/>
    </bk>
    <bk>
      <rc t="2" v="1062"/>
    </bk>
    <bk>
      <rc t="2" v="1063"/>
    </bk>
    <bk>
      <rc t="2" v="1064"/>
    </bk>
    <bk>
      <rc t="2" v="1065"/>
    </bk>
    <bk>
      <rc t="2" v="1066"/>
    </bk>
    <bk>
      <rc t="2" v="1067"/>
    </bk>
    <bk>
      <rc t="2" v="1068"/>
    </bk>
    <bk>
      <rc t="2" v="1069"/>
    </bk>
    <bk>
      <rc t="2" v="1070"/>
    </bk>
    <bk>
      <rc t="2" v="1071"/>
    </bk>
    <bk>
      <rc t="2" v="1072"/>
    </bk>
    <bk>
      <rc t="2" v="1073"/>
    </bk>
    <bk>
      <rc t="2" v="1074"/>
    </bk>
    <bk>
      <rc t="2" v="1075"/>
    </bk>
    <bk>
      <rc t="2" v="1076"/>
    </bk>
    <bk>
      <rc t="2" v="1077"/>
    </bk>
    <bk>
      <rc t="2" v="1078"/>
    </bk>
    <bk>
      <rc t="2" v="1079"/>
    </bk>
    <bk>
      <rc t="2" v="1080"/>
    </bk>
    <bk>
      <rc t="2" v="1081"/>
    </bk>
    <bk>
      <rc t="2" v="1082"/>
    </bk>
    <bk>
      <rc t="2" v="1083"/>
    </bk>
    <bk>
      <rc t="2" v="1084"/>
    </bk>
    <bk>
      <rc t="2" v="1085"/>
    </bk>
    <bk>
      <rc t="2" v="1086"/>
    </bk>
    <bk>
      <rc t="2" v="1087"/>
    </bk>
    <bk>
      <rc t="2" v="1088"/>
    </bk>
    <bk>
      <rc t="2" v="1089"/>
    </bk>
    <bk>
      <rc t="2" v="1090"/>
    </bk>
    <bk>
      <rc t="2" v="1091"/>
    </bk>
    <bk>
      <rc t="2" v="1092"/>
    </bk>
    <bk>
      <rc t="2" v="1093"/>
    </bk>
    <bk>
      <rc t="2" v="1094"/>
    </bk>
    <bk>
      <rc t="2" v="1095"/>
    </bk>
    <bk>
      <rc t="2" v="1096"/>
    </bk>
    <bk>
      <rc t="2" v="1097"/>
    </bk>
    <bk>
      <rc t="2" v="1098"/>
    </bk>
    <bk>
      <rc t="2" v="1099"/>
    </bk>
    <bk>
      <rc t="2" v="1100"/>
    </bk>
    <bk>
      <rc t="2" v="1101"/>
    </bk>
    <bk>
      <rc t="2" v="1102"/>
    </bk>
    <bk>
      <rc t="2" v="1103"/>
    </bk>
    <bk>
      <rc t="2" v="1104"/>
    </bk>
    <bk>
      <rc t="2" v="1105"/>
    </bk>
    <bk>
      <rc t="2" v="1106"/>
    </bk>
    <bk>
      <rc t="2" v="1107"/>
    </bk>
    <bk>
      <rc t="2" v="1108"/>
    </bk>
    <bk>
      <rc t="2" v="1109"/>
    </bk>
    <bk>
      <rc t="2" v="1110"/>
    </bk>
    <bk>
      <rc t="2" v="1111"/>
    </bk>
    <bk>
      <rc t="2" v="1112"/>
    </bk>
    <bk>
      <rc t="2" v="1113"/>
    </bk>
    <bk>
      <rc t="2" v="1114"/>
    </bk>
    <bk>
      <rc t="2" v="1115"/>
    </bk>
    <bk>
      <rc t="2" v="1116"/>
    </bk>
    <bk>
      <rc t="2" v="1117"/>
    </bk>
    <bk>
      <rc t="2" v="1118"/>
    </bk>
    <bk>
      <rc t="2" v="1119"/>
    </bk>
    <bk>
      <rc t="2" v="1120"/>
    </bk>
    <bk>
      <rc t="2" v="1121"/>
    </bk>
    <bk>
      <rc t="2" v="1122"/>
    </bk>
    <bk>
      <rc t="2" v="1123"/>
    </bk>
    <bk>
      <rc t="2" v="1124"/>
    </bk>
    <bk>
      <rc t="2" v="1125"/>
    </bk>
    <bk>
      <rc t="2" v="1126"/>
    </bk>
    <bk>
      <rc t="2" v="1127"/>
    </bk>
    <bk>
      <rc t="2" v="1128"/>
    </bk>
    <bk>
      <rc t="2" v="1129"/>
    </bk>
    <bk>
      <rc t="2" v="1130"/>
    </bk>
    <bk>
      <rc t="2" v="1131"/>
    </bk>
    <bk>
      <rc t="2" v="1132"/>
    </bk>
    <bk>
      <rc t="2" v="1133"/>
    </bk>
    <bk>
      <rc t="2" v="1134"/>
    </bk>
    <bk>
      <rc t="2" v="1135"/>
    </bk>
    <bk>
      <rc t="2" v="1136"/>
    </bk>
    <bk>
      <rc t="2" v="1137"/>
    </bk>
    <bk>
      <rc t="2" v="1138"/>
    </bk>
    <bk>
      <rc t="2" v="1139"/>
    </bk>
    <bk>
      <rc t="2" v="1140"/>
    </bk>
    <bk>
      <rc t="2" v="1141"/>
    </bk>
    <bk>
      <rc t="2" v="1142"/>
    </bk>
    <bk>
      <rc t="2" v="1143"/>
    </bk>
    <bk>
      <rc t="2" v="1144"/>
    </bk>
    <bk>
      <rc t="2" v="1145"/>
    </bk>
    <bk>
      <rc t="2" v="1146"/>
    </bk>
    <bk>
      <rc t="2" v="1147"/>
    </bk>
    <bk>
      <rc t="2" v="1148"/>
    </bk>
    <bk>
      <rc t="2" v="1149"/>
    </bk>
    <bk>
      <rc t="2" v="1150"/>
    </bk>
    <bk>
      <rc t="2" v="1151"/>
    </bk>
    <bk>
      <rc t="2" v="1152"/>
    </bk>
    <bk>
      <rc t="2" v="1153"/>
    </bk>
    <bk>
      <rc t="2" v="1154"/>
    </bk>
    <bk>
      <rc t="2" v="1155"/>
    </bk>
    <bk>
      <rc t="2" v="1156"/>
    </bk>
    <bk>
      <rc t="2" v="1157"/>
    </bk>
    <bk>
      <rc t="2" v="1158"/>
    </bk>
    <bk>
      <rc t="2" v="1159"/>
    </bk>
    <bk>
      <rc t="2" v="1160"/>
    </bk>
    <bk>
      <rc t="2" v="1161"/>
    </bk>
    <bk>
      <rc t="2" v="1162"/>
    </bk>
    <bk>
      <rc t="2" v="1163"/>
    </bk>
    <bk>
      <rc t="2" v="1164"/>
    </bk>
    <bk>
      <rc t="2" v="1165"/>
    </bk>
    <bk>
      <rc t="2" v="1166"/>
    </bk>
    <bk>
      <rc t="2" v="1167"/>
    </bk>
    <bk>
      <rc t="2" v="1168"/>
    </bk>
    <bk>
      <rc t="2" v="1169"/>
    </bk>
    <bk>
      <rc t="2" v="1170"/>
    </bk>
    <bk>
      <rc t="2" v="1171"/>
    </bk>
    <bk>
      <rc t="2" v="1172"/>
    </bk>
    <bk>
      <rc t="2" v="1173"/>
    </bk>
    <bk>
      <rc t="2" v="1174"/>
    </bk>
    <bk>
      <rc t="2" v="1175"/>
    </bk>
    <bk>
      <rc t="2" v="1176"/>
    </bk>
    <bk>
      <rc t="2" v="1177"/>
    </bk>
    <bk>
      <rc t="2" v="1178"/>
    </bk>
    <bk>
      <rc t="2" v="1179"/>
    </bk>
    <bk>
      <rc t="2" v="1180"/>
    </bk>
    <bk>
      <rc t="2" v="1181"/>
    </bk>
    <bk>
      <rc t="2" v="1182"/>
    </bk>
    <bk>
      <rc t="2" v="1183"/>
    </bk>
    <bk>
      <rc t="2" v="1184"/>
    </bk>
    <bk>
      <rc t="2" v="1185"/>
    </bk>
    <bk>
      <rc t="2" v="1186"/>
    </bk>
    <bk>
      <rc t="2" v="1187"/>
    </bk>
    <bk>
      <rc t="2" v="1188"/>
    </bk>
    <bk>
      <rc t="2" v="1189"/>
    </bk>
    <bk>
      <rc t="2" v="1190"/>
    </bk>
    <bk>
      <rc t="2" v="1191"/>
    </bk>
    <bk>
      <rc t="2" v="1192"/>
    </bk>
    <bk>
      <rc t="2" v="1193"/>
    </bk>
    <bk>
      <rc t="2" v="1194"/>
    </bk>
    <bk>
      <rc t="2" v="1195"/>
    </bk>
    <bk>
      <rc t="2" v="1196"/>
    </bk>
    <bk>
      <rc t="2" v="1197"/>
    </bk>
    <bk>
      <rc t="2" v="1198"/>
    </bk>
    <bk>
      <rc t="2" v="1199"/>
    </bk>
    <bk>
      <rc t="2" v="1200"/>
    </bk>
    <bk>
      <rc t="2" v="1201"/>
    </bk>
    <bk>
      <rc t="2" v="1202"/>
    </bk>
    <bk>
      <rc t="2" v="1203"/>
    </bk>
    <bk>
      <rc t="2" v="1204"/>
    </bk>
    <bk>
      <rc t="2" v="1205"/>
    </bk>
    <bk>
      <rc t="2" v="1206"/>
    </bk>
    <bk>
      <rc t="2" v="1207"/>
    </bk>
    <bk>
      <rc t="2" v="1208"/>
    </bk>
    <bk>
      <rc t="2" v="1209"/>
    </bk>
    <bk>
      <rc t="2" v="1210"/>
    </bk>
    <bk>
      <rc t="2" v="1211"/>
    </bk>
    <bk>
      <rc t="2" v="1212"/>
    </bk>
    <bk>
      <rc t="2" v="1213"/>
    </bk>
    <bk>
      <rc t="2" v="1214"/>
    </bk>
    <bk>
      <rc t="2" v="1215"/>
    </bk>
    <bk>
      <rc t="2" v="1216"/>
    </bk>
    <bk>
      <rc t="2" v="1217"/>
    </bk>
    <bk>
      <rc t="2" v="1218"/>
    </bk>
    <bk>
      <rc t="2" v="1219"/>
    </bk>
    <bk>
      <rc t="2" v="1220"/>
    </bk>
    <bk>
      <rc t="2" v="1221"/>
    </bk>
    <bk>
      <rc t="2" v="1222"/>
    </bk>
    <bk>
      <rc t="2" v="1223"/>
    </bk>
    <bk>
      <rc t="2" v="1224"/>
    </bk>
    <bk>
      <rc t="2" v="1225"/>
    </bk>
    <bk>
      <rc t="2" v="1226"/>
    </bk>
    <bk>
      <rc t="2" v="1227"/>
    </bk>
    <bk>
      <rc t="2" v="1228"/>
    </bk>
    <bk>
      <rc t="2" v="1229"/>
    </bk>
    <bk>
      <rc t="2" v="1230"/>
    </bk>
    <bk>
      <rc t="2" v="1231"/>
    </bk>
    <bk>
      <rc t="2" v="1232"/>
    </bk>
    <bk>
      <rc t="2" v="1233"/>
    </bk>
    <bk>
      <rc t="2" v="1234"/>
    </bk>
    <bk>
      <rc t="2" v="1235"/>
    </bk>
    <bk>
      <rc t="2" v="1236"/>
    </bk>
    <bk>
      <rc t="2" v="1237"/>
    </bk>
    <bk>
      <rc t="2" v="1238"/>
    </bk>
    <bk>
      <rc t="2" v="1239"/>
    </bk>
    <bk>
      <rc t="2" v="1240"/>
    </bk>
    <bk>
      <rc t="2" v="1241"/>
    </bk>
    <bk>
      <rc t="2" v="1242"/>
    </bk>
    <bk>
      <rc t="2" v="1243"/>
    </bk>
    <bk>
      <rc t="2" v="1244"/>
    </bk>
    <bk>
      <rc t="2" v="1245"/>
    </bk>
    <bk>
      <rc t="2" v="1246"/>
    </bk>
    <bk>
      <rc t="2" v="1247"/>
    </bk>
    <bk>
      <rc t="2" v="1248"/>
    </bk>
    <bk>
      <rc t="2" v="1249"/>
    </bk>
    <bk>
      <rc t="2" v="1250"/>
    </bk>
    <bk>
      <rc t="2" v="1251"/>
    </bk>
    <bk>
      <rc t="2" v="1252"/>
    </bk>
    <bk>
      <rc t="2" v="1253"/>
    </bk>
    <bk>
      <rc t="2" v="1254"/>
    </bk>
    <bk>
      <rc t="2" v="1255"/>
    </bk>
    <bk>
      <rc t="2" v="1256"/>
    </bk>
    <bk>
      <rc t="2" v="1257"/>
    </bk>
    <bk>
      <rc t="2" v="1258"/>
    </bk>
    <bk>
      <rc t="2" v="1259"/>
    </bk>
    <bk>
      <rc t="2" v="1260"/>
    </bk>
    <bk>
      <rc t="2" v="1261"/>
    </bk>
    <bk>
      <rc t="2" v="1262"/>
    </bk>
    <bk>
      <rc t="2" v="1263"/>
    </bk>
    <bk>
      <rc t="2" v="1264"/>
    </bk>
    <bk>
      <rc t="2" v="1265"/>
    </bk>
    <bk>
      <rc t="2" v="1266"/>
    </bk>
    <bk>
      <rc t="2" v="1267"/>
    </bk>
    <bk>
      <rc t="2" v="1268"/>
    </bk>
    <bk>
      <rc t="2" v="1269"/>
    </bk>
    <bk>
      <rc t="2" v="1270"/>
    </bk>
    <bk>
      <rc t="2" v="1271"/>
    </bk>
    <bk>
      <rc t="2" v="1272"/>
    </bk>
    <bk>
      <rc t="2" v="1273"/>
    </bk>
    <bk>
      <rc t="2" v="1274"/>
    </bk>
    <bk>
      <rc t="2" v="1275"/>
    </bk>
    <bk>
      <rc t="2" v="1276"/>
    </bk>
    <bk>
      <rc t="2" v="1277"/>
    </bk>
    <bk>
      <rc t="2" v="1278"/>
    </bk>
    <bk>
      <rc t="2" v="1279"/>
    </bk>
    <bk>
      <rc t="2" v="1280"/>
    </bk>
    <bk>
      <rc t="2" v="1281"/>
    </bk>
    <bk>
      <rc t="2" v="1282"/>
    </bk>
    <bk>
      <rc t="2" v="1283"/>
    </bk>
    <bk>
      <rc t="2" v="1284"/>
    </bk>
    <bk>
      <rc t="2" v="1285"/>
    </bk>
    <bk>
      <rc t="2" v="1286"/>
    </bk>
    <bk>
      <rc t="2" v="1287"/>
    </bk>
    <bk>
      <rc t="2" v="1288"/>
    </bk>
    <bk>
      <rc t="2" v="1289"/>
    </bk>
    <bk>
      <rc t="2" v="1290"/>
    </bk>
    <bk>
      <rc t="2" v="1291"/>
    </bk>
    <bk>
      <rc t="2" v="1292"/>
    </bk>
    <bk>
      <rc t="2" v="1293"/>
    </bk>
    <bk>
      <rc t="2" v="1294"/>
    </bk>
    <bk>
      <rc t="2" v="1295"/>
    </bk>
    <bk>
      <rc t="2" v="1296"/>
    </bk>
    <bk>
      <rc t="2" v="1297"/>
    </bk>
    <bk>
      <rc t="2" v="1298"/>
    </bk>
    <bk>
      <rc t="2" v="1299"/>
    </bk>
    <bk>
      <rc t="2" v="1300"/>
    </bk>
    <bk>
      <rc t="2" v="1301"/>
    </bk>
    <bk>
      <rc t="2" v="1302"/>
    </bk>
    <bk>
      <rc t="2" v="1303"/>
    </bk>
    <bk>
      <rc t="2" v="1304"/>
    </bk>
    <bk>
      <rc t="2" v="1305"/>
    </bk>
    <bk>
      <rc t="2" v="1306"/>
    </bk>
    <bk>
      <rc t="2" v="1307"/>
    </bk>
    <bk>
      <rc t="2" v="1308"/>
    </bk>
    <bk>
      <rc t="2" v="1309"/>
    </bk>
    <bk>
      <rc t="2" v="1310"/>
    </bk>
    <bk>
      <rc t="2" v="1311"/>
    </bk>
    <bk>
      <rc t="2" v="1312"/>
    </bk>
    <bk>
      <rc t="2" v="1313"/>
    </bk>
    <bk>
      <rc t="2" v="1314"/>
    </bk>
    <bk>
      <rc t="2" v="1315"/>
    </bk>
    <bk>
      <rc t="2" v="1316"/>
    </bk>
    <bk>
      <rc t="2" v="1317"/>
    </bk>
    <bk>
      <rc t="2" v="1318"/>
    </bk>
    <bk>
      <rc t="2" v="1319"/>
    </bk>
    <bk>
      <rc t="2" v="1320"/>
    </bk>
    <bk>
      <rc t="2" v="1321"/>
    </bk>
    <bk>
      <rc t="2" v="1322"/>
    </bk>
    <bk>
      <rc t="2" v="1323"/>
    </bk>
    <bk>
      <rc t="2" v="1324"/>
    </bk>
    <bk>
      <rc t="2" v="1325"/>
    </bk>
    <bk>
      <rc t="2" v="1326"/>
    </bk>
    <bk>
      <rc t="2" v="1327"/>
    </bk>
    <bk>
      <rc t="2" v="1328"/>
    </bk>
    <bk>
      <rc t="2" v="1329"/>
    </bk>
    <bk>
      <rc t="2" v="1330"/>
    </bk>
    <bk>
      <rc t="2" v="1331"/>
    </bk>
    <bk>
      <rc t="2" v="1332"/>
    </bk>
    <bk>
      <rc t="2" v="1333"/>
    </bk>
    <bk>
      <rc t="2" v="1334"/>
    </bk>
    <bk>
      <rc t="2" v="1335"/>
    </bk>
    <bk>
      <rc t="2" v="1336"/>
    </bk>
    <bk>
      <rc t="2" v="1337"/>
    </bk>
    <bk>
      <rc t="2" v="1338"/>
    </bk>
    <bk>
      <rc t="2" v="1339"/>
    </bk>
    <bk>
      <rc t="2" v="1340"/>
    </bk>
    <bk>
      <rc t="2" v="1341"/>
    </bk>
    <bk>
      <rc t="2" v="1342"/>
    </bk>
    <bk>
      <rc t="2" v="1343"/>
    </bk>
    <bk>
      <rc t="2" v="1344"/>
    </bk>
    <bk>
      <rc t="2" v="1345"/>
    </bk>
    <bk>
      <rc t="2" v="1346"/>
    </bk>
    <bk>
      <rc t="2" v="1347"/>
    </bk>
    <bk>
      <rc t="2" v="1348"/>
    </bk>
    <bk>
      <rc t="2" v="1349"/>
    </bk>
    <bk>
      <rc t="2" v="1350"/>
    </bk>
    <bk>
      <rc t="2" v="1351"/>
    </bk>
    <bk>
      <rc t="2" v="1352"/>
    </bk>
    <bk>
      <rc t="2" v="1353"/>
    </bk>
    <bk>
      <rc t="2" v="1354"/>
    </bk>
    <bk>
      <rc t="2" v="1355"/>
    </bk>
    <bk>
      <rc t="2" v="1356"/>
    </bk>
    <bk>
      <rc t="2" v="1357"/>
    </bk>
    <bk>
      <rc t="2" v="1358"/>
    </bk>
    <bk>
      <rc t="2" v="1359"/>
    </bk>
    <bk>
      <rc t="2" v="1360"/>
    </bk>
    <bk>
      <rc t="2" v="1361"/>
    </bk>
    <bk>
      <rc t="2" v="1362"/>
    </bk>
    <bk>
      <rc t="2" v="1363"/>
    </bk>
    <bk>
      <rc t="2" v="1364"/>
    </bk>
    <bk>
      <rc t="2" v="1365"/>
    </bk>
    <bk>
      <rc t="2" v="1366"/>
    </bk>
    <bk>
      <rc t="2" v="1367"/>
    </bk>
    <bk>
      <rc t="2" v="1368"/>
    </bk>
    <bk>
      <rc t="2" v="1369"/>
    </bk>
    <bk>
      <rc t="2" v="1370"/>
    </bk>
    <bk>
      <rc t="2" v="1371"/>
    </bk>
    <bk>
      <rc t="2" v="1372"/>
    </bk>
    <bk>
      <rc t="2" v="1373"/>
    </bk>
    <bk>
      <rc t="2" v="1374"/>
    </bk>
    <bk>
      <rc t="2" v="1375"/>
    </bk>
    <bk>
      <rc t="2" v="1376"/>
    </bk>
    <bk>
      <rc t="2" v="1377"/>
    </bk>
    <bk>
      <rc t="2" v="1378"/>
    </bk>
    <bk>
      <rc t="2" v="1379"/>
    </bk>
    <bk>
      <rc t="2" v="1380"/>
    </bk>
    <bk>
      <rc t="2" v="1381"/>
    </bk>
    <bk>
      <rc t="2" v="1382"/>
    </bk>
    <bk>
      <rc t="2" v="1383"/>
    </bk>
    <bk>
      <rc t="2" v="1384"/>
    </bk>
    <bk>
      <rc t="2" v="1385"/>
    </bk>
    <bk>
      <rc t="2" v="1386"/>
    </bk>
    <bk>
      <rc t="2" v="1387"/>
    </bk>
    <bk>
      <rc t="2" v="1388"/>
    </bk>
    <bk>
      <rc t="2" v="1389"/>
    </bk>
    <bk>
      <rc t="2" v="1390"/>
    </bk>
    <bk>
      <rc t="2" v="1391"/>
    </bk>
    <bk>
      <rc t="2" v="1392"/>
    </bk>
    <bk>
      <rc t="2" v="1393"/>
    </bk>
    <bk>
      <rc t="2" v="1394"/>
    </bk>
    <bk>
      <rc t="2" v="1395"/>
    </bk>
    <bk>
      <rc t="2" v="1396"/>
    </bk>
    <bk>
      <rc t="2" v="1397"/>
    </bk>
    <bk>
      <rc t="2" v="1398"/>
    </bk>
    <bk>
      <rc t="2" v="1399"/>
    </bk>
    <bk>
      <rc t="2" v="1400"/>
    </bk>
    <bk>
      <rc t="2" v="1401"/>
    </bk>
    <bk>
      <rc t="2" v="1402"/>
    </bk>
    <bk>
      <rc t="2" v="1403"/>
    </bk>
    <bk>
      <rc t="2" v="1404"/>
    </bk>
    <bk>
      <rc t="2" v="1405"/>
    </bk>
    <bk>
      <rc t="2" v="1406"/>
    </bk>
    <bk>
      <rc t="2" v="1407"/>
    </bk>
    <bk>
      <rc t="2" v="1408"/>
    </bk>
    <bk>
      <rc t="2" v="1409"/>
    </bk>
    <bk>
      <rc t="2" v="1410"/>
    </bk>
    <bk>
      <rc t="2" v="1411"/>
    </bk>
    <bk>
      <rc t="2" v="1412"/>
    </bk>
    <bk>
      <rc t="2" v="1413"/>
    </bk>
    <bk>
      <rc t="2" v="1414"/>
    </bk>
    <bk>
      <rc t="2" v="1415"/>
    </bk>
    <bk>
      <rc t="2" v="1416"/>
    </bk>
    <bk>
      <rc t="2" v="1417"/>
    </bk>
    <bk>
      <rc t="2" v="1418"/>
    </bk>
    <bk>
      <rc t="2" v="1419"/>
    </bk>
    <bk>
      <rc t="2" v="1420"/>
    </bk>
    <bk>
      <rc t="2" v="1421"/>
    </bk>
    <bk>
      <rc t="2" v="1422"/>
    </bk>
    <bk>
      <rc t="2" v="1423"/>
    </bk>
    <bk>
      <rc t="2" v="1424"/>
    </bk>
    <bk>
      <rc t="2" v="1425"/>
    </bk>
    <bk>
      <rc t="2" v="1426"/>
    </bk>
    <bk>
      <rc t="2" v="1427"/>
    </bk>
    <bk>
      <rc t="2" v="1428"/>
    </bk>
    <bk>
      <rc t="2" v="1429"/>
    </bk>
    <bk>
      <rc t="2" v="1430"/>
    </bk>
    <bk>
      <rc t="2" v="1431"/>
    </bk>
    <bk>
      <rc t="2" v="1432"/>
    </bk>
    <bk>
      <rc t="2" v="1433"/>
    </bk>
    <bk>
      <rc t="2" v="1434"/>
    </bk>
    <bk>
      <rc t="2" v="1435"/>
    </bk>
    <bk>
      <rc t="2" v="1436"/>
    </bk>
    <bk>
      <rc t="2" v="1437"/>
    </bk>
    <bk>
      <rc t="2" v="1438"/>
    </bk>
    <bk>
      <rc t="2" v="1439"/>
    </bk>
    <bk>
      <rc t="2" v="1440"/>
    </bk>
    <bk>
      <rc t="2" v="1441"/>
    </bk>
    <bk>
      <rc t="2" v="1442"/>
    </bk>
    <bk>
      <rc t="2" v="1443"/>
    </bk>
    <bk>
      <rc t="2" v="1444"/>
    </bk>
    <bk>
      <rc t="2" v="1445"/>
    </bk>
    <bk>
      <rc t="2" v="1446"/>
    </bk>
    <bk>
      <rc t="2" v="1447"/>
    </bk>
    <bk>
      <rc t="2" v="1448"/>
    </bk>
    <bk>
      <rc t="2" v="1449"/>
    </bk>
    <bk>
      <rc t="2" v="1450"/>
    </bk>
    <bk>
      <rc t="2" v="1451"/>
    </bk>
    <bk>
      <rc t="2" v="1452"/>
    </bk>
    <bk>
      <rc t="2" v="1453"/>
    </bk>
    <bk>
      <rc t="2" v="1454"/>
    </bk>
    <bk>
      <rc t="2" v="1455"/>
    </bk>
    <bk>
      <rc t="2" v="1456"/>
    </bk>
    <bk>
      <rc t="2" v="1457"/>
    </bk>
    <bk>
      <rc t="2" v="1458"/>
    </bk>
    <bk>
      <rc t="2" v="1459"/>
    </bk>
    <bk>
      <rc t="2" v="1460"/>
    </bk>
    <bk>
      <rc t="2" v="1461"/>
    </bk>
    <bk>
      <rc t="2" v="1462"/>
    </bk>
    <bk>
      <rc t="2" v="1463"/>
    </bk>
    <bk>
      <rc t="2" v="1464"/>
    </bk>
    <bk>
      <rc t="2" v="1465"/>
    </bk>
    <bk>
      <rc t="2" v="1466"/>
    </bk>
    <bk>
      <rc t="2" v="1467"/>
    </bk>
    <bk>
      <rc t="2" v="1468"/>
    </bk>
    <bk>
      <rc t="2" v="1469"/>
    </bk>
    <bk>
      <rc t="2" v="1470"/>
    </bk>
    <bk>
      <rc t="2" v="1471"/>
    </bk>
    <bk>
      <rc t="2" v="1472"/>
    </bk>
    <bk>
      <rc t="2" v="1473"/>
    </bk>
    <bk>
      <rc t="2" v="1474"/>
    </bk>
    <bk>
      <rc t="2" v="1475"/>
    </bk>
    <bk>
      <rc t="2" v="1476"/>
    </bk>
    <bk>
      <rc t="2" v="1477"/>
    </bk>
    <bk>
      <rc t="2" v="1478"/>
    </bk>
    <bk>
      <rc t="2" v="1479"/>
    </bk>
    <bk>
      <rc t="2" v="1480"/>
    </bk>
    <bk>
      <rc t="2" v="1481"/>
    </bk>
    <bk>
      <rc t="2" v="1482"/>
    </bk>
    <bk>
      <rc t="2" v="1483"/>
    </bk>
    <bk>
      <rc t="2" v="1484"/>
    </bk>
    <bk>
      <rc t="2" v="1485"/>
    </bk>
    <bk>
      <rc t="2" v="1486"/>
    </bk>
    <bk>
      <rc t="2" v="1487"/>
    </bk>
    <bk>
      <rc t="2" v="1488"/>
    </bk>
    <bk>
      <rc t="2" v="1489"/>
    </bk>
    <bk>
      <rc t="2" v="1490"/>
    </bk>
    <bk>
      <rc t="2" v="1491"/>
    </bk>
    <bk>
      <rc t="2" v="1492"/>
    </bk>
    <bk>
      <rc t="2" v="1493"/>
    </bk>
    <bk>
      <rc t="2" v="1494"/>
    </bk>
    <bk>
      <rc t="2" v="1495"/>
    </bk>
    <bk>
      <rc t="2" v="1496"/>
    </bk>
    <bk>
      <rc t="2" v="1497"/>
    </bk>
    <bk>
      <rc t="2" v="1498"/>
    </bk>
    <bk>
      <rc t="2" v="1499"/>
    </bk>
    <bk>
      <rc t="2" v="1500"/>
    </bk>
    <bk>
      <rc t="2" v="1501"/>
    </bk>
    <bk>
      <rc t="2" v="1502"/>
    </bk>
    <bk>
      <rc t="2" v="1503"/>
    </bk>
    <bk>
      <rc t="2" v="1504"/>
    </bk>
    <bk>
      <rc t="2" v="1505"/>
    </bk>
    <bk>
      <rc t="2" v="1506"/>
    </bk>
    <bk>
      <rc t="2" v="1507"/>
    </bk>
    <bk>
      <rc t="2" v="1508"/>
    </bk>
    <bk>
      <rc t="2" v="1509"/>
    </bk>
    <bk>
      <rc t="2" v="1510"/>
    </bk>
    <bk>
      <rc t="2" v="1511"/>
    </bk>
    <bk>
      <rc t="2" v="1512"/>
    </bk>
    <bk>
      <rc t="2" v="1513"/>
    </bk>
    <bk>
      <rc t="2" v="1514"/>
    </bk>
    <bk>
      <rc t="2" v="1515"/>
    </bk>
    <bk>
      <rc t="2" v="1516"/>
    </bk>
    <bk>
      <rc t="2" v="1517"/>
    </bk>
    <bk>
      <rc t="2" v="1518"/>
    </bk>
    <bk>
      <rc t="2" v="1519"/>
    </bk>
    <bk>
      <rc t="2" v="1520"/>
    </bk>
    <bk>
      <rc t="2" v="1521"/>
    </bk>
    <bk>
      <rc t="2" v="1522"/>
    </bk>
    <bk>
      <rc t="2" v="1523"/>
    </bk>
    <bk>
      <rc t="2" v="1524"/>
    </bk>
    <bk>
      <rc t="2" v="1525"/>
    </bk>
    <bk>
      <rc t="2" v="1526"/>
    </bk>
    <bk>
      <rc t="2" v="1527"/>
    </bk>
    <bk>
      <rc t="2" v="1528"/>
    </bk>
    <bk>
      <rc t="2" v="1529"/>
    </bk>
    <bk>
      <rc t="2" v="1530"/>
    </bk>
    <bk>
      <rc t="2" v="1531"/>
    </bk>
    <bk>
      <rc t="2" v="1532"/>
    </bk>
    <bk>
      <rc t="2" v="1533"/>
    </bk>
    <bk>
      <rc t="2" v="1534"/>
    </bk>
    <bk>
      <rc t="2" v="1535"/>
    </bk>
    <bk>
      <rc t="2" v="1536"/>
    </bk>
    <bk>
      <rc t="2" v="1537"/>
    </bk>
    <bk>
      <rc t="2" v="1538"/>
    </bk>
    <bk>
      <rc t="2" v="1539"/>
    </bk>
    <bk>
      <rc t="2" v="1540"/>
    </bk>
    <bk>
      <rc t="2" v="1541"/>
    </bk>
    <bk>
      <rc t="2" v="1542"/>
    </bk>
    <bk>
      <rc t="2" v="1543"/>
    </bk>
    <bk>
      <rc t="2" v="1544"/>
    </bk>
    <bk>
      <rc t="2" v="1545"/>
    </bk>
    <bk>
      <rc t="2" v="1546"/>
    </bk>
    <bk>
      <rc t="2" v="1547"/>
    </bk>
    <bk>
      <rc t="2" v="1548"/>
    </bk>
    <bk>
      <rc t="2" v="1549"/>
    </bk>
    <bk>
      <rc t="2" v="1550"/>
    </bk>
    <bk>
      <rc t="2" v="1551"/>
    </bk>
    <bk>
      <rc t="2" v="1552"/>
    </bk>
    <bk>
      <rc t="2" v="1553"/>
    </bk>
    <bk>
      <rc t="2" v="1554"/>
    </bk>
    <bk>
      <rc t="2" v="1555"/>
    </bk>
    <bk>
      <rc t="2" v="1556"/>
    </bk>
    <bk>
      <rc t="2" v="1557"/>
    </bk>
    <bk>
      <rc t="2" v="1558"/>
    </bk>
    <bk>
      <rc t="2" v="1559"/>
    </bk>
    <bk>
      <rc t="2" v="1560"/>
    </bk>
    <bk>
      <rc t="2" v="1561"/>
    </bk>
    <bk>
      <rc t="2" v="1562"/>
    </bk>
    <bk>
      <rc t="2" v="1563"/>
    </bk>
    <bk>
      <rc t="2" v="1564"/>
    </bk>
    <bk>
      <rc t="2" v="1565"/>
    </bk>
    <bk>
      <rc t="2" v="1566"/>
    </bk>
    <bk>
      <rc t="2" v="1567"/>
    </bk>
    <bk>
      <rc t="2" v="1568"/>
    </bk>
    <bk>
      <rc t="2" v="1569"/>
    </bk>
    <bk>
      <rc t="2" v="1570"/>
    </bk>
    <bk>
      <rc t="2" v="1571"/>
    </bk>
    <bk>
      <rc t="2" v="1572"/>
    </bk>
    <bk>
      <rc t="2" v="1573"/>
    </bk>
    <bk>
      <rc t="2" v="1574"/>
    </bk>
    <bk>
      <rc t="2" v="1575"/>
    </bk>
    <bk>
      <rc t="2" v="1576"/>
    </bk>
    <bk>
      <rc t="2" v="1577"/>
    </bk>
    <bk>
      <rc t="2" v="1578"/>
    </bk>
    <bk>
      <rc t="2" v="1579"/>
    </bk>
    <bk>
      <rc t="2" v="1580"/>
    </bk>
    <bk>
      <rc t="2" v="1581"/>
    </bk>
    <bk>
      <rc t="2" v="1582"/>
    </bk>
    <bk>
      <rc t="2" v="1583"/>
    </bk>
    <bk>
      <rc t="2" v="1584"/>
    </bk>
    <bk>
      <rc t="2" v="1585"/>
    </bk>
    <bk>
      <rc t="2" v="1586"/>
    </bk>
    <bk>
      <rc t="2" v="1587"/>
    </bk>
    <bk>
      <rc t="2" v="1588"/>
    </bk>
    <bk>
      <rc t="2" v="1589"/>
    </bk>
    <bk>
      <rc t="2" v="1590"/>
    </bk>
    <bk>
      <rc t="2" v="1591"/>
    </bk>
    <bk>
      <rc t="2" v="1592"/>
    </bk>
    <bk>
      <rc t="2" v="1593"/>
    </bk>
    <bk>
      <rc t="2" v="1594"/>
    </bk>
    <bk>
      <rc t="2" v="1595"/>
    </bk>
    <bk>
      <rc t="2" v="1596"/>
    </bk>
    <bk>
      <rc t="2" v="1597"/>
    </bk>
    <bk>
      <rc t="2" v="1598"/>
    </bk>
    <bk>
      <rc t="2" v="1599"/>
    </bk>
    <bk>
      <rc t="2" v="1600"/>
    </bk>
    <bk>
      <rc t="2" v="1601"/>
    </bk>
    <bk>
      <rc t="2" v="1602"/>
    </bk>
    <bk>
      <rc t="2" v="1603"/>
    </bk>
    <bk>
      <rc t="2" v="1604"/>
    </bk>
    <bk>
      <rc t="2" v="1605"/>
    </bk>
    <bk>
      <rc t="2" v="1606"/>
    </bk>
    <bk>
      <rc t="2" v="1607"/>
    </bk>
    <bk>
      <rc t="2" v="1608"/>
    </bk>
    <bk>
      <rc t="2" v="1609"/>
    </bk>
    <bk>
      <rc t="2" v="1610"/>
    </bk>
    <bk>
      <rc t="2" v="1611"/>
    </bk>
    <bk>
      <rc t="2" v="1612"/>
    </bk>
    <bk>
      <rc t="2" v="1613"/>
    </bk>
    <bk>
      <rc t="2" v="1614"/>
    </bk>
    <bk>
      <rc t="2" v="1615"/>
    </bk>
    <bk>
      <rc t="2" v="1616"/>
    </bk>
    <bk>
      <rc t="2" v="1617"/>
    </bk>
    <bk>
      <rc t="2" v="1618"/>
    </bk>
    <bk>
      <rc t="2" v="1619"/>
    </bk>
    <bk>
      <rc t="2" v="1620"/>
    </bk>
    <bk>
      <rc t="2" v="1621"/>
    </bk>
    <bk>
      <rc t="2" v="1622"/>
    </bk>
    <bk>
      <rc t="2" v="1623"/>
    </bk>
    <bk>
      <rc t="2" v="1624"/>
    </bk>
    <bk>
      <rc t="2" v="1625"/>
    </bk>
    <bk>
      <rc t="2" v="1626"/>
    </bk>
    <bk>
      <rc t="2" v="1627"/>
    </bk>
    <bk>
      <rc t="2" v="1628"/>
    </bk>
    <bk>
      <rc t="2" v="1629"/>
    </bk>
    <bk>
      <rc t="2" v="1630"/>
    </bk>
    <bk>
      <rc t="2" v="1631"/>
    </bk>
    <bk>
      <rc t="2" v="1632"/>
    </bk>
    <bk>
      <rc t="2" v="1633"/>
    </bk>
    <bk>
      <rc t="2" v="1634"/>
    </bk>
    <bk>
      <rc t="2" v="1635"/>
    </bk>
    <bk>
      <rc t="2" v="1636"/>
    </bk>
    <bk>
      <rc t="2" v="1637"/>
    </bk>
    <bk>
      <rc t="2" v="1638"/>
    </bk>
    <bk>
      <rc t="2" v="1639"/>
    </bk>
    <bk>
      <rc t="2" v="1640"/>
    </bk>
    <bk>
      <rc t="2" v="1641"/>
    </bk>
    <bk>
      <rc t="2" v="1642"/>
    </bk>
    <bk>
      <rc t="2" v="1643"/>
    </bk>
    <bk>
      <rc t="2" v="1644"/>
    </bk>
    <bk>
      <rc t="2" v="1645"/>
    </bk>
    <bk>
      <rc t="2" v="1646"/>
    </bk>
    <bk>
      <rc t="2" v="1647"/>
    </bk>
    <bk>
      <rc t="2" v="1648"/>
    </bk>
    <bk>
      <rc t="2" v="1649"/>
    </bk>
    <bk>
      <rc t="2" v="1650"/>
    </bk>
    <bk>
      <rc t="2" v="1651"/>
    </bk>
    <bk>
      <rc t="2" v="1652"/>
    </bk>
    <bk>
      <rc t="2" v="1653"/>
    </bk>
    <bk>
      <rc t="2" v="1654"/>
    </bk>
    <bk>
      <rc t="2" v="1655"/>
    </bk>
    <bk>
      <rc t="2" v="1656"/>
    </bk>
    <bk>
      <rc t="2" v="1657"/>
    </bk>
    <bk>
      <rc t="2" v="1658"/>
    </bk>
    <bk>
      <rc t="2" v="1659"/>
    </bk>
    <bk>
      <rc t="2" v="1660"/>
    </bk>
    <bk>
      <rc t="2" v="1661"/>
    </bk>
    <bk>
      <rc t="2" v="1662"/>
    </bk>
    <bk>
      <rc t="2" v="1663"/>
    </bk>
    <bk>
      <rc t="2" v="1664"/>
    </bk>
    <bk>
      <rc t="2" v="1665"/>
    </bk>
    <bk>
      <rc t="2" v="1666"/>
    </bk>
    <bk>
      <rc t="2" v="1667"/>
    </bk>
    <bk>
      <rc t="2" v="1668"/>
    </bk>
    <bk>
      <rc t="2" v="1669"/>
    </bk>
    <bk>
      <rc t="2" v="1670"/>
    </bk>
    <bk>
      <rc t="2" v="1671"/>
    </bk>
    <bk>
      <rc t="2" v="1672"/>
    </bk>
    <bk>
      <rc t="2" v="1673"/>
    </bk>
    <bk>
      <rc t="2" v="1674"/>
    </bk>
    <bk>
      <rc t="2" v="1675"/>
    </bk>
    <bk>
      <rc t="2" v="1676"/>
    </bk>
    <bk>
      <rc t="2" v="1677"/>
    </bk>
    <bk>
      <rc t="2" v="1678"/>
    </bk>
    <bk>
      <rc t="2" v="1679"/>
    </bk>
    <bk>
      <rc t="2" v="1680"/>
    </bk>
    <bk>
      <rc t="2" v="1681"/>
    </bk>
    <bk>
      <rc t="2" v="1682"/>
    </bk>
    <bk>
      <rc t="2" v="1683"/>
    </bk>
    <bk>
      <rc t="2" v="1684"/>
    </bk>
    <bk>
      <rc t="2" v="1685"/>
    </bk>
    <bk>
      <rc t="2" v="1686"/>
    </bk>
    <bk>
      <rc t="2" v="1687"/>
    </bk>
    <bk>
      <rc t="2" v="1688"/>
    </bk>
    <bk>
      <rc t="2" v="1689"/>
    </bk>
    <bk>
      <rc t="2" v="1690"/>
    </bk>
    <bk>
      <rc t="2" v="1691"/>
    </bk>
    <bk>
      <rc t="2" v="1692"/>
    </bk>
    <bk>
      <rc t="2" v="1693"/>
    </bk>
    <bk>
      <rc t="2" v="1694"/>
    </bk>
    <bk>
      <rc t="2" v="1695"/>
    </bk>
    <bk>
      <rc t="2" v="1696"/>
    </bk>
    <bk>
      <rc t="2" v="1697"/>
    </bk>
    <bk>
      <rc t="2" v="1698"/>
    </bk>
    <bk>
      <rc t="2" v="1699"/>
    </bk>
    <bk>
      <rc t="2" v="1700"/>
    </bk>
    <bk>
      <rc t="2" v="1701"/>
    </bk>
    <bk>
      <rc t="2" v="1702"/>
    </bk>
    <bk>
      <rc t="2" v="1703"/>
    </bk>
    <bk>
      <rc t="2" v="1704"/>
    </bk>
    <bk>
      <rc t="2" v="1705"/>
    </bk>
    <bk>
      <rc t="2" v="1706"/>
    </bk>
    <bk>
      <rc t="2" v="1707"/>
    </bk>
    <bk>
      <rc t="2" v="1708"/>
    </bk>
    <bk>
      <rc t="2" v="1709"/>
    </bk>
    <bk>
      <rc t="2" v="1710"/>
    </bk>
    <bk>
      <rc t="2" v="1711"/>
    </bk>
    <bk>
      <rc t="2" v="1712"/>
    </bk>
    <bk>
      <rc t="2" v="1713"/>
    </bk>
    <bk>
      <rc t="2" v="1714"/>
    </bk>
    <bk>
      <rc t="2" v="1715"/>
    </bk>
    <bk>
      <rc t="2" v="1716"/>
    </bk>
    <bk>
      <rc t="2" v="1717"/>
    </bk>
    <bk>
      <rc t="2" v="1718"/>
    </bk>
    <bk>
      <rc t="2" v="1719"/>
    </bk>
    <bk>
      <rc t="2" v="1720"/>
    </bk>
    <bk>
      <rc t="2" v="1721"/>
    </bk>
    <bk>
      <rc t="2" v="1722"/>
    </bk>
    <bk>
      <rc t="2" v="1723"/>
    </bk>
    <bk>
      <rc t="2" v="1724"/>
    </bk>
    <bk>
      <rc t="2" v="1725"/>
    </bk>
    <bk>
      <rc t="2" v="1726"/>
    </bk>
    <bk>
      <rc t="2" v="1727"/>
    </bk>
    <bk>
      <rc t="2" v="1728"/>
    </bk>
    <bk>
      <rc t="2" v="1729"/>
    </bk>
    <bk>
      <rc t="2" v="1730"/>
    </bk>
    <bk>
      <rc t="2" v="1731"/>
    </bk>
    <bk>
      <rc t="2" v="1732"/>
    </bk>
    <bk>
      <rc t="2" v="1733"/>
    </bk>
    <bk>
      <rc t="2" v="1734"/>
    </bk>
    <bk>
      <rc t="2" v="1735"/>
    </bk>
    <bk>
      <rc t="2" v="1736"/>
    </bk>
    <bk>
      <rc t="2" v="1737"/>
    </bk>
    <bk>
      <rc t="2" v="1738"/>
    </bk>
    <bk>
      <rc t="2" v="1739"/>
    </bk>
    <bk>
      <rc t="2" v="1740"/>
    </bk>
    <bk>
      <rc t="2" v="1741"/>
    </bk>
    <bk>
      <rc t="2" v="1742"/>
    </bk>
    <bk>
      <rc t="2" v="1743"/>
    </bk>
    <bk>
      <rc t="2" v="1744"/>
    </bk>
    <bk>
      <rc t="2" v="1745"/>
    </bk>
    <bk>
      <rc t="2" v="1746"/>
    </bk>
    <bk>
      <rc t="2" v="1747"/>
    </bk>
    <bk>
      <rc t="2" v="1748"/>
    </bk>
    <bk>
      <rc t="2" v="1749"/>
    </bk>
    <bk>
      <rc t="2" v="1750"/>
    </bk>
    <bk>
      <rc t="2" v="1751"/>
    </bk>
    <bk>
      <rc t="2" v="1752"/>
    </bk>
    <bk>
      <rc t="2" v="1753"/>
    </bk>
    <bk>
      <rc t="2" v="1754"/>
    </bk>
    <bk>
      <rc t="2" v="1755"/>
    </bk>
    <bk>
      <rc t="2" v="1756"/>
    </bk>
    <bk>
      <rc t="2" v="1757"/>
    </bk>
    <bk>
      <rc t="2" v="1758"/>
    </bk>
    <bk>
      <rc t="2" v="1759"/>
    </bk>
    <bk>
      <rc t="2" v="1760"/>
    </bk>
    <bk>
      <rc t="2" v="1761"/>
    </bk>
    <bk>
      <rc t="2" v="1762"/>
    </bk>
    <bk>
      <rc t="2" v="1763"/>
    </bk>
    <bk>
      <rc t="2" v="1764"/>
    </bk>
    <bk>
      <rc t="2" v="1765"/>
    </bk>
    <bk>
      <rc t="2" v="1766"/>
    </bk>
    <bk>
      <rc t="2" v="1767"/>
    </bk>
    <bk>
      <rc t="2" v="1768"/>
    </bk>
    <bk>
      <rc t="2" v="1769"/>
    </bk>
    <bk>
      <rc t="2" v="1770"/>
    </bk>
    <bk>
      <rc t="2" v="1771"/>
    </bk>
    <bk>
      <rc t="2" v="1772"/>
    </bk>
    <bk>
      <rc t="2" v="1773"/>
    </bk>
    <bk>
      <rc t="2" v="1774"/>
    </bk>
    <bk>
      <rc t="2" v="1775"/>
    </bk>
    <bk>
      <rc t="2" v="1776"/>
    </bk>
    <bk>
      <rc t="2" v="1777"/>
    </bk>
    <bk>
      <rc t="2" v="1778"/>
    </bk>
    <bk>
      <rc t="2" v="1779"/>
    </bk>
    <bk>
      <rc t="2" v="1780"/>
    </bk>
    <bk>
      <rc t="2" v="1781"/>
    </bk>
    <bk>
      <rc t="2" v="1782"/>
    </bk>
    <bk>
      <rc t="2" v="1783"/>
    </bk>
    <bk>
      <rc t="2" v="1784"/>
    </bk>
    <bk>
      <rc t="2" v="1785"/>
    </bk>
    <bk>
      <rc t="2" v="1786"/>
    </bk>
    <bk>
      <rc t="2" v="1787"/>
    </bk>
    <bk>
      <rc t="2" v="1788"/>
    </bk>
    <bk>
      <rc t="2" v="1789"/>
    </bk>
    <bk>
      <rc t="2" v="1790"/>
    </bk>
    <bk>
      <rc t="2" v="1791"/>
    </bk>
    <bk>
      <rc t="2" v="1792"/>
    </bk>
    <bk>
      <rc t="2" v="1793"/>
    </bk>
    <bk>
      <rc t="2" v="1794"/>
    </bk>
    <bk>
      <rc t="2" v="1795"/>
    </bk>
    <bk>
      <rc t="2" v="1796"/>
    </bk>
    <bk>
      <rc t="2" v="1797"/>
    </bk>
    <bk>
      <rc t="2" v="1798"/>
    </bk>
    <bk>
      <rc t="2" v="1799"/>
    </bk>
    <bk>
      <rc t="2" v="1800"/>
    </bk>
    <bk>
      <rc t="2" v="1801"/>
    </bk>
    <bk>
      <rc t="2" v="1802"/>
    </bk>
    <bk>
      <rc t="2" v="1803"/>
    </bk>
    <bk>
      <rc t="2" v="1804"/>
    </bk>
    <bk>
      <rc t="2" v="1805"/>
    </bk>
    <bk>
      <rc t="2" v="1806"/>
    </bk>
    <bk>
      <rc t="2" v="1807"/>
    </bk>
    <bk>
      <rc t="2" v="1808"/>
    </bk>
    <bk>
      <rc t="2" v="1809"/>
    </bk>
    <bk>
      <rc t="2" v="1810"/>
    </bk>
    <bk>
      <rc t="2" v="1811"/>
    </bk>
    <bk>
      <rc t="2" v="1812"/>
    </bk>
    <bk>
      <rc t="2" v="1813"/>
    </bk>
    <bk>
      <rc t="2" v="1814"/>
    </bk>
    <bk>
      <rc t="2" v="1815"/>
    </bk>
    <bk>
      <rc t="2" v="1816"/>
    </bk>
    <bk>
      <rc t="2" v="1817"/>
    </bk>
    <bk>
      <rc t="2" v="1818"/>
    </bk>
    <bk>
      <rc t="2" v="1819"/>
    </bk>
    <bk>
      <rc t="2" v="1820"/>
    </bk>
    <bk>
      <rc t="2" v="1821"/>
    </bk>
    <bk>
      <rc t="2" v="1822"/>
    </bk>
    <bk>
      <rc t="2" v="1823"/>
    </bk>
    <bk>
      <rc t="2" v="1824"/>
    </bk>
    <bk>
      <rc t="2" v="1825"/>
    </bk>
    <bk>
      <rc t="2" v="1826"/>
    </bk>
    <bk>
      <rc t="2" v="1827"/>
    </bk>
    <bk>
      <rc t="2" v="1828"/>
    </bk>
    <bk>
      <rc t="2" v="1829"/>
    </bk>
    <bk>
      <rc t="2" v="1830"/>
    </bk>
    <bk>
      <rc t="2" v="1831"/>
    </bk>
    <bk>
      <rc t="2" v="1832"/>
    </bk>
    <bk>
      <rc t="2" v="1833"/>
    </bk>
    <bk>
      <rc t="2" v="1834"/>
    </bk>
    <bk>
      <rc t="2" v="1835"/>
    </bk>
    <bk>
      <rc t="2" v="1836"/>
    </bk>
    <bk>
      <rc t="2" v="1837"/>
    </bk>
    <bk>
      <rc t="2" v="1838"/>
    </bk>
    <bk>
      <rc t="2" v="1839"/>
    </bk>
    <bk>
      <rc t="2" v="1840"/>
    </bk>
    <bk>
      <rc t="2" v="1841"/>
    </bk>
    <bk>
      <rc t="2" v="1842"/>
    </bk>
    <bk>
      <rc t="2" v="1843"/>
    </bk>
    <bk>
      <rc t="2" v="1844"/>
    </bk>
    <bk>
      <rc t="2" v="1845"/>
    </bk>
    <bk>
      <rc t="2" v="1846"/>
    </bk>
    <bk>
      <rc t="2" v="1847"/>
    </bk>
    <bk>
      <rc t="2" v="1848"/>
    </bk>
    <bk>
      <rc t="2" v="1849"/>
    </bk>
    <bk>
      <rc t="2" v="1850"/>
    </bk>
    <bk>
      <rc t="2" v="1851"/>
    </bk>
    <bk>
      <rc t="2" v="1852"/>
    </bk>
    <bk>
      <rc t="2" v="1853"/>
    </bk>
    <bk>
      <rc t="2" v="1854"/>
    </bk>
    <bk>
      <rc t="2" v="1855"/>
    </bk>
    <bk>
      <rc t="2" v="1856"/>
    </bk>
    <bk>
      <rc t="2" v="1857"/>
    </bk>
    <bk>
      <rc t="2" v="1858"/>
    </bk>
    <bk>
      <rc t="2" v="1859"/>
    </bk>
    <bk>
      <rc t="2" v="1860"/>
    </bk>
    <bk>
      <rc t="2" v="1861"/>
    </bk>
    <bk>
      <rc t="2" v="1862"/>
    </bk>
    <bk>
      <rc t="2" v="1863"/>
    </bk>
    <bk>
      <rc t="2" v="1864"/>
    </bk>
    <bk>
      <rc t="2" v="1865"/>
    </bk>
    <bk>
      <rc t="2" v="1866"/>
    </bk>
    <bk>
      <rc t="2" v="1867"/>
    </bk>
    <bk>
      <rc t="2" v="1868"/>
    </bk>
    <bk>
      <rc t="2" v="1869"/>
    </bk>
    <bk>
      <rc t="2" v="1870"/>
    </bk>
    <bk>
      <rc t="2" v="1871"/>
    </bk>
    <bk>
      <rc t="2" v="1872"/>
    </bk>
    <bk>
      <rc t="2" v="1873"/>
    </bk>
    <bk>
      <rc t="2" v="1874"/>
    </bk>
    <bk>
      <rc t="2" v="1875"/>
    </bk>
    <bk>
      <rc t="2" v="1876"/>
    </bk>
    <bk>
      <rc t="2" v="1877"/>
    </bk>
    <bk>
      <rc t="2" v="1878"/>
    </bk>
    <bk>
      <rc t="2" v="1879"/>
    </bk>
    <bk>
      <rc t="2" v="1880"/>
    </bk>
    <bk>
      <rc t="2" v="1881"/>
    </bk>
    <bk>
      <rc t="2" v="1882"/>
    </bk>
    <bk>
      <rc t="2" v="1883"/>
    </bk>
    <bk>
      <rc t="2" v="1884"/>
    </bk>
    <bk>
      <rc t="2" v="1885"/>
    </bk>
    <bk>
      <rc t="2" v="1886"/>
    </bk>
    <bk>
      <rc t="2" v="1887"/>
    </bk>
    <bk>
      <rc t="2" v="1888"/>
    </bk>
    <bk>
      <rc t="2" v="1889"/>
    </bk>
    <bk>
      <rc t="2" v="1890"/>
    </bk>
    <bk>
      <rc t="2" v="1891"/>
    </bk>
    <bk>
      <rc t="2" v="1892"/>
    </bk>
    <bk>
      <rc t="2" v="1893"/>
    </bk>
    <bk>
      <rc t="2" v="1894"/>
    </bk>
    <bk>
      <rc t="2" v="1895"/>
    </bk>
    <bk>
      <rc t="2" v="1896"/>
    </bk>
    <bk>
      <rc t="2" v="1897"/>
    </bk>
    <bk>
      <rc t="2" v="1898"/>
    </bk>
    <bk>
      <rc t="2" v="1899"/>
    </bk>
    <bk>
      <rc t="2" v="1900"/>
    </bk>
    <bk>
      <rc t="2" v="1901"/>
    </bk>
    <bk>
      <rc t="2" v="1902"/>
    </bk>
    <bk>
      <rc t="2" v="1903"/>
    </bk>
    <bk>
      <rc t="2" v="1904"/>
    </bk>
    <bk>
      <rc t="2" v="1905"/>
    </bk>
    <bk>
      <rc t="2" v="1906"/>
    </bk>
    <bk>
      <rc t="2" v="1907"/>
    </bk>
    <bk>
      <rc t="2" v="1908"/>
    </bk>
    <bk>
      <rc t="2" v="1909"/>
    </bk>
    <bk>
      <rc t="2" v="1910"/>
    </bk>
    <bk>
      <rc t="2" v="1911"/>
    </bk>
    <bk>
      <rc t="2" v="1912"/>
    </bk>
    <bk>
      <rc t="2" v="1913"/>
    </bk>
    <bk>
      <rc t="2" v="1914"/>
    </bk>
    <bk>
      <rc t="2" v="1915"/>
    </bk>
    <bk>
      <rc t="2" v="1916"/>
    </bk>
    <bk>
      <rc t="2" v="1917"/>
    </bk>
    <bk>
      <rc t="2" v="1918"/>
    </bk>
    <bk>
      <rc t="2" v="1919"/>
    </bk>
    <bk>
      <rc t="2" v="1920"/>
    </bk>
    <bk>
      <rc t="2" v="1921"/>
    </bk>
    <bk>
      <rc t="2" v="1922"/>
    </bk>
    <bk>
      <rc t="2" v="1923"/>
    </bk>
    <bk>
      <rc t="2" v="1924"/>
    </bk>
    <bk>
      <rc t="2" v="1925"/>
    </bk>
    <bk>
      <rc t="2" v="1926"/>
    </bk>
    <bk>
      <rc t="2" v="1927"/>
    </bk>
    <bk>
      <rc t="2" v="1928"/>
    </bk>
    <bk>
      <rc t="2" v="1929"/>
    </bk>
    <bk>
      <rc t="2" v="1930"/>
    </bk>
    <bk>
      <rc t="2" v="1931"/>
    </bk>
    <bk>
      <rc t="2" v="1932"/>
    </bk>
    <bk>
      <rc t="2" v="1933"/>
    </bk>
    <bk>
      <rc t="2" v="1934"/>
    </bk>
    <bk>
      <rc t="2" v="1935"/>
    </bk>
    <bk>
      <rc t="2" v="1936"/>
    </bk>
    <bk>
      <rc t="2" v="1937"/>
    </bk>
    <bk>
      <rc t="2" v="1938"/>
    </bk>
    <bk>
      <rc t="2" v="1939"/>
    </bk>
    <bk>
      <rc t="2" v="1940"/>
    </bk>
    <bk>
      <rc t="2" v="1941"/>
    </bk>
    <bk>
      <rc t="2" v="1942"/>
    </bk>
    <bk>
      <rc t="2" v="1943"/>
    </bk>
    <bk>
      <rc t="2" v="1944"/>
    </bk>
    <bk>
      <rc t="2" v="1945"/>
    </bk>
    <bk>
      <rc t="2" v="1946"/>
    </bk>
    <bk>
      <rc t="2" v="1947"/>
    </bk>
    <bk>
      <rc t="2" v="1948"/>
    </bk>
    <bk>
      <rc t="2" v="1949"/>
    </bk>
    <bk>
      <rc t="2" v="1950"/>
    </bk>
    <bk>
      <rc t="2" v="1951"/>
    </bk>
    <bk>
      <rc t="2" v="1952"/>
    </bk>
    <bk>
      <rc t="2" v="1953"/>
    </bk>
    <bk>
      <rc t="2" v="1954"/>
    </bk>
    <bk>
      <rc t="2" v="1955"/>
    </bk>
    <bk>
      <rc t="2" v="1956"/>
    </bk>
    <bk>
      <rc t="2" v="1957"/>
    </bk>
    <bk>
      <rc t="2" v="1958"/>
    </bk>
    <bk>
      <rc t="2" v="1959"/>
    </bk>
    <bk>
      <rc t="2" v="1960"/>
    </bk>
    <bk>
      <rc t="2" v="1961"/>
    </bk>
    <bk>
      <rc t="2" v="1962"/>
    </bk>
    <bk>
      <rc t="2" v="1963"/>
    </bk>
    <bk>
      <rc t="2" v="1964"/>
    </bk>
    <bk>
      <rc t="2" v="1965"/>
    </bk>
    <bk>
      <rc t="2" v="1966"/>
    </bk>
    <bk>
      <rc t="2" v="1967"/>
    </bk>
    <bk>
      <rc t="2" v="1968"/>
    </bk>
    <bk>
      <rc t="2" v="1969"/>
    </bk>
    <bk>
      <rc t="2" v="1970"/>
    </bk>
    <bk>
      <rc t="2" v="1971"/>
    </bk>
    <bk>
      <rc t="2" v="1972"/>
    </bk>
    <bk>
      <rc t="2" v="1973"/>
    </bk>
    <bk>
      <rc t="2" v="1974"/>
    </bk>
    <bk>
      <rc t="2" v="1975"/>
    </bk>
    <bk>
      <rc t="2" v="1976"/>
    </bk>
    <bk>
      <rc t="2" v="1977"/>
    </bk>
    <bk>
      <rc t="2" v="1978"/>
    </bk>
    <bk>
      <rc t="2" v="1979"/>
    </bk>
    <bk>
      <rc t="2" v="1980"/>
    </bk>
    <bk>
      <rc t="2" v="1981"/>
    </bk>
    <bk>
      <rc t="2" v="1982"/>
    </bk>
    <bk>
      <rc t="2" v="1983"/>
    </bk>
    <bk>
      <rc t="2" v="1984"/>
    </bk>
    <bk>
      <rc t="2" v="1985"/>
    </bk>
    <bk>
      <rc t="2" v="1986"/>
    </bk>
    <bk>
      <rc t="2" v="1987"/>
    </bk>
    <bk>
      <rc t="2" v="1988"/>
    </bk>
    <bk>
      <rc t="2" v="1989"/>
    </bk>
    <bk>
      <rc t="2" v="1990"/>
    </bk>
    <bk>
      <rc t="2" v="1991"/>
    </bk>
    <bk>
      <rc t="2" v="1992"/>
    </bk>
    <bk>
      <rc t="2" v="1993"/>
    </bk>
    <bk>
      <rc t="2" v="1994"/>
    </bk>
    <bk>
      <rc t="2" v="1995"/>
    </bk>
    <bk>
      <rc t="2" v="1996"/>
    </bk>
    <bk>
      <rc t="2" v="1997"/>
    </bk>
    <bk>
      <rc t="2" v="1998"/>
    </bk>
    <bk>
      <rc t="2" v="1999"/>
    </bk>
    <bk>
      <rc t="2" v="2000"/>
    </bk>
    <bk>
      <rc t="2" v="2001"/>
    </bk>
    <bk>
      <rc t="2" v="2002"/>
    </bk>
    <bk>
      <rc t="2" v="2003"/>
    </bk>
    <bk>
      <rc t="2" v="2004"/>
    </bk>
    <bk>
      <rc t="2" v="2005"/>
    </bk>
    <bk>
      <rc t="2" v="2006"/>
    </bk>
    <bk>
      <rc t="2" v="2007"/>
    </bk>
    <bk>
      <rc t="2" v="2008"/>
    </bk>
    <bk>
      <rc t="2" v="2009"/>
    </bk>
    <bk>
      <rc t="2" v="2010"/>
    </bk>
    <bk>
      <rc t="2" v="2011"/>
    </bk>
    <bk>
      <rc t="2" v="2012"/>
    </bk>
    <bk>
      <rc t="2" v="2013"/>
    </bk>
    <bk>
      <rc t="2" v="2014"/>
    </bk>
    <bk>
      <rc t="2" v="2015"/>
    </bk>
    <bk>
      <rc t="2" v="2016"/>
    </bk>
    <bk>
      <rc t="2" v="2017"/>
    </bk>
    <bk>
      <rc t="2" v="2018"/>
    </bk>
    <bk>
      <rc t="2" v="2019"/>
    </bk>
    <bk>
      <rc t="2" v="2020"/>
    </bk>
    <bk>
      <rc t="2" v="2021"/>
    </bk>
    <bk>
      <rc t="2" v="2022"/>
    </bk>
    <bk>
      <rc t="2" v="2023"/>
    </bk>
    <bk>
      <rc t="2" v="2024"/>
    </bk>
    <bk>
      <rc t="2" v="2025"/>
    </bk>
    <bk>
      <rc t="2" v="2026"/>
    </bk>
    <bk>
      <rc t="2" v="2027"/>
    </bk>
    <bk>
      <rc t="2" v="2028"/>
    </bk>
    <bk>
      <rc t="2" v="2029"/>
    </bk>
    <bk>
      <rc t="2" v="2030"/>
    </bk>
    <bk>
      <rc t="2" v="2031"/>
    </bk>
    <bk>
      <rc t="2" v="2032"/>
    </bk>
    <bk>
      <rc t="2" v="2033"/>
    </bk>
    <bk>
      <rc t="2" v="2034"/>
    </bk>
    <bk>
      <rc t="2" v="2035"/>
    </bk>
    <bk>
      <rc t="2" v="2036"/>
    </bk>
    <bk>
      <rc t="2" v="2037"/>
    </bk>
    <bk>
      <rc t="2" v="2038"/>
    </bk>
    <bk>
      <rc t="2" v="2039"/>
    </bk>
    <bk>
      <rc t="2" v="2040"/>
    </bk>
    <bk>
      <rc t="2" v="2041"/>
    </bk>
    <bk>
      <rc t="2" v="2042"/>
    </bk>
    <bk>
      <rc t="2" v="2043"/>
    </bk>
    <bk>
      <rc t="2" v="2044"/>
    </bk>
    <bk>
      <rc t="2" v="2045"/>
    </bk>
    <bk>
      <rc t="2" v="2046"/>
    </bk>
    <bk>
      <rc t="2" v="2047"/>
    </bk>
    <bk>
      <rc t="2" v="2048"/>
    </bk>
    <bk>
      <rc t="2" v="2049"/>
    </bk>
    <bk>
      <rc t="2" v="2050"/>
    </bk>
    <bk>
      <rc t="2" v="2051"/>
    </bk>
    <bk>
      <rc t="2" v="2052"/>
    </bk>
    <bk>
      <rc t="2" v="2053"/>
    </bk>
    <bk>
      <rc t="2" v="2054"/>
    </bk>
    <bk>
      <rc t="2" v="2055"/>
    </bk>
    <bk>
      <rc t="2" v="2056"/>
    </bk>
    <bk>
      <rc t="2" v="2057"/>
    </bk>
    <bk>
      <rc t="2" v="2058"/>
    </bk>
    <bk>
      <rc t="2" v="2059"/>
    </bk>
    <bk>
      <rc t="2" v="2060"/>
    </bk>
    <bk>
      <rc t="2" v="2061"/>
    </bk>
    <bk>
      <rc t="2" v="2062"/>
    </bk>
    <bk>
      <rc t="2" v="2063"/>
    </bk>
    <bk>
      <rc t="2" v="2064"/>
    </bk>
    <bk>
      <rc t="2" v="2065"/>
    </bk>
    <bk>
      <rc t="2" v="2066"/>
    </bk>
    <bk>
      <rc t="2" v="2067"/>
    </bk>
    <bk>
      <rc t="2" v="2068"/>
    </bk>
    <bk>
      <rc t="2" v="2069"/>
    </bk>
    <bk>
      <rc t="2" v="2070"/>
    </bk>
    <bk>
      <rc t="2" v="2071"/>
    </bk>
    <bk>
      <rc t="2" v="2072"/>
    </bk>
    <bk>
      <rc t="2" v="2073"/>
    </bk>
    <bk>
      <rc t="2" v="2074"/>
    </bk>
    <bk>
      <rc t="2" v="2075"/>
    </bk>
    <bk>
      <rc t="2" v="2076"/>
    </bk>
    <bk>
      <rc t="2" v="2077"/>
    </bk>
    <bk>
      <rc t="2" v="2078"/>
    </bk>
    <bk>
      <rc t="2" v="2079"/>
    </bk>
    <bk>
      <rc t="2" v="2080"/>
    </bk>
    <bk>
      <rc t="2" v="2081"/>
    </bk>
    <bk>
      <rc t="2" v="2082"/>
    </bk>
    <bk>
      <rc t="2" v="2083"/>
    </bk>
    <bk>
      <rc t="2" v="2084"/>
    </bk>
    <bk>
      <rc t="2" v="2085"/>
    </bk>
    <bk>
      <rc t="2" v="2086"/>
    </bk>
    <bk>
      <rc t="2" v="2087"/>
    </bk>
    <bk>
      <rc t="2" v="2088"/>
    </bk>
    <bk>
      <rc t="2" v="2089"/>
    </bk>
    <bk>
      <rc t="2" v="2090"/>
    </bk>
    <bk>
      <rc t="2" v="2091"/>
    </bk>
    <bk>
      <rc t="2" v="2092"/>
    </bk>
    <bk>
      <rc t="2" v="2093"/>
    </bk>
    <bk>
      <rc t="2" v="2094"/>
    </bk>
    <bk>
      <rc t="2" v="2095"/>
    </bk>
    <bk>
      <rc t="2" v="2096"/>
    </bk>
    <bk>
      <rc t="2" v="2097"/>
    </bk>
    <bk>
      <rc t="2" v="2098"/>
    </bk>
    <bk>
      <rc t="2" v="2099"/>
    </bk>
    <bk>
      <rc t="2" v="2100"/>
    </bk>
    <bk>
      <rc t="2" v="2101"/>
    </bk>
    <bk>
      <rc t="2" v="2102"/>
    </bk>
    <bk>
      <rc t="2" v="2103"/>
    </bk>
    <bk>
      <rc t="2" v="2104"/>
    </bk>
    <bk>
      <rc t="2" v="2105"/>
    </bk>
    <bk>
      <rc t="2" v="2106"/>
    </bk>
    <bk>
      <rc t="2" v="2107"/>
    </bk>
    <bk>
      <rc t="2" v="2108"/>
    </bk>
    <bk>
      <rc t="2" v="2109"/>
    </bk>
    <bk>
      <rc t="2" v="2110"/>
    </bk>
    <bk>
      <rc t="2" v="2111"/>
    </bk>
    <bk>
      <rc t="2" v="2112"/>
    </bk>
    <bk>
      <rc t="2" v="2113"/>
    </bk>
    <bk>
      <rc t="2" v="2114"/>
    </bk>
    <bk>
      <rc t="2" v="2115"/>
    </bk>
    <bk>
      <rc t="2" v="2116"/>
    </bk>
    <bk>
      <rc t="2" v="2117"/>
    </bk>
    <bk>
      <rc t="2" v="2118"/>
    </bk>
    <bk>
      <rc t="2" v="2119"/>
    </bk>
    <bk>
      <rc t="2" v="2120"/>
    </bk>
    <bk>
      <rc t="2" v="2121"/>
    </bk>
    <bk>
      <rc t="2" v="2122"/>
    </bk>
    <bk>
      <rc t="2" v="2123"/>
    </bk>
    <bk>
      <rc t="2" v="2124"/>
    </bk>
    <bk>
      <rc t="2" v="2125"/>
    </bk>
    <bk>
      <rc t="2" v="2126"/>
    </bk>
    <bk>
      <rc t="2" v="2127"/>
    </bk>
    <bk>
      <rc t="2" v="2128"/>
    </bk>
    <bk>
      <rc t="2" v="2129"/>
    </bk>
    <bk>
      <rc t="2" v="2130"/>
    </bk>
    <bk>
      <rc t="2" v="2131"/>
    </bk>
    <bk>
      <rc t="2" v="2132"/>
    </bk>
    <bk>
      <rc t="2" v="2133"/>
    </bk>
    <bk>
      <rc t="2" v="2134"/>
    </bk>
    <bk>
      <rc t="2" v="2135"/>
    </bk>
    <bk>
      <rc t="2" v="2136"/>
    </bk>
    <bk>
      <rc t="2" v="2137"/>
    </bk>
    <bk>
      <rc t="2" v="2138"/>
    </bk>
    <bk>
      <rc t="2" v="2139"/>
    </bk>
    <bk>
      <rc t="2" v="2140"/>
    </bk>
    <bk>
      <rc t="2" v="2141"/>
    </bk>
    <bk>
      <rc t="2" v="2142"/>
    </bk>
    <bk>
      <rc t="2" v="2143"/>
    </bk>
    <bk>
      <rc t="2" v="2144"/>
    </bk>
    <bk>
      <rc t="2" v="2145"/>
    </bk>
    <bk>
      <rc t="2" v="2146"/>
    </bk>
    <bk>
      <rc t="2" v="2147"/>
    </bk>
    <bk>
      <rc t="2" v="2148"/>
    </bk>
    <bk>
      <rc t="2" v="2149"/>
    </bk>
    <bk>
      <rc t="2" v="2150"/>
    </bk>
    <bk>
      <rc t="2" v="2151"/>
    </bk>
    <bk>
      <rc t="2" v="2152"/>
    </bk>
    <bk>
      <rc t="2" v="2153"/>
    </bk>
    <bk>
      <rc t="2" v="2154"/>
    </bk>
    <bk>
      <rc t="2" v="2155"/>
    </bk>
    <bk>
      <rc t="2" v="2156"/>
    </bk>
    <bk>
      <rc t="2" v="2157"/>
    </bk>
    <bk>
      <rc t="2" v="2158"/>
    </bk>
    <bk>
      <rc t="2" v="2159"/>
    </bk>
    <bk>
      <rc t="2" v="2160"/>
    </bk>
    <bk>
      <rc t="2" v="2161"/>
    </bk>
    <bk>
      <rc t="2" v="2162"/>
    </bk>
    <bk>
      <rc t="2" v="2163"/>
    </bk>
    <bk>
      <rc t="2" v="2164"/>
    </bk>
    <bk>
      <rc t="2" v="2165"/>
    </bk>
    <bk>
      <rc t="2" v="2166"/>
    </bk>
    <bk>
      <rc t="2" v="2167"/>
    </bk>
    <bk>
      <rc t="2" v="2168"/>
    </bk>
    <bk>
      <rc t="2" v="2169"/>
    </bk>
    <bk>
      <rc t="2" v="2170"/>
    </bk>
    <bk>
      <rc t="2" v="2171"/>
    </bk>
    <bk>
      <rc t="2" v="2172"/>
    </bk>
    <bk>
      <rc t="2" v="2173"/>
    </bk>
    <bk>
      <rc t="2" v="2174"/>
    </bk>
    <bk>
      <rc t="2" v="2175"/>
    </bk>
    <bk>
      <rc t="2" v="2176"/>
    </bk>
    <bk>
      <rc t="2" v="2177"/>
    </bk>
    <bk>
      <rc t="2" v="2178"/>
    </bk>
    <bk>
      <rc t="2" v="2179"/>
    </bk>
    <bk>
      <rc t="2" v="2180"/>
    </bk>
    <bk>
      <rc t="2" v="2181"/>
    </bk>
    <bk>
      <rc t="2" v="2182"/>
    </bk>
    <bk>
      <rc t="2" v="2183"/>
    </bk>
    <bk>
      <rc t="2" v="2184"/>
    </bk>
    <bk>
      <rc t="2" v="2185"/>
    </bk>
    <bk>
      <rc t="2" v="2186"/>
    </bk>
    <bk>
      <rc t="2" v="2187"/>
    </bk>
    <bk>
      <rc t="2" v="2188"/>
    </bk>
    <bk>
      <rc t="2" v="2189"/>
    </bk>
    <bk>
      <rc t="2" v="2190"/>
    </bk>
    <bk>
      <rc t="2" v="2191"/>
    </bk>
    <bk>
      <rc t="2" v="2192"/>
    </bk>
    <bk>
      <rc t="2" v="2193"/>
    </bk>
    <bk>
      <rc t="2" v="2194"/>
    </bk>
    <bk>
      <rc t="2" v="2195"/>
    </bk>
    <bk>
      <rc t="2" v="2196"/>
    </bk>
    <bk>
      <rc t="2" v="2197"/>
    </bk>
    <bk>
      <rc t="2" v="2198"/>
    </bk>
    <bk>
      <rc t="2" v="2199"/>
    </bk>
    <bk>
      <rc t="2" v="2200"/>
    </bk>
    <bk>
      <rc t="2" v="2201"/>
    </bk>
    <bk>
      <rc t="2" v="2202"/>
    </bk>
    <bk>
      <rc t="2" v="2203"/>
    </bk>
    <bk>
      <rc t="2" v="2204"/>
    </bk>
    <bk>
      <rc t="2" v="2205"/>
    </bk>
    <bk>
      <rc t="2" v="2206"/>
    </bk>
    <bk>
      <rc t="2" v="2207"/>
    </bk>
    <bk>
      <rc t="2" v="2208"/>
    </bk>
    <bk>
      <rc t="2" v="2209"/>
    </bk>
    <bk>
      <rc t="2" v="2210"/>
    </bk>
    <bk>
      <rc t="2" v="2211"/>
    </bk>
    <bk>
      <rc t="2" v="2212"/>
    </bk>
    <bk>
      <rc t="2" v="2213"/>
    </bk>
    <bk>
      <rc t="2" v="2214"/>
    </bk>
    <bk>
      <rc t="2" v="2215"/>
    </bk>
    <bk>
      <rc t="2" v="2216"/>
    </bk>
    <bk>
      <rc t="2" v="2217"/>
    </bk>
    <bk>
      <rc t="2" v="2218"/>
    </bk>
    <bk>
      <rc t="2" v="2219"/>
    </bk>
    <bk>
      <rc t="2" v="2220"/>
    </bk>
    <bk>
      <rc t="2" v="2221"/>
    </bk>
    <bk>
      <rc t="2" v="2222"/>
    </bk>
    <bk>
      <rc t="2" v="2223"/>
    </bk>
    <bk>
      <rc t="2" v="2224"/>
    </bk>
    <bk>
      <rc t="2" v="2225"/>
    </bk>
    <bk>
      <rc t="2" v="2226"/>
    </bk>
    <bk>
      <rc t="2" v="2227"/>
    </bk>
    <bk>
      <rc t="2" v="2228"/>
    </bk>
    <bk>
      <rc t="2" v="2229"/>
    </bk>
    <bk>
      <rc t="2" v="2230"/>
    </bk>
    <bk>
      <rc t="2" v="2231"/>
    </bk>
    <bk>
      <rc t="2" v="2232"/>
    </bk>
    <bk>
      <rc t="2" v="2233"/>
    </bk>
    <bk>
      <rc t="2" v="2234"/>
    </bk>
    <bk>
      <rc t="2" v="2235"/>
    </bk>
    <bk>
      <rc t="2" v="2236"/>
    </bk>
    <bk>
      <rc t="2" v="2237"/>
    </bk>
    <bk>
      <rc t="2" v="2238"/>
    </bk>
    <bk>
      <rc t="2" v="2239"/>
    </bk>
    <bk>
      <rc t="2" v="2240"/>
    </bk>
    <bk>
      <rc t="2" v="2241"/>
    </bk>
    <bk>
      <rc t="2" v="2242"/>
    </bk>
    <bk>
      <rc t="2" v="2243"/>
    </bk>
    <bk>
      <rc t="2" v="2244"/>
    </bk>
    <bk>
      <rc t="2" v="2245"/>
    </bk>
    <bk>
      <rc t="2" v="2246"/>
    </bk>
    <bk>
      <rc t="2" v="2247"/>
    </bk>
    <bk>
      <rc t="2" v="2248"/>
    </bk>
    <bk>
      <rc t="2" v="2249"/>
    </bk>
    <bk>
      <rc t="2" v="2250"/>
    </bk>
    <bk>
      <rc t="2" v="2251"/>
    </bk>
    <bk>
      <rc t="2" v="2252"/>
    </bk>
    <bk>
      <rc t="2" v="2253"/>
    </bk>
    <bk>
      <rc t="2" v="2254"/>
    </bk>
    <bk>
      <rc t="2" v="2255"/>
    </bk>
    <bk>
      <rc t="2" v="2256"/>
    </bk>
    <bk>
      <rc t="2" v="2257"/>
    </bk>
    <bk>
      <rc t="2" v="2258"/>
    </bk>
    <bk>
      <rc t="2" v="2259"/>
    </bk>
    <bk>
      <rc t="2" v="2260"/>
    </bk>
    <bk>
      <rc t="2" v="2261"/>
    </bk>
    <bk>
      <rc t="2" v="2262"/>
    </bk>
    <bk>
      <rc t="2" v="2263"/>
    </bk>
    <bk>
      <rc t="2" v="2264"/>
    </bk>
    <bk>
      <rc t="2" v="2265"/>
    </bk>
    <bk>
      <rc t="2" v="2266"/>
    </bk>
    <bk>
      <rc t="2" v="2267"/>
    </bk>
    <bk>
      <rc t="2" v="2268"/>
    </bk>
    <bk>
      <rc t="2" v="2269"/>
    </bk>
    <bk>
      <rc t="2" v="2270"/>
    </bk>
    <bk>
      <rc t="2" v="2271"/>
    </bk>
    <bk>
      <rc t="2" v="2272"/>
    </bk>
    <bk>
      <rc t="2" v="2273"/>
    </bk>
    <bk>
      <rc t="2" v="2274"/>
    </bk>
    <bk>
      <rc t="2" v="2275"/>
    </bk>
    <bk>
      <rc t="2" v="2276"/>
    </bk>
    <bk>
      <rc t="2" v="2277"/>
    </bk>
    <bk>
      <rc t="2" v="2278"/>
    </bk>
    <bk>
      <rc t="2" v="2279"/>
    </bk>
    <bk>
      <rc t="2" v="2280"/>
    </bk>
    <bk>
      <rc t="2" v="2281"/>
    </bk>
    <bk>
      <rc t="2" v="2282"/>
    </bk>
    <bk>
      <rc t="2" v="2283"/>
    </bk>
    <bk>
      <rc t="2" v="2284"/>
    </bk>
    <bk>
      <rc t="2" v="2285"/>
    </bk>
    <bk>
      <rc t="2" v="2286"/>
    </bk>
    <bk>
      <rc t="2" v="2287"/>
    </bk>
    <bk>
      <rc t="2" v="2288"/>
    </bk>
    <bk>
      <rc t="2" v="2289"/>
    </bk>
    <bk>
      <rc t="2" v="2290"/>
    </bk>
    <bk>
      <rc t="2" v="2291"/>
    </bk>
    <bk>
      <rc t="2" v="2292"/>
    </bk>
    <bk>
      <rc t="2" v="2293"/>
    </bk>
    <bk>
      <rc t="2" v="2294"/>
    </bk>
    <bk>
      <rc t="2" v="2295"/>
    </bk>
    <bk>
      <rc t="2" v="2296"/>
    </bk>
    <bk>
      <rc t="2" v="2297"/>
    </bk>
    <bk>
      <rc t="2" v="2298"/>
    </bk>
    <bk>
      <rc t="2" v="2299"/>
    </bk>
    <bk>
      <rc t="2" v="2300"/>
    </bk>
    <bk>
      <rc t="2" v="2301"/>
    </bk>
    <bk>
      <rc t="2" v="2302"/>
    </bk>
    <bk>
      <rc t="2" v="2303"/>
    </bk>
    <bk>
      <rc t="2" v="2304"/>
    </bk>
    <bk>
      <rc t="2" v="2305"/>
    </bk>
    <bk>
      <rc t="2" v="2306"/>
    </bk>
    <bk>
      <rc t="2" v="2307"/>
    </bk>
    <bk>
      <rc t="2" v="2308"/>
    </bk>
    <bk>
      <rc t="2" v="2309"/>
    </bk>
    <bk>
      <rc t="2" v="2310"/>
    </bk>
    <bk>
      <rc t="2" v="2311"/>
    </bk>
    <bk>
      <rc t="2" v="2312"/>
    </bk>
    <bk>
      <rc t="2" v="2313"/>
    </bk>
    <bk>
      <rc t="2" v="2314"/>
    </bk>
    <bk>
      <rc t="2" v="2315"/>
    </bk>
    <bk>
      <rc t="2" v="2316"/>
    </bk>
    <bk>
      <rc t="2" v="2317"/>
    </bk>
    <bk>
      <rc t="2" v="2318"/>
    </bk>
    <bk>
      <rc t="2" v="2319"/>
    </bk>
    <bk>
      <rc t="2" v="2320"/>
    </bk>
    <bk>
      <rc t="2" v="2321"/>
    </bk>
    <bk>
      <rc t="2" v="2322"/>
    </bk>
    <bk>
      <rc t="2" v="2323"/>
    </bk>
    <bk>
      <rc t="2" v="2324"/>
    </bk>
    <bk>
      <rc t="2" v="2325"/>
    </bk>
    <bk>
      <rc t="2" v="2326"/>
    </bk>
    <bk>
      <rc t="2" v="2327"/>
    </bk>
    <bk>
      <rc t="2" v="2328"/>
    </bk>
    <bk>
      <rc t="2" v="2329"/>
    </bk>
    <bk>
      <rc t="2" v="2330"/>
    </bk>
    <bk>
      <rc t="2" v="2331"/>
    </bk>
    <bk>
      <rc t="2" v="2332"/>
    </bk>
    <bk>
      <rc t="2" v="2333"/>
    </bk>
    <bk>
      <rc t="2" v="2334"/>
    </bk>
    <bk>
      <rc t="2" v="2335"/>
    </bk>
    <bk>
      <rc t="2" v="2336"/>
    </bk>
    <bk>
      <rc t="2" v="2337"/>
    </bk>
    <bk>
      <rc t="2" v="2338"/>
    </bk>
    <bk>
      <rc t="2" v="2339"/>
    </bk>
    <bk>
      <rc t="2" v="2340"/>
    </bk>
    <bk>
      <rc t="2" v="2341"/>
    </bk>
    <bk>
      <rc t="2" v="2342"/>
    </bk>
    <bk>
      <rc t="2" v="2343"/>
    </bk>
    <bk>
      <rc t="2" v="2344"/>
    </bk>
    <bk>
      <rc t="2" v="2345"/>
    </bk>
    <bk>
      <rc t="2" v="2346"/>
    </bk>
    <bk>
      <rc t="2" v="2347"/>
    </bk>
    <bk>
      <rc t="2" v="2348"/>
    </bk>
    <bk>
      <rc t="2" v="2349"/>
    </bk>
    <bk>
      <rc t="2" v="2350"/>
    </bk>
    <bk>
      <rc t="2" v="2351"/>
    </bk>
    <bk>
      <rc t="2" v="2352"/>
    </bk>
    <bk>
      <rc t="2" v="2353"/>
    </bk>
    <bk>
      <rc t="2" v="2354"/>
    </bk>
    <bk>
      <rc t="2" v="2355"/>
    </bk>
    <bk>
      <rc t="2" v="2356"/>
    </bk>
    <bk>
      <rc t="2" v="2357"/>
    </bk>
    <bk>
      <rc t="2" v="2358"/>
    </bk>
    <bk>
      <rc t="2" v="2359"/>
    </bk>
    <bk>
      <rc t="2" v="2360"/>
    </bk>
    <bk>
      <rc t="2" v="2361"/>
    </bk>
    <bk>
      <rc t="2" v="2362"/>
    </bk>
    <bk>
      <rc t="2" v="2363"/>
    </bk>
    <bk>
      <rc t="2" v="2364"/>
    </bk>
    <bk>
      <rc t="2" v="2365"/>
    </bk>
    <bk>
      <rc t="2" v="2366"/>
    </bk>
    <bk>
      <rc t="2" v="2367"/>
    </bk>
    <bk>
      <rc t="2" v="2368"/>
    </bk>
    <bk>
      <rc t="2" v="2369"/>
    </bk>
    <bk>
      <rc t="2" v="2370"/>
    </bk>
    <bk>
      <rc t="2" v="2371"/>
    </bk>
    <bk>
      <rc t="2" v="2372"/>
    </bk>
  </valueMetadata>
</metadata>
</file>

<file path=xl/sharedStrings.xml><?xml version="1.0" encoding="utf-8"?>
<sst xmlns="http://schemas.openxmlformats.org/spreadsheetml/2006/main" count="583" uniqueCount="424">
  <si>
    <t>BestBuy Inc.</t>
  </si>
  <si>
    <t>Discounted Cash Flow Model</t>
  </si>
  <si>
    <t>Computing</t>
  </si>
  <si>
    <t>Consumer electronics</t>
  </si>
  <si>
    <t>% Change</t>
  </si>
  <si>
    <t>Appliances</t>
  </si>
  <si>
    <t>Entertainment</t>
  </si>
  <si>
    <t>% Growth</t>
  </si>
  <si>
    <t>Secular Growth</t>
  </si>
  <si>
    <t>Decline from retail channel share eorsion</t>
  </si>
  <si>
    <t>Services</t>
  </si>
  <si>
    <t>% of Merchandise Revenue</t>
  </si>
  <si>
    <t>Change</t>
  </si>
  <si>
    <t>Other</t>
  </si>
  <si>
    <t>Growth</t>
  </si>
  <si>
    <t>Marketplace</t>
  </si>
  <si>
    <t>Incremental Marketplace Ad Revenue</t>
  </si>
  <si>
    <t>Total Revenue (ex-Ads)</t>
  </si>
  <si>
    <t>Computing Segment Build</t>
  </si>
  <si>
    <t>Value of PCs Sold in the US ($MM)</t>
  </si>
  <si>
    <t>Shipments (MM units)</t>
  </si>
  <si>
    <t>https://www-statista-com.proxy.library.vanderbilt.edu/statistics/203759/average-selling-price-of-desktop-pcs-worldwide/</t>
  </si>
  <si>
    <t>ASP</t>
  </si>
  <si>
    <t>https://www-statista-com.proxy.library.vanderbilt.edu/statistics/722992/worldwide-personal-computers-average-selling-price/?srsltid=AfmBOoqIo-HUKJeFogpWurajrjpBBY7aY7Wqv1Vd5-8ff6y9bJsQmVt1</t>
  </si>
  <si>
    <t>Overall AI PC Penetration Rate</t>
  </si>
  <si>
    <t>Gartner,Canalys</t>
  </si>
  <si>
    <t>AI PC Price Premium</t>
  </si>
  <si>
    <t>Canalys, Gartner</t>
  </si>
  <si>
    <t>Secular Increase</t>
  </si>
  <si>
    <t>CAGR of total sales / units between 2018 &amp; 2025: https://www-statista-com.proxy.library.vanderbilt.edu/outlook/cmo/consumer-electronics/north-america</t>
  </si>
  <si>
    <t>Structural Level of PC Sales</t>
  </si>
  <si>
    <t>Average sales during normal years (i.e. without upgrade years), incremented by 10Y average ASP increase (shipments flat as during the past 10 years but ASPs rising with inflation)</t>
  </si>
  <si>
    <t>Market Share</t>
  </si>
  <si>
    <t>Structural Market Share</t>
  </si>
  <si>
    <t>Upgrade Wallet Share</t>
  </si>
  <si>
    <t>Cumulative COVID-related increase over structural (FY '18 - FY '20)</t>
  </si>
  <si>
    <t>Cumulative Market Sales Increase (Total Upgrade Wallet)</t>
  </si>
  <si>
    <t>Marketplace Build</t>
  </si>
  <si>
    <t>Total Electronics E-Commerce Channel GMV (United States)</t>
  </si>
  <si>
    <t xml:space="preserve">Low Ticket Electronics E-Commerce Market </t>
  </si>
  <si>
    <t xml:space="preserve"> </t>
  </si>
  <si>
    <t>https://www-statista-com.proxy.library.vanderbilt.edu/outlook/cmo/consumer-electronics/north-america</t>
  </si>
  <si>
    <t>Low Ticket Share of Purchases</t>
  </si>
  <si>
    <t>https://www.numerator.com/resources/blog/electronics-price-sensitivity/</t>
  </si>
  <si>
    <t>Electronics E-Commerce Growth Rate</t>
  </si>
  <si>
    <t>average of: https://finance.yahoo.com/news/ecommerce-electronics-industry-forecast-report-104800486.html?guccounter=1&amp;guce_referrer=aHR0cHM6Ly93d3cuZ29vZ2xlLmNvbS8&amp;guce_referrer_sig=AQAAAIgTBijwASajYLb9dvKTvftXHK_EKupOJAQebj-QZvulb7GZEedTH_SWF1BfPtfzh94iAe9-Z2mQBbROkJ9OhYRKMszVBB5o_I-im9gm2vqO8agDksa8BKY_I3FK7M4r1TsTNLZPMxEfhXggLVE0ua-BmgUPREx6ueJRWEzhihTz, https://www-statista-com.proxy.library.vanderbilt.edu/outlook/cmo/consumer-electronics/north-america (product of (online channel share in 2030/Y2024 share) * (total electronics market value in 2030/Y2024) taken to the sixth root)</t>
  </si>
  <si>
    <t>Penetration Rate</t>
  </si>
  <si>
    <t>Online Revenue FY'25</t>
  </si>
  <si>
    <t>High-End Tech E-Commerce CY '24</t>
  </si>
  <si>
    <t>High-End Tech E-Commerce Market Share</t>
  </si>
  <si>
    <t>Incremental GMV</t>
  </si>
  <si>
    <t>Average Take Rate</t>
  </si>
  <si>
    <t>https://sell.amazon.com/pricing#referral-fees newegg</t>
  </si>
  <si>
    <t>Marketplace Revenue</t>
  </si>
  <si>
    <t>Incremental Ad Rev Build</t>
  </si>
  <si>
    <t>Average Retail Media Network GMV Ad Monetization Rate</t>
  </si>
  <si>
    <t>Amazon Ad Rev / GMV</t>
  </si>
  <si>
    <t>Walmart Ad Rev / GMV</t>
  </si>
  <si>
    <t>Etsy Ad Rev / GMV</t>
  </si>
  <si>
    <t>BBY Ad Premium</t>
  </si>
  <si>
    <t>Online Revenue (CY 2022-2023)</t>
  </si>
  <si>
    <t>Number of Online Customer (in MM)</t>
  </si>
  <si>
    <t>ARPU</t>
  </si>
  <si>
    <t>Industry ARPU (weighted average)</t>
  </si>
  <si>
    <t>Wt average of categories in: https://www-statista-com.proxy.library.vanderbilt.edu/outlook/cmo/consumer-electronics/north-america</t>
  </si>
  <si>
    <t xml:space="preserve">Marketplace Ad Spend Rate </t>
  </si>
  <si>
    <t>Incremental Ad Revenue from Marketplace</t>
  </si>
  <si>
    <t>Marketplace ad margin</t>
  </si>
  <si>
    <t>Wt average of: theretailexec.com/retail-operations/retail-media-networks (high-end at 70% to adjust for BBY's scale vs mid-sized retail ad networks), Walmart (midpoint at 80%--https://www.moloco.com/blog/commerce-media-how-ad-profits-fuel-ecommerce-growth), Amazon (70%--https://www.marketwatch.com/story/amazons-crown-jewel-is-this-business-that-doesnt-get-nearly-enough-attention-d76a627d)</t>
  </si>
  <si>
    <t>Total Sales Value ($B)</t>
  </si>
  <si>
    <t>Drones</t>
  </si>
  <si>
    <t>Gaming Equipment</t>
  </si>
  <si>
    <t>TV Peripheral Devices</t>
  </si>
  <si>
    <t>TV, Radio &amp; Multimedia</t>
  </si>
  <si>
    <t>Useful Life Model</t>
  </si>
  <si>
    <t>Disclosed Capex by Function</t>
  </si>
  <si>
    <t>Store-related improvements</t>
  </si>
  <si>
    <t>Supply chain</t>
  </si>
  <si>
    <t>E-commece &amp; IT</t>
  </si>
  <si>
    <t>Count</t>
  </si>
  <si>
    <t>Useful Lives--Best Guess</t>
  </si>
  <si>
    <t>Stores</t>
  </si>
  <si>
    <t>Supply Chain</t>
  </si>
  <si>
    <t>Software</t>
  </si>
  <si>
    <t>Output</t>
  </si>
  <si>
    <t>Predicted total depreciation--stores</t>
  </si>
  <si>
    <t>Predicted total depreciation--supply chain</t>
  </si>
  <si>
    <t>Predicted total depreciation--e-commerce</t>
  </si>
  <si>
    <t>Predicted total depreciation</t>
  </si>
  <si>
    <t>% Error</t>
  </si>
  <si>
    <t>SG&amp;A Model</t>
  </si>
  <si>
    <t>SG&amp;A Breakdown</t>
  </si>
  <si>
    <t>Depreciation</t>
  </si>
  <si>
    <t>SG&amp;A</t>
  </si>
  <si>
    <t>SG&amp;A ex-Dep</t>
  </si>
  <si>
    <t>Revenue</t>
  </si>
  <si>
    <t>Predicted Total SG&amp;A</t>
  </si>
  <si>
    <t>% Deviation</t>
  </si>
  <si>
    <t>Fixed SG&amp;A</t>
  </si>
  <si>
    <t>Fixed SG&amp;A / Store</t>
  </si>
  <si>
    <t>Variable SG&amp;A</t>
  </si>
  <si>
    <t>Variable SG&amp;A % of Revenue</t>
  </si>
  <si>
    <t>Historical Results</t>
  </si>
  <si>
    <t xml:space="preserve"> Forecast Period</t>
  </si>
  <si>
    <t>Balance Sheet Check</t>
  </si>
  <si>
    <t>Assumptions</t>
  </si>
  <si>
    <t>Revenue Growth</t>
  </si>
  <si>
    <t>Cost of Goods Sold (% of Revenue)</t>
  </si>
  <si>
    <t>Fixed SG&amp;A Per Store ($MM)</t>
  </si>
  <si>
    <t>Ads OM</t>
  </si>
  <si>
    <t>Software Useful Life (Years)</t>
  </si>
  <si>
    <t>Stores Useful Life (Years)</t>
  </si>
  <si>
    <t>Supply Chain Useful Life (Years)</t>
  </si>
  <si>
    <t>Amortization Expense ($MM)</t>
  </si>
  <si>
    <t>Interest (% of Debt)</t>
  </si>
  <si>
    <t>Tax Rate (% of Earnings Before Tax)</t>
  </si>
  <si>
    <t>Accounts Receivable (Days)</t>
  </si>
  <si>
    <t>Inventory (Days)</t>
  </si>
  <si>
    <t>Accounts Payable (Days)</t>
  </si>
  <si>
    <t>Debt Issuance (Repayment) ($MM)</t>
  </si>
  <si>
    <t>Buybacks (% of FCF)</t>
  </si>
  <si>
    <t>Deferred Revenue % of Other</t>
  </si>
  <si>
    <t>Stock-based compensation % of fixed SG&amp;A</t>
  </si>
  <si>
    <t>Equity Repurchase (Issuance) $MM</t>
  </si>
  <si>
    <t>Shares Repurchased</t>
  </si>
  <si>
    <t>Buyback P/E</t>
  </si>
  <si>
    <t>Net Dilution from Equity Comp</t>
  </si>
  <si>
    <t>Days in Period</t>
  </si>
  <si>
    <t>Income Statement</t>
  </si>
  <si>
    <t>Total Revenue</t>
  </si>
  <si>
    <t>Revenue (ex-Ads)</t>
  </si>
  <si>
    <t>Marketplace Ads Revenue</t>
  </si>
  <si>
    <t>Cost of Goods Sold (COGS)</t>
  </si>
  <si>
    <t>Gross Profit</t>
  </si>
  <si>
    <t>Operating Expenses</t>
  </si>
  <si>
    <t>Selling, general &amp; administrative expenses (ex-D&amp;A)</t>
  </si>
  <si>
    <t>Selling, general &amp; administrative expenses (ex-ads business)</t>
  </si>
  <si>
    <t>Selling, general &amp; administrative expenses (ads business)</t>
  </si>
  <si>
    <t>D&amp;A</t>
  </si>
  <si>
    <t>Restructuring charges</t>
  </si>
  <si>
    <t>Goodwill impairment</t>
  </si>
  <si>
    <t>Operating Income</t>
  </si>
  <si>
    <t>Other Income (Expense)</t>
  </si>
  <si>
    <t>Gain on sale of subsidiary, net</t>
  </si>
  <si>
    <t>Investment income &amp; Other</t>
  </si>
  <si>
    <t>Interest expense</t>
  </si>
  <si>
    <t>Earnings before taxes</t>
  </si>
  <si>
    <t>Taxes</t>
  </si>
  <si>
    <t>Equity in income of affiliates</t>
  </si>
  <si>
    <t>Net Earnings</t>
  </si>
  <si>
    <t>Weighted-Average Diluted Common Shares Outstanding (MM)</t>
  </si>
  <si>
    <t>Net Shares Acquired</t>
  </si>
  <si>
    <t>Diluted EPS</t>
  </si>
  <si>
    <t>Balance Sheet</t>
  </si>
  <si>
    <t>Assets</t>
  </si>
  <si>
    <t>Current Assets</t>
  </si>
  <si>
    <t>Cash</t>
  </si>
  <si>
    <t>Accounts receivable</t>
  </si>
  <si>
    <t>Inventory</t>
  </si>
  <si>
    <t>Other current assets</t>
  </si>
  <si>
    <t>Total Current Assets</t>
  </si>
  <si>
    <t>Net Property &amp; Equipment</t>
  </si>
  <si>
    <t>Operating lease assets</t>
  </si>
  <si>
    <t>Goodwill</t>
  </si>
  <si>
    <t>Other assets</t>
  </si>
  <si>
    <t>Total Assets</t>
  </si>
  <si>
    <t>Liabilities</t>
  </si>
  <si>
    <t>Current Liabilities</t>
  </si>
  <si>
    <t>Accounts payable</t>
  </si>
  <si>
    <t>Unredeemed gift card liabilities</t>
  </si>
  <si>
    <t>Deferred revenue</t>
  </si>
  <si>
    <t>Accrued compensation &amp; related liabilities</t>
  </si>
  <si>
    <t>Accrued liabilities</t>
  </si>
  <si>
    <t>Short-term debt</t>
  </si>
  <si>
    <t>Current portion of operating lease liabilities</t>
  </si>
  <si>
    <t>Current portion of long-term debt</t>
  </si>
  <si>
    <t>Total Current Liabilities</t>
  </si>
  <si>
    <t>Long-term operating lease liabilties</t>
  </si>
  <si>
    <t>Long-term debt</t>
  </si>
  <si>
    <t>Long-term liabilities</t>
  </si>
  <si>
    <t>Total Liabilities</t>
  </si>
  <si>
    <t>Shareholder's Equity</t>
  </si>
  <si>
    <t>Equity capital</t>
  </si>
  <si>
    <t>Retained earnings</t>
  </si>
  <si>
    <t>APIC</t>
  </si>
  <si>
    <t>Accumulated OCI</t>
  </si>
  <si>
    <t>Total Liabilities &amp; Shareholder's Equity</t>
  </si>
  <si>
    <t>Check</t>
  </si>
  <si>
    <t>Cash Flow Statement</t>
  </si>
  <si>
    <t>Operating Cash Flow</t>
  </si>
  <si>
    <t>Net earnings</t>
  </si>
  <si>
    <t>Depreciation &amp; amortization</t>
  </si>
  <si>
    <t>Stock-based compensation</t>
  </si>
  <si>
    <t>Deferred income taxes</t>
  </si>
  <si>
    <t>Other, net</t>
  </si>
  <si>
    <t>Changes in operating assets &amp; liabilities</t>
  </si>
  <si>
    <t>Income taxes</t>
  </si>
  <si>
    <t>Other liabilities</t>
  </si>
  <si>
    <t>Cash from Operations</t>
  </si>
  <si>
    <t>Investing Cash Flow</t>
  </si>
  <si>
    <t>Capital expenditures</t>
  </si>
  <si>
    <t>Purchases of investments</t>
  </si>
  <si>
    <t>Net proceeds from sale of subsidiary</t>
  </si>
  <si>
    <t>Sale of investments</t>
  </si>
  <si>
    <t>Cash from Investing</t>
  </si>
  <si>
    <t>Financing Cash Flow</t>
  </si>
  <si>
    <t>Net issuance of common stock</t>
  </si>
  <si>
    <t>Dividends paid</t>
  </si>
  <si>
    <t>Net debt issued</t>
  </si>
  <si>
    <t>Cash from Financing</t>
  </si>
  <si>
    <t>Net Increase (decrease) in Cash</t>
  </si>
  <si>
    <t>Supporting Schedules</t>
  </si>
  <si>
    <t>Working Capital Schedule</t>
  </si>
  <si>
    <t>Accounts Receivable</t>
  </si>
  <si>
    <t>Accounts Payable</t>
  </si>
  <si>
    <t>Deferred Revenue</t>
  </si>
  <si>
    <t>Net Working Capital (NWC)</t>
  </si>
  <si>
    <t>(Increase)/Decrease in NWC</t>
  </si>
  <si>
    <t>Capex: E-Commerce &amp; IT Investment</t>
  </si>
  <si>
    <t>Online Revenue</t>
  </si>
  <si>
    <t>IT E-Commerce &amp; IT Capex % of Online Revenue</t>
  </si>
  <si>
    <t>E-commerce &amp; IT Capex</t>
  </si>
  <si>
    <t>E-commerce &amp; IT Depreciation</t>
  </si>
  <si>
    <t>Capex: Store Maintenance &amp; Improvements</t>
  </si>
  <si>
    <t>Number of Stores</t>
  </si>
  <si>
    <t>Capex Per Store</t>
  </si>
  <si>
    <t>Store-Related Capex</t>
  </si>
  <si>
    <t>Store-Related Depreciation</t>
  </si>
  <si>
    <t>Capex: Supply Chain</t>
  </si>
  <si>
    <t>Merchandise Revenue</t>
  </si>
  <si>
    <t>Supply Chain Capex % of Merch Revenue</t>
  </si>
  <si>
    <t>Supply Chain Capex</t>
  </si>
  <si>
    <t>Supply Chain Depreciation</t>
  </si>
  <si>
    <t>Services Revenue</t>
  </si>
  <si>
    <t>Deferred Revenue % of Services</t>
  </si>
  <si>
    <t>Debt &amp; Interest Schedule</t>
  </si>
  <si>
    <t>Debt Opening</t>
  </si>
  <si>
    <t>Issuance (repayment)</t>
  </si>
  <si>
    <t>Debt Closing</t>
  </si>
  <si>
    <t>Interest Expense</t>
  </si>
  <si>
    <t>Mid-Year Convention</t>
  </si>
  <si>
    <t>Yes</t>
  </si>
  <si>
    <t>YoY Growth</t>
  </si>
  <si>
    <t>N/A</t>
  </si>
  <si>
    <t>% Margin</t>
  </si>
  <si>
    <t>EBITDA</t>
  </si>
  <si>
    <t>Depreciation &amp; Amortization</t>
  </si>
  <si>
    <t>EBIT</t>
  </si>
  <si>
    <t>NOPLAT</t>
  </si>
  <si>
    <t>Capital Expenditures</t>
  </si>
  <si>
    <t>Change in Net Working Capital</t>
  </si>
  <si>
    <t>Free Cashflow</t>
  </si>
  <si>
    <t>Period</t>
  </si>
  <si>
    <t>Discount Factor</t>
  </si>
  <si>
    <t>PV of Free Cashflow</t>
  </si>
  <si>
    <t>Consensus Adjusted EBITDA</t>
  </si>
  <si>
    <t>Consensus Free Cashflow</t>
  </si>
  <si>
    <t>PV of Consensus FCF</t>
  </si>
  <si>
    <t>Current EV</t>
  </si>
  <si>
    <t>Implied Consensus Exit EBITDA Multiple</t>
  </si>
  <si>
    <t>Perpetuity Growth Rate Method</t>
  </si>
  <si>
    <t>Final Year FCF</t>
  </si>
  <si>
    <t>WACC</t>
  </si>
  <si>
    <t>Long-Term Growth Rate</t>
  </si>
  <si>
    <t>Terminal Value</t>
  </si>
  <si>
    <t>Present Value of Terminal Value</t>
  </si>
  <si>
    <t>Enterprise Value</t>
  </si>
  <si>
    <t>Net Debt</t>
  </si>
  <si>
    <t>Equity Value</t>
  </si>
  <si>
    <t>Diluted Shares Outstanding</t>
  </si>
  <si>
    <t>Implied Share Price</t>
  </si>
  <si>
    <t>Share Price as of Nov. 26, 2025</t>
  </si>
  <si>
    <t>Upside (Downside)</t>
  </si>
  <si>
    <t>Exit Multiple Method</t>
  </si>
  <si>
    <t>Exit EBITDA Multiple</t>
  </si>
  <si>
    <t>Average Implied Share Price</t>
  </si>
  <si>
    <t>Average Implied Enterprise Value</t>
  </si>
  <si>
    <t>Exit Multiple</t>
  </si>
  <si>
    <t>Long-Term Rate</t>
  </si>
  <si>
    <t>LTM</t>
  </si>
  <si>
    <t>CAGR</t>
  </si>
  <si>
    <t>Earnings</t>
  </si>
  <si>
    <t>`</t>
  </si>
  <si>
    <t>Dividends</t>
  </si>
  <si>
    <t>Company</t>
  </si>
  <si>
    <t>Ticker</t>
  </si>
  <si>
    <t>EV / EBITDA</t>
  </si>
  <si>
    <t>EV / EBIT</t>
  </si>
  <si>
    <t>P/E</t>
  </si>
  <si>
    <t>BBY - As of Nov. 1, 2025</t>
  </si>
  <si>
    <t>Notes</t>
  </si>
  <si>
    <t>Data from S&amp;P Capital IQ</t>
  </si>
  <si>
    <t>Walmart</t>
  </si>
  <si>
    <t>WMT</t>
  </si>
  <si>
    <t>LTM EBTIDA</t>
  </si>
  <si>
    <t>Target</t>
  </si>
  <si>
    <t>TGT</t>
  </si>
  <si>
    <t>LTM EBIT</t>
  </si>
  <si>
    <t>Tractor Supply Company</t>
  </si>
  <si>
    <t>TSCO</t>
  </si>
  <si>
    <t>LTM EPS</t>
  </si>
  <si>
    <t>Home Depot</t>
  </si>
  <si>
    <t>HD</t>
  </si>
  <si>
    <t>Lowe’s</t>
  </si>
  <si>
    <t>LOW</t>
  </si>
  <si>
    <t>Dick’s Sporting Goods</t>
  </si>
  <si>
    <t>DKS</t>
  </si>
  <si>
    <t>Academy Sports</t>
  </si>
  <si>
    <t>ASO</t>
  </si>
  <si>
    <t>Bath &amp; Body Works</t>
  </si>
  <si>
    <t>BBWI</t>
  </si>
  <si>
    <t>Best Buy</t>
  </si>
  <si>
    <t>BBY</t>
  </si>
  <si>
    <t>Average</t>
  </si>
  <si>
    <t>Median</t>
  </si>
  <si>
    <t>Implied Values</t>
  </si>
  <si>
    <t>Implied Upside (Downside)</t>
  </si>
  <si>
    <t>Share Price Range</t>
  </si>
  <si>
    <t>Enterprise Value Range</t>
  </si>
  <si>
    <t>Low</t>
  </si>
  <si>
    <t>High</t>
  </si>
  <si>
    <t>Implied</t>
  </si>
  <si>
    <t>Start</t>
  </si>
  <si>
    <t>Diff</t>
  </si>
  <si>
    <t>Implied Multiples</t>
  </si>
  <si>
    <t>Intrinsic Value</t>
  </si>
  <si>
    <t>Perpetuity</t>
  </si>
  <si>
    <t>Trading Multiples</t>
  </si>
  <si>
    <t>EV/EBITDA</t>
  </si>
  <si>
    <t>EV/EBIT</t>
  </si>
  <si>
    <t>FCF</t>
  </si>
  <si>
    <t>Sum of FCF</t>
  </si>
  <si>
    <t>52 Week Range</t>
  </si>
  <si>
    <t>PV TV High</t>
  </si>
  <si>
    <t>Bounds</t>
  </si>
  <si>
    <t>PV TV Low</t>
  </si>
  <si>
    <t>Disc Factor</t>
  </si>
  <si>
    <t>TV High</t>
  </si>
  <si>
    <t>TV Low</t>
  </si>
  <si>
    <t>General Assumptions</t>
  </si>
  <si>
    <t>r_f</t>
  </si>
  <si>
    <t>Rating</t>
  </si>
  <si>
    <t>BBB</t>
  </si>
  <si>
    <t>k_d</t>
  </si>
  <si>
    <t>beta</t>
  </si>
  <si>
    <t>k_e</t>
  </si>
  <si>
    <t>Target D/V</t>
  </si>
  <si>
    <t>k_u</t>
  </si>
  <si>
    <t>k_BC</t>
  </si>
  <si>
    <t>Probability of bankruptcy</t>
  </si>
  <si>
    <t>Proportion lost in bankruptcy</t>
  </si>
  <si>
    <t>Long-term growth rate</t>
  </si>
  <si>
    <t>Marginal tax rate</t>
  </si>
  <si>
    <t>Units</t>
  </si>
  <si>
    <t>000s</t>
  </si>
  <si>
    <t>Current Market Cap of Equity</t>
  </si>
  <si>
    <t>Current Market Price of Debt</t>
  </si>
  <si>
    <t>% of Revenue Need in Cash to Run Firm</t>
  </si>
  <si>
    <t>IPO Year</t>
  </si>
  <si>
    <t>Annualized Volatility over last 12 month</t>
  </si>
  <si>
    <t>Number shares outstanding - diluted</t>
  </si>
  <si>
    <t>Cyclical Growth</t>
  </si>
  <si>
    <t>extrapolate '18-'25 growth (represenative of a full cycle): https://my-ibisworld-com.proxy.library.vanderbilt.edu/us/en/industry-specialized/OD6589/performance</t>
  </si>
  <si>
    <t>extrapolate '24-'27 decline: https://www.news.market.us/gaming-console-statistics/</t>
  </si>
  <si>
    <t>The overlapping release of GTA V &amp; PS4 led to an 8% increase in the annual growth of the gaming industry between 2012 and 2014 over the average of the previous 5 years; the boost directly attributable to the PS5 release in 2020 is obscured by lockdown-driven entertainment spending pull forward to be used as a driver: https://www.visualcapitalist.com/video-game-industry-revenue-over-time#:~:text=Video%20Game%20Revenues%20Double%20in%20the%202010s</t>
  </si>
  <si>
    <t>Decline from retail channel share erosion</t>
  </si>
  <si>
    <t>Consensus Implied Value of TV at Exit</t>
  </si>
  <si>
    <t>Consensus Implied PV of Terminal Value</t>
  </si>
  <si>
    <t>Shares Issued</t>
  </si>
  <si>
    <t>extrapolate '24 to '27 decline: https://www.news.market.us/consumer-electronics-statistics/</t>
  </si>
  <si>
    <t>Online Rev % of Total</t>
  </si>
  <si>
    <t>extrapolate '18-'25 decline (represenative of a full cycle): https://my-ibisworld-com.proxy.library.vanderbilt.edu/us/en/industry-specialized/OD6586/products-and-markets</t>
  </si>
  <si>
    <t>Consumer Electronics</t>
  </si>
  <si>
    <t>Marketplace Ads</t>
  </si>
  <si>
    <t>Retail Channel Share Eorsion</t>
  </si>
  <si>
    <t>AI PC Penetration Rate</t>
  </si>
  <si>
    <t>AI PC Premium</t>
  </si>
  <si>
    <t>Structural US PC Sales</t>
  </si>
  <si>
    <t>E-Commerce Growth Rate</t>
  </si>
  <si>
    <t xml:space="preserve">Total US Electronics E-Commerce GMV </t>
  </si>
  <si>
    <t>consensus estimate until 2028, carried forward thereafter</t>
  </si>
  <si>
    <t>Implied Multiple</t>
  </si>
  <si>
    <t>Term Year EBITDA</t>
  </si>
  <si>
    <t>R_f</t>
  </si>
  <si>
    <t>Bond Rating</t>
  </si>
  <si>
    <t>V_D/(V_D + V_E)</t>
  </si>
  <si>
    <t>t_c</t>
  </si>
  <si>
    <t>R_m - R_f</t>
  </si>
  <si>
    <t>Beta_raw</t>
  </si>
  <si>
    <t>Beta_smoothed</t>
  </si>
  <si>
    <t>Risk Free Rate</t>
  </si>
  <si>
    <t>Credit Rating</t>
  </si>
  <si>
    <t>Cost of Debt</t>
  </si>
  <si>
    <t>Tax Rate</t>
  </si>
  <si>
    <t>Beta</t>
  </si>
  <si>
    <t>MRP</t>
  </si>
  <si>
    <t>Cost of Equity</t>
  </si>
  <si>
    <t>Market Return</t>
  </si>
  <si>
    <t>Weighted Average Cost of Capital</t>
  </si>
  <si>
    <t>Weight of Debt</t>
  </si>
  <si>
    <t>Weight of Equity</t>
  </si>
  <si>
    <t>YoY %</t>
  </si>
  <si>
    <t>% margin</t>
  </si>
  <si>
    <t>EPS</t>
  </si>
  <si>
    <t>Shares</t>
  </si>
  <si>
    <t>Market Cap (MM)</t>
  </si>
  <si>
    <t>LTM EV/EBITDA</t>
  </si>
  <si>
    <t>Avg. Daily Vol. (000s)</t>
  </si>
  <si>
    <t>Shares Outstanding (MM)</t>
  </si>
  <si>
    <t>Perpetuity Growth Rate</t>
  </si>
  <si>
    <t>Perpetuity Method</t>
  </si>
  <si>
    <t>Share Price</t>
  </si>
  <si>
    <t>Multiple Method</t>
  </si>
  <si>
    <t>Terminal  EV/EBITDA</t>
  </si>
  <si>
    <t>Bear ($MM)</t>
  </si>
  <si>
    <t>% In-Person</t>
  </si>
  <si>
    <t>% Online</t>
  </si>
  <si>
    <t>COST</t>
  </si>
  <si>
    <t>ODP</t>
  </si>
  <si>
    <t>GME</t>
  </si>
  <si>
    <t>TJX</t>
  </si>
  <si>
    <t>CVS</t>
  </si>
  <si>
    <t>DG</t>
  </si>
  <si>
    <t>DLTR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</si>
</sst>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5" formatCode="&quot;$&quot;#,##0_);\(&quot;$&quot;#,##0\)"/>
    <numFmt numFmtId="7" formatCode="&quot;$&quot;#,##0.00_);\(&quot;$&quot;#,##0.00\)"/>
    <numFmt numFmtId="41" formatCode="_(* #,##0_);_(* \(#,##0\);_(* &quot;-&quot;_);_(@_)"/>
    <numFmt numFmtId="43" formatCode="_(* #,##0.00_);_(* \(#,##0.00\);_(* &quot;-&quot;??_);_(@_)"/>
    <numFmt numFmtId="164" formatCode="_-* #,##0_-;\(#,##0\)_-;_-* &quot;-&quot;_-;_-@"/>
    <numFmt numFmtId="165" formatCode="0.0%"/>
    <numFmt numFmtId="166" formatCode="_(* #,##0_);_(* \(#,##0\);_(* &quot;-&quot;??_);_(@_)"/>
    <numFmt numFmtId="167" formatCode="_-* #,##0_-;\-* #,##0_-;_-* &quot;-&quot;??_-;_-@"/>
    <numFmt numFmtId="168" formatCode="0.0000_ ;\-0.0000\ "/>
    <numFmt numFmtId="169" formatCode="0.0"/>
    <numFmt numFmtId="170" formatCode="&quot;$&quot;#,##0.00"/>
    <numFmt numFmtId="171" formatCode="0&quot;A&quot;"/>
    <numFmt numFmtId="172" formatCode="0&quot;E&quot;"/>
    <numFmt numFmtId="173" formatCode="#,##0.0_);\(#,##0.0\)"/>
    <numFmt numFmtId="174" formatCode="#,##0.00000000000_);\(#,##0.00000000000\)"/>
    <numFmt numFmtId="175" formatCode="0.0&quot;x&quot;"/>
    <numFmt numFmtId="176" formatCode="&quot;$&quot;#,##0"/>
    <numFmt numFmtId="177" formatCode="0.00%;\(0.00%\)"/>
    <numFmt numFmtId="178" formatCode="0.0\x"/>
    <numFmt numFmtId="179" formatCode="0.00\x"/>
    <numFmt numFmtId="180" formatCode="0\A"/>
    <numFmt numFmtId="181" formatCode="_(* #,##0.0_);_(* \(#,##0.0\);_(* &quot;-&quot;??_);_(@_)"/>
    <numFmt numFmtId="182" formatCode="&quot;WACC: &quot;0.00%"/>
    <numFmt numFmtId="183" formatCode="_([$$-409]* #,##0_);_([$$-409]* \(#,##0\);_([$$-409]* &quot;-&quot;??_);_(@_)"/>
    <numFmt numFmtId="184" formatCode="&quot;Implied Share Price: &quot;"/>
    <numFmt numFmtId="185" formatCode="&quot;Implied Share Price: &quot;\ &quot;$&quot;0.00"/>
  </numFmts>
  <fonts count="6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theme="0"/>
      <name val="Arial Narrow"/>
      <family val="2"/>
    </font>
    <font>
      <b/>
      <sz val="14"/>
      <color theme="0"/>
      <name val="Arial Narrow"/>
      <family val="2"/>
    </font>
    <font>
      <i/>
      <sz val="12"/>
      <color theme="1"/>
      <name val="Arial Narrow"/>
      <family val="2"/>
    </font>
    <font>
      <sz val="12"/>
      <color rgb="FF0000FF"/>
      <name val="Arial Narrow"/>
      <family val="2"/>
    </font>
    <font>
      <b/>
      <sz val="12"/>
      <color theme="1"/>
      <name val="Arial Narrow"/>
      <family val="2"/>
    </font>
    <font>
      <b/>
      <sz val="12"/>
      <color rgb="FF0000FF"/>
      <name val="Arial Narrow"/>
      <family val="2"/>
    </font>
    <font>
      <sz val="11"/>
      <color theme="1"/>
      <name val="Calibri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i/>
      <sz val="10"/>
      <color theme="1"/>
      <name val="Arial Narrow"/>
      <family val="2"/>
    </font>
    <font>
      <b/>
      <sz val="14"/>
      <color theme="1"/>
      <name val="Arial Narrow"/>
      <family val="2"/>
    </font>
    <font>
      <b/>
      <sz val="25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theme="0"/>
      <name val="Open Sans"/>
      <family val="2"/>
    </font>
    <font>
      <i/>
      <sz val="12"/>
      <color rgb="FF0000FF"/>
      <name val="Arial Narrow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2"/>
      <color rgb="FF0000FF"/>
      <name val="Arial"/>
      <family val="2"/>
    </font>
    <font>
      <i/>
      <sz val="11"/>
      <color theme="1"/>
      <name val="Arial"/>
      <family val="2"/>
    </font>
    <font>
      <i/>
      <sz val="12"/>
      <color rgb="FF0000FF"/>
      <name val="Arial"/>
      <family val="2"/>
    </font>
    <font>
      <sz val="12"/>
      <color theme="1"/>
      <name val="Arial"/>
      <family val="2"/>
    </font>
    <font>
      <sz val="35"/>
      <color theme="0"/>
      <name val="Aptos"/>
      <family val="2"/>
    </font>
    <font>
      <sz val="11"/>
      <color theme="0"/>
      <name val="Aptos"/>
      <family val="2"/>
    </font>
    <font>
      <sz val="11"/>
      <color theme="1"/>
      <name val="Aptos"/>
      <family val="2"/>
    </font>
    <font>
      <b/>
      <sz val="25"/>
      <color theme="1"/>
      <name val="Aptos"/>
      <family val="2"/>
    </font>
    <font>
      <sz val="11"/>
      <color rgb="FF0000FF"/>
      <name val="Arial"/>
      <family val="2"/>
    </font>
    <font>
      <u/>
      <sz val="11"/>
      <color theme="10"/>
      <name val="Calibri"/>
      <family val="2"/>
      <scheme val="minor"/>
    </font>
    <font>
      <b/>
      <i/>
      <u/>
      <sz val="11"/>
      <color theme="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5"/>
      <color theme="0"/>
      <name val="Arial Narrow"/>
      <family val="2"/>
    </font>
    <font>
      <sz val="11"/>
      <color theme="1"/>
      <name val="Century Schoolbook"/>
      <family val="1"/>
    </font>
    <font>
      <b/>
      <u/>
      <sz val="11"/>
      <color theme="1"/>
      <name val="Century Schoolbook"/>
      <family val="1"/>
    </font>
    <font>
      <b/>
      <sz val="11"/>
      <color theme="1"/>
      <name val="Century Schoolbook"/>
      <family val="1"/>
    </font>
    <font>
      <sz val="11"/>
      <color rgb="FF0000FF"/>
      <name val="Calibri"/>
      <family val="2"/>
      <scheme val="minor"/>
    </font>
    <font>
      <i/>
      <u/>
      <sz val="12"/>
      <color theme="1"/>
      <name val="Arial Narrow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1"/>
      <color rgb="FF000000"/>
      <name val="Arial"/>
      <family val="2"/>
    </font>
    <font>
      <b/>
      <sz val="25"/>
      <color theme="0"/>
      <name val="Century Schoolbook"/>
      <family val="1"/>
    </font>
    <font>
      <b/>
      <sz val="12"/>
      <color theme="0"/>
      <name val="Century Schoolbook"/>
      <family val="1"/>
    </font>
    <font>
      <b/>
      <sz val="12"/>
      <color theme="1"/>
      <name val="Century Schoolbook"/>
      <family val="1"/>
    </font>
    <font>
      <b/>
      <sz val="14"/>
      <color theme="0"/>
      <name val="Century Schoolbook"/>
      <family val="1"/>
    </font>
    <font>
      <sz val="12"/>
      <color theme="1"/>
      <name val="Century Schoolbook"/>
      <family val="1"/>
    </font>
    <font>
      <b/>
      <u/>
      <sz val="12"/>
      <color theme="1"/>
      <name val="Century Schoolbook"/>
      <family val="1"/>
    </font>
    <font>
      <i/>
      <sz val="12"/>
      <color theme="1"/>
      <name val="Century Schoolbook"/>
      <family val="1"/>
    </font>
    <font>
      <b/>
      <sz val="14"/>
      <color theme="1"/>
      <name val="Century Schoolbook"/>
      <family val="1"/>
    </font>
    <font>
      <b/>
      <sz val="12"/>
      <color rgb="FF0044BF"/>
      <name val="Century Schoolbook"/>
      <family val="1"/>
    </font>
    <font>
      <b/>
      <sz val="12"/>
      <name val="Century Schoolbook"/>
      <family val="1"/>
    </font>
    <font>
      <sz val="12"/>
      <color rgb="FF000000"/>
      <name val="Arial Narrow"/>
      <family val="2"/>
    </font>
    <font>
      <sz val="12"/>
      <color rgb="FF000000"/>
      <name val="Arial Narrow"/>
      <family val="2"/>
    </font>
    <font>
      <sz val="11"/>
      <color theme="1"/>
      <name val="Calibri"/>
      <family val="2"/>
      <scheme val="minor"/>
    </font>
    <font>
      <u/>
      <sz val="11"/>
      <color rgb="FF000000"/>
      <name val="Calibri"/>
      <family val="2"/>
      <scheme val="minor"/>
    </font>
    <font>
      <i/>
      <sz val="11"/>
      <color rgb="FF000000"/>
      <name val="Arial"/>
      <family val="2"/>
    </font>
    <font>
      <sz val="12"/>
      <color rgb="FF0000FF"/>
      <name val="Century Schoolbook"/>
      <family val="1"/>
    </font>
    <font>
      <sz val="11"/>
      <color theme="0"/>
      <name val="Century Schoolbook"/>
      <family val="1"/>
    </font>
    <font>
      <b/>
      <sz val="11"/>
      <color theme="0"/>
      <name val="Century Schoolbook"/>
      <family val="1"/>
    </font>
    <font>
      <b/>
      <u/>
      <sz val="11"/>
      <color theme="0"/>
      <name val="Century Schoolbook"/>
      <family val="1"/>
    </font>
  </fonts>
  <fills count="19">
    <fill>
      <patternFill patternType="none"/>
    </fill>
    <fill>
      <patternFill patternType="gray125"/>
    </fill>
    <fill>
      <patternFill patternType="solid">
        <fgColor rgb="FF000C3F"/>
        <bgColor rgb="FF132E57"/>
      </patternFill>
    </fill>
    <fill>
      <patternFill patternType="solid">
        <fgColor rgb="FF000C3F"/>
        <bgColor indexed="64"/>
      </patternFill>
    </fill>
    <fill>
      <patternFill patternType="solid">
        <fgColor rgb="FFE7F2FF"/>
        <bgColor rgb="FF1E8496"/>
      </patternFill>
    </fill>
    <fill>
      <patternFill patternType="solid">
        <fgColor rgb="FF000C3F"/>
        <bgColor rgb="FF000000"/>
      </patternFill>
    </fill>
    <fill>
      <patternFill patternType="solid">
        <fgColor rgb="FFE7F2FF"/>
        <bgColor rgb="FF132E57"/>
      </patternFill>
    </fill>
    <fill>
      <patternFill patternType="solid">
        <fgColor rgb="FFE7F2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44BF"/>
        <bgColor indexed="64"/>
      </patternFill>
    </fill>
    <fill>
      <patternFill patternType="solid">
        <fgColor rgb="FF0044BF"/>
        <bgColor rgb="FF132E57"/>
      </patternFill>
    </fill>
    <fill>
      <patternFill patternType="solid">
        <fgColor rgb="FFF6F10B"/>
        <bgColor rgb="FF1E8496"/>
      </patternFill>
    </fill>
    <fill>
      <patternFill patternType="solid">
        <fgColor rgb="FFF6F10B"/>
        <bgColor rgb="FF132E57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Dashed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>
      <left/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3" fillId="0" borderId="2"/>
    <xf numFmtId="0" fontId="12" fillId="0" borderId="2" applyNumberFormat="0" applyFill="0" applyBorder="0" applyAlignment="0" applyProtection="0"/>
    <xf numFmtId="0" fontId="13" fillId="0" borderId="2"/>
    <xf numFmtId="0" fontId="12" fillId="0" borderId="2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2"/>
    <xf numFmtId="173" fontId="43" fillId="0" borderId="2"/>
    <xf numFmtId="9" fontId="2" fillId="0" borderId="2" applyFont="0" applyFill="0" applyBorder="0" applyAlignment="0" applyProtection="0"/>
    <xf numFmtId="9" fontId="60" fillId="0" borderId="0" applyFont="0" applyFill="0" applyBorder="0" applyAlignment="0" applyProtection="0"/>
  </cellStyleXfs>
  <cellXfs count="391">
    <xf numFmtId="0" fontId="0" fillId="0" borderId="0" xfId="0"/>
    <xf numFmtId="164" fontId="4" fillId="0" borderId="0" xfId="0" applyNumberFormat="1" applyFont="1"/>
    <xf numFmtId="164" fontId="4" fillId="0" borderId="0" xfId="0" applyNumberFormat="1" applyFont="1" applyAlignment="1">
      <alignment horizontal="center"/>
    </xf>
    <xf numFmtId="164" fontId="8" fillId="0" borderId="0" xfId="0" applyNumberFormat="1" applyFont="1"/>
    <xf numFmtId="164" fontId="9" fillId="0" borderId="0" xfId="0" applyNumberFormat="1" applyFont="1"/>
    <xf numFmtId="164" fontId="4" fillId="0" borderId="1" xfId="0" applyNumberFormat="1" applyFont="1" applyBorder="1"/>
    <xf numFmtId="164" fontId="9" fillId="0" borderId="1" xfId="0" applyNumberFormat="1" applyFont="1" applyBorder="1"/>
    <xf numFmtId="164" fontId="9" fillId="0" borderId="1" xfId="0" applyNumberFormat="1" applyFont="1" applyBorder="1" applyAlignment="1">
      <alignment horizontal="center"/>
    </xf>
    <xf numFmtId="165" fontId="4" fillId="0" borderId="0" xfId="0" applyNumberFormat="1" applyFont="1"/>
    <xf numFmtId="165" fontId="8" fillId="0" borderId="0" xfId="0" applyNumberFormat="1" applyFont="1"/>
    <xf numFmtId="164" fontId="7" fillId="0" borderId="0" xfId="0" applyNumberFormat="1" applyFont="1"/>
    <xf numFmtId="164" fontId="7" fillId="0" borderId="0" xfId="0" applyNumberFormat="1" applyFont="1" applyAlignment="1">
      <alignment horizontal="center"/>
    </xf>
    <xf numFmtId="9" fontId="8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10" fillId="0" borderId="0" xfId="0" applyNumberFormat="1" applyFont="1"/>
    <xf numFmtId="166" fontId="4" fillId="0" borderId="0" xfId="0" applyNumberFormat="1" applyFont="1"/>
    <xf numFmtId="9" fontId="10" fillId="0" borderId="0" xfId="0" applyNumberFormat="1" applyFont="1"/>
    <xf numFmtId="164" fontId="9" fillId="0" borderId="3" xfId="0" applyNumberFormat="1" applyFont="1" applyBorder="1"/>
    <xf numFmtId="164" fontId="9" fillId="0" borderId="3" xfId="0" applyNumberFormat="1" applyFont="1" applyBorder="1" applyAlignment="1">
      <alignment horizontal="center"/>
    </xf>
    <xf numFmtId="0" fontId="11" fillId="0" borderId="0" xfId="0" applyFont="1"/>
    <xf numFmtId="164" fontId="9" fillId="0" borderId="4" xfId="0" applyNumberFormat="1" applyFont="1" applyBorder="1"/>
    <xf numFmtId="164" fontId="9" fillId="0" borderId="4" xfId="0" applyNumberFormat="1" applyFont="1" applyBorder="1" applyAlignment="1">
      <alignment horizontal="center"/>
    </xf>
    <xf numFmtId="168" fontId="7" fillId="0" borderId="0" xfId="0" applyNumberFormat="1" applyFont="1"/>
    <xf numFmtId="168" fontId="7" fillId="0" borderId="0" xfId="0" applyNumberFormat="1" applyFont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9" fontId="4" fillId="0" borderId="0" xfId="0" applyNumberFormat="1" applyFont="1"/>
    <xf numFmtId="164" fontId="14" fillId="0" borderId="0" xfId="0" applyNumberFormat="1" applyFont="1"/>
    <xf numFmtId="164" fontId="14" fillId="0" borderId="0" xfId="0" applyNumberFormat="1" applyFont="1" applyAlignment="1">
      <alignment horizontal="center"/>
    </xf>
    <xf numFmtId="164" fontId="14" fillId="0" borderId="0" xfId="0" applyNumberFormat="1" applyFont="1" applyAlignment="1">
      <alignment horizontal="right"/>
    </xf>
    <xf numFmtId="164" fontId="4" fillId="0" borderId="5" xfId="0" applyNumberFormat="1" applyFont="1" applyBorder="1"/>
    <xf numFmtId="164" fontId="4" fillId="0" borderId="5" xfId="0" applyNumberFormat="1" applyFont="1" applyBorder="1" applyAlignment="1">
      <alignment horizontal="center"/>
    </xf>
    <xf numFmtId="164" fontId="8" fillId="0" borderId="5" xfId="0" applyNumberFormat="1" applyFont="1" applyBorder="1"/>
    <xf numFmtId="164" fontId="9" fillId="0" borderId="2" xfId="0" applyNumberFormat="1" applyFont="1" applyBorder="1"/>
    <xf numFmtId="164" fontId="9" fillId="0" borderId="2" xfId="0" applyNumberFormat="1" applyFont="1" applyBorder="1" applyAlignment="1">
      <alignment horizontal="center"/>
    </xf>
    <xf numFmtId="164" fontId="4" fillId="0" borderId="2" xfId="0" applyNumberFormat="1" applyFont="1" applyBorder="1"/>
    <xf numFmtId="164" fontId="4" fillId="0" borderId="2" xfId="0" applyNumberFormat="1" applyFont="1" applyBorder="1" applyAlignment="1">
      <alignment horizontal="center"/>
    </xf>
    <xf numFmtId="169" fontId="9" fillId="0" borderId="2" xfId="0" applyNumberFormat="1" applyFont="1" applyBorder="1"/>
    <xf numFmtId="169" fontId="9" fillId="0" borderId="2" xfId="0" applyNumberFormat="1" applyFont="1" applyBorder="1" applyAlignment="1">
      <alignment horizontal="center"/>
    </xf>
    <xf numFmtId="169" fontId="4" fillId="0" borderId="0" xfId="0" applyNumberFormat="1" applyFont="1"/>
    <xf numFmtId="169" fontId="0" fillId="0" borderId="0" xfId="0" applyNumberFormat="1"/>
    <xf numFmtId="170" fontId="9" fillId="0" borderId="2" xfId="0" applyNumberFormat="1" applyFont="1" applyBorder="1"/>
    <xf numFmtId="164" fontId="4" fillId="0" borderId="0" xfId="0" applyNumberFormat="1" applyFont="1" applyAlignment="1">
      <alignment horizontal="left" indent="1"/>
    </xf>
    <xf numFmtId="164" fontId="4" fillId="0" borderId="0" xfId="0" applyNumberFormat="1" applyFont="1" applyAlignment="1">
      <alignment horizontal="left"/>
    </xf>
    <xf numFmtId="164" fontId="9" fillId="0" borderId="6" xfId="0" applyNumberFormat="1" applyFont="1" applyBorder="1"/>
    <xf numFmtId="164" fontId="9" fillId="0" borderId="7" xfId="0" applyNumberFormat="1" applyFont="1" applyBorder="1"/>
    <xf numFmtId="164" fontId="9" fillId="0" borderId="8" xfId="0" applyNumberFormat="1" applyFont="1" applyBorder="1"/>
    <xf numFmtId="164" fontId="9" fillId="0" borderId="6" xfId="0" applyNumberFormat="1" applyFont="1" applyBorder="1" applyAlignment="1">
      <alignment horizontal="left"/>
    </xf>
    <xf numFmtId="164" fontId="9" fillId="0" borderId="6" xfId="0" applyNumberFormat="1" applyFont="1" applyBorder="1" applyAlignment="1">
      <alignment horizontal="center"/>
    </xf>
    <xf numFmtId="164" fontId="9" fillId="0" borderId="7" xfId="0" applyNumberFormat="1" applyFont="1" applyBorder="1" applyAlignment="1">
      <alignment horizontal="left"/>
    </xf>
    <xf numFmtId="164" fontId="8" fillId="0" borderId="2" xfId="0" applyNumberFormat="1" applyFont="1" applyBorder="1"/>
    <xf numFmtId="164" fontId="9" fillId="0" borderId="9" xfId="0" applyNumberFormat="1" applyFont="1" applyBorder="1"/>
    <xf numFmtId="164" fontId="9" fillId="0" borderId="9" xfId="0" applyNumberFormat="1" applyFont="1" applyBorder="1" applyAlignment="1">
      <alignment horizontal="center"/>
    </xf>
    <xf numFmtId="0" fontId="17" fillId="0" borderId="7" xfId="0" applyFont="1" applyBorder="1"/>
    <xf numFmtId="164" fontId="7" fillId="0" borderId="0" xfId="0" applyNumberFormat="1" applyFont="1" applyAlignment="1">
      <alignment horizontal="left" indent="1"/>
    </xf>
    <xf numFmtId="0" fontId="18" fillId="5" borderId="0" xfId="0" applyFont="1" applyFill="1" applyAlignment="1">
      <alignment vertical="center"/>
    </xf>
    <xf numFmtId="164" fontId="4" fillId="3" borderId="0" xfId="0" applyNumberFormat="1" applyFont="1" applyFill="1"/>
    <xf numFmtId="0" fontId="0" fillId="3" borderId="0" xfId="0" applyFill="1"/>
    <xf numFmtId="10" fontId="8" fillId="0" borderId="0" xfId="0" applyNumberFormat="1" applyFont="1"/>
    <xf numFmtId="39" fontId="4" fillId="0" borderId="5" xfId="0" applyNumberFormat="1" applyFont="1" applyBorder="1"/>
    <xf numFmtId="39" fontId="8" fillId="0" borderId="5" xfId="0" applyNumberFormat="1" applyFont="1" applyBorder="1"/>
    <xf numFmtId="10" fontId="4" fillId="0" borderId="5" xfId="0" applyNumberFormat="1" applyFont="1" applyBorder="1"/>
    <xf numFmtId="10" fontId="8" fillId="0" borderId="5" xfId="0" applyNumberFormat="1" applyFont="1" applyBorder="1"/>
    <xf numFmtId="10" fontId="4" fillId="0" borderId="0" xfId="0" applyNumberFormat="1" applyFont="1"/>
    <xf numFmtId="41" fontId="4" fillId="0" borderId="0" xfId="0" applyNumberFormat="1" applyFont="1"/>
    <xf numFmtId="169" fontId="8" fillId="0" borderId="0" xfId="0" applyNumberFormat="1" applyFont="1"/>
    <xf numFmtId="0" fontId="3" fillId="0" borderId="0" xfId="0" applyFont="1"/>
    <xf numFmtId="164" fontId="0" fillId="0" borderId="0" xfId="0" applyNumberFormat="1"/>
    <xf numFmtId="173" fontId="4" fillId="0" borderId="0" xfId="0" applyNumberFormat="1" applyFont="1"/>
    <xf numFmtId="10" fontId="0" fillId="0" borderId="0" xfId="0" applyNumberFormat="1"/>
    <xf numFmtId="9" fontId="8" fillId="0" borderId="0" xfId="0" applyNumberFormat="1" applyFont="1"/>
    <xf numFmtId="167" fontId="4" fillId="0" borderId="0" xfId="0" applyNumberFormat="1" applyFont="1" applyAlignment="1">
      <alignment horizontal="left" indent="7"/>
    </xf>
    <xf numFmtId="164" fontId="4" fillId="0" borderId="5" xfId="0" applyNumberFormat="1" applyFont="1" applyBorder="1" applyAlignment="1">
      <alignment horizontal="left" indent="1"/>
    </xf>
    <xf numFmtId="0" fontId="11" fillId="0" borderId="2" xfId="0" applyFont="1" applyBorder="1"/>
    <xf numFmtId="0" fontId="11" fillId="0" borderId="5" xfId="0" applyFont="1" applyBorder="1"/>
    <xf numFmtId="0" fontId="0" fillId="0" borderId="2" xfId="0" applyBorder="1"/>
    <xf numFmtId="43" fontId="4" fillId="0" borderId="2" xfId="0" applyNumberFormat="1" applyFont="1" applyBorder="1"/>
    <xf numFmtId="164" fontId="7" fillId="0" borderId="5" xfId="0" applyNumberFormat="1" applyFont="1" applyBorder="1" applyAlignment="1">
      <alignment horizontal="left" indent="1"/>
    </xf>
    <xf numFmtId="2" fontId="8" fillId="0" borderId="0" xfId="0" applyNumberFormat="1" applyFont="1"/>
    <xf numFmtId="164" fontId="4" fillId="0" borderId="2" xfId="0" applyNumberFormat="1" applyFont="1" applyBorder="1" applyAlignment="1">
      <alignment horizontal="left"/>
    </xf>
    <xf numFmtId="165" fontId="7" fillId="0" borderId="5" xfId="0" applyNumberFormat="1" applyFont="1" applyBorder="1" applyAlignment="1">
      <alignment horizontal="right" indent="1"/>
    </xf>
    <xf numFmtId="0" fontId="20" fillId="7" borderId="10" xfId="0" applyFont="1" applyFill="1" applyBorder="1"/>
    <xf numFmtId="43" fontId="21" fillId="0" borderId="10" xfId="0" applyNumberFormat="1" applyFont="1" applyBorder="1"/>
    <xf numFmtId="165" fontId="21" fillId="0" borderId="10" xfId="0" applyNumberFormat="1" applyFont="1" applyBorder="1"/>
    <xf numFmtId="0" fontId="21" fillId="0" borderId="0" xfId="0" applyFont="1"/>
    <xf numFmtId="0" fontId="20" fillId="0" borderId="0" xfId="0" applyFont="1"/>
    <xf numFmtId="164" fontId="24" fillId="0" borderId="0" xfId="0" applyNumberFormat="1" applyFont="1"/>
    <xf numFmtId="164" fontId="21" fillId="0" borderId="0" xfId="0" applyNumberFormat="1" applyFont="1"/>
    <xf numFmtId="0" fontId="25" fillId="0" borderId="0" xfId="0" applyFont="1"/>
    <xf numFmtId="164" fontId="26" fillId="0" borderId="0" xfId="0" applyNumberFormat="1" applyFont="1"/>
    <xf numFmtId="173" fontId="24" fillId="0" borderId="10" xfId="0" applyNumberFormat="1" applyFont="1" applyBorder="1" applyAlignment="1">
      <alignment horizontal="right"/>
    </xf>
    <xf numFmtId="43" fontId="21" fillId="0" borderId="0" xfId="0" applyNumberFormat="1" applyFont="1"/>
    <xf numFmtId="173" fontId="24" fillId="0" borderId="0" xfId="0" applyNumberFormat="1" applyFont="1" applyAlignment="1">
      <alignment horizontal="right"/>
    </xf>
    <xf numFmtId="173" fontId="21" fillId="0" borderId="0" xfId="0" applyNumberFormat="1" applyFont="1"/>
    <xf numFmtId="164" fontId="24" fillId="0" borderId="10" xfId="0" applyNumberFormat="1" applyFont="1" applyBorder="1"/>
    <xf numFmtId="0" fontId="22" fillId="3" borderId="2" xfId="0" applyFont="1" applyFill="1" applyBorder="1"/>
    <xf numFmtId="0" fontId="20" fillId="7" borderId="11" xfId="0" applyFont="1" applyFill="1" applyBorder="1"/>
    <xf numFmtId="0" fontId="23" fillId="3" borderId="2" xfId="0" applyFont="1" applyFill="1" applyBorder="1"/>
    <xf numFmtId="173" fontId="27" fillId="0" borderId="10" xfId="0" applyNumberFormat="1" applyFont="1" applyBorder="1" applyAlignment="1">
      <alignment horizontal="right"/>
    </xf>
    <xf numFmtId="0" fontId="21" fillId="0" borderId="10" xfId="0" applyFont="1" applyBorder="1"/>
    <xf numFmtId="4" fontId="21" fillId="0" borderId="10" xfId="0" applyNumberFormat="1" applyFont="1" applyBorder="1"/>
    <xf numFmtId="174" fontId="21" fillId="0" borderId="10" xfId="0" applyNumberFormat="1" applyFont="1" applyBorder="1"/>
    <xf numFmtId="2" fontId="21" fillId="0" borderId="10" xfId="0" applyNumberFormat="1" applyFont="1" applyBorder="1"/>
    <xf numFmtId="164" fontId="21" fillId="0" borderId="10" xfId="0" applyNumberFormat="1" applyFont="1" applyBorder="1"/>
    <xf numFmtId="10" fontId="21" fillId="0" borderId="10" xfId="0" applyNumberFormat="1" applyFont="1" applyBorder="1"/>
    <xf numFmtId="169" fontId="21" fillId="0" borderId="10" xfId="0" applyNumberFormat="1" applyFont="1" applyBorder="1"/>
    <xf numFmtId="1" fontId="10" fillId="0" borderId="0" xfId="0" applyNumberFormat="1" applyFont="1"/>
    <xf numFmtId="165" fontId="8" fillId="0" borderId="5" xfId="0" applyNumberFormat="1" applyFont="1" applyBorder="1"/>
    <xf numFmtId="165" fontId="19" fillId="0" borderId="5" xfId="0" applyNumberFormat="1" applyFont="1" applyBorder="1"/>
    <xf numFmtId="0" fontId="28" fillId="3" borderId="0" xfId="0" applyFont="1" applyFill="1"/>
    <xf numFmtId="0" fontId="29" fillId="3" borderId="0" xfId="0" applyFont="1" applyFill="1"/>
    <xf numFmtId="0" fontId="30" fillId="7" borderId="0" xfId="0" applyFont="1" applyFill="1"/>
    <xf numFmtId="165" fontId="4" fillId="0" borderId="5" xfId="0" applyNumberFormat="1" applyFont="1" applyBorder="1"/>
    <xf numFmtId="169" fontId="7" fillId="0" borderId="2" xfId="0" applyNumberFormat="1" applyFont="1" applyBorder="1"/>
    <xf numFmtId="169" fontId="7" fillId="0" borderId="2" xfId="0" applyNumberFormat="1" applyFont="1" applyBorder="1" applyAlignment="1">
      <alignment horizontal="left" indent="1"/>
    </xf>
    <xf numFmtId="169" fontId="7" fillId="9" borderId="2" xfId="0" applyNumberFormat="1" applyFont="1" applyFill="1" applyBorder="1"/>
    <xf numFmtId="169" fontId="4" fillId="9" borderId="0" xfId="0" applyNumberFormat="1" applyFont="1" applyFill="1"/>
    <xf numFmtId="165" fontId="4" fillId="9" borderId="0" xfId="0" applyNumberFormat="1" applyFont="1" applyFill="1"/>
    <xf numFmtId="175" fontId="8" fillId="0" borderId="0" xfId="0" applyNumberFormat="1" applyFont="1"/>
    <xf numFmtId="175" fontId="4" fillId="0" borderId="0" xfId="0" applyNumberFormat="1" applyFont="1"/>
    <xf numFmtId="173" fontId="8" fillId="0" borderId="0" xfId="0" applyNumberFormat="1" applyFont="1"/>
    <xf numFmtId="0" fontId="22" fillId="8" borderId="0" xfId="0" applyFont="1" applyFill="1" applyAlignment="1">
      <alignment horizontal="center"/>
    </xf>
    <xf numFmtId="0" fontId="0" fillId="8" borderId="0" xfId="0" applyFill="1"/>
    <xf numFmtId="37" fontId="32" fillId="0" borderId="2" xfId="0" applyNumberFormat="1" applyFont="1" applyBorder="1" applyAlignment="1">
      <alignment horizontal="right"/>
    </xf>
    <xf numFmtId="0" fontId="25" fillId="0" borderId="0" xfId="0" applyFont="1" applyAlignment="1">
      <alignment horizontal="left" indent="1"/>
    </xf>
    <xf numFmtId="10" fontId="25" fillId="0" borderId="0" xfId="0" applyNumberFormat="1" applyFont="1"/>
    <xf numFmtId="37" fontId="21" fillId="0" borderId="0" xfId="0" applyNumberFormat="1" applyFont="1"/>
    <xf numFmtId="9" fontId="21" fillId="0" borderId="0" xfId="0" applyNumberFormat="1" applyFont="1"/>
    <xf numFmtId="0" fontId="21" fillId="0" borderId="0" xfId="0" applyFont="1" applyAlignment="1">
      <alignment horizontal="left" indent="1"/>
    </xf>
    <xf numFmtId="10" fontId="21" fillId="0" borderId="0" xfId="0" applyNumberFormat="1" applyFont="1"/>
    <xf numFmtId="165" fontId="21" fillId="0" borderId="0" xfId="0" applyNumberFormat="1" applyFont="1"/>
    <xf numFmtId="0" fontId="21" fillId="0" borderId="0" xfId="0" applyFont="1" applyAlignment="1">
      <alignment horizontal="left" indent="2"/>
    </xf>
    <xf numFmtId="0" fontId="21" fillId="0" borderId="0" xfId="0" applyFont="1" applyAlignment="1">
      <alignment horizontal="left" indent="3"/>
    </xf>
    <xf numFmtId="39" fontId="32" fillId="0" borderId="2" xfId="0" applyNumberFormat="1" applyFont="1" applyBorder="1" applyAlignment="1">
      <alignment horizontal="right"/>
    </xf>
    <xf numFmtId="37" fontId="21" fillId="0" borderId="2" xfId="0" applyNumberFormat="1" applyFont="1" applyBorder="1" applyAlignment="1">
      <alignment horizontal="right"/>
    </xf>
    <xf numFmtId="3" fontId="21" fillId="0" borderId="0" xfId="0" applyNumberFormat="1" applyFont="1"/>
    <xf numFmtId="0" fontId="21" fillId="0" borderId="0" xfId="0" applyFont="1" applyAlignment="1">
      <alignment horizontal="left"/>
    </xf>
    <xf numFmtId="0" fontId="25" fillId="0" borderId="0" xfId="0" applyFont="1" applyAlignment="1">
      <alignment horizontal="left" indent="2"/>
    </xf>
    <xf numFmtId="165" fontId="32" fillId="0" borderId="2" xfId="0" applyNumberFormat="1" applyFont="1" applyBorder="1" applyAlignment="1">
      <alignment horizontal="right"/>
    </xf>
    <xf numFmtId="165" fontId="21" fillId="0" borderId="2" xfId="0" applyNumberFormat="1" applyFont="1" applyBorder="1" applyAlignment="1">
      <alignment horizontal="right"/>
    </xf>
    <xf numFmtId="3" fontId="21" fillId="0" borderId="2" xfId="0" applyNumberFormat="1" applyFont="1" applyBorder="1" applyAlignment="1">
      <alignment horizontal="right"/>
    </xf>
    <xf numFmtId="0" fontId="25" fillId="0" borderId="0" xfId="0" applyFont="1" applyAlignment="1">
      <alignment horizontal="left" indent="3"/>
    </xf>
    <xf numFmtId="9" fontId="32" fillId="0" borderId="2" xfId="0" applyNumberFormat="1" applyFont="1" applyBorder="1" applyAlignment="1">
      <alignment horizontal="right"/>
    </xf>
    <xf numFmtId="0" fontId="21" fillId="0" borderId="0" xfId="0" applyFont="1" applyAlignment="1">
      <alignment horizontal="left" wrapText="1" indent="3"/>
    </xf>
    <xf numFmtId="0" fontId="22" fillId="3" borderId="0" xfId="0" applyFont="1" applyFill="1"/>
    <xf numFmtId="171" fontId="15" fillId="4" borderId="2" xfId="0" applyNumberFormat="1" applyFont="1" applyFill="1" applyBorder="1"/>
    <xf numFmtId="171" fontId="15" fillId="6" borderId="2" xfId="0" applyNumberFormat="1" applyFont="1" applyFill="1" applyBorder="1"/>
    <xf numFmtId="172" fontId="6" fillId="2" borderId="2" xfId="0" applyNumberFormat="1" applyFont="1" applyFill="1" applyBorder="1"/>
    <xf numFmtId="0" fontId="4" fillId="0" borderId="2" xfId="6" applyFont="1"/>
    <xf numFmtId="0" fontId="15" fillId="0" borderId="5" xfId="6" applyFont="1" applyBorder="1" applyAlignment="1">
      <alignment horizontal="centerContinuous"/>
    </xf>
    <xf numFmtId="0" fontId="38" fillId="0" borderId="2" xfId="6" applyFont="1"/>
    <xf numFmtId="180" fontId="39" fillId="0" borderId="2" xfId="6" applyNumberFormat="1" applyFont="1"/>
    <xf numFmtId="0" fontId="39" fillId="0" borderId="2" xfId="6" applyFont="1" applyAlignment="1">
      <alignment horizontal="right"/>
    </xf>
    <xf numFmtId="0" fontId="40" fillId="11" borderId="2" xfId="6" applyFont="1" applyFill="1"/>
    <xf numFmtId="5" fontId="40" fillId="11" borderId="2" xfId="6" applyNumberFormat="1" applyFont="1" applyFill="1"/>
    <xf numFmtId="10" fontId="40" fillId="11" borderId="2" xfId="6" applyNumberFormat="1" applyFont="1" applyFill="1"/>
    <xf numFmtId="0" fontId="38" fillId="0" borderId="2" xfId="6" applyFont="1" applyAlignment="1">
      <alignment horizontal="left" indent="1"/>
    </xf>
    <xf numFmtId="10" fontId="38" fillId="0" borderId="2" xfId="6" applyNumberFormat="1" applyFont="1"/>
    <xf numFmtId="7" fontId="40" fillId="11" borderId="2" xfId="6" applyNumberFormat="1" applyFont="1" applyFill="1"/>
    <xf numFmtId="0" fontId="4" fillId="0" borderId="2" xfId="6" applyFont="1" applyAlignment="1">
      <alignment horizontal="left"/>
    </xf>
    <xf numFmtId="176" fontId="4" fillId="0" borderId="2" xfId="6" applyNumberFormat="1" applyFont="1" applyAlignment="1">
      <alignment horizontal="center"/>
    </xf>
    <xf numFmtId="170" fontId="4" fillId="0" borderId="2" xfId="6" applyNumberFormat="1" applyFont="1" applyAlignment="1">
      <alignment horizontal="center"/>
    </xf>
    <xf numFmtId="0" fontId="2" fillId="0" borderId="2" xfId="6"/>
    <xf numFmtId="0" fontId="35" fillId="0" borderId="5" xfId="6" applyFont="1" applyBorder="1" applyAlignment="1">
      <alignment horizontal="center"/>
    </xf>
    <xf numFmtId="0" fontId="35" fillId="0" borderId="2" xfId="6" applyFont="1" applyAlignment="1">
      <alignment horizontal="center"/>
    </xf>
    <xf numFmtId="0" fontId="2" fillId="7" borderId="2" xfId="6" applyFill="1"/>
    <xf numFmtId="176" fontId="2" fillId="0" borderId="2" xfId="6" applyNumberFormat="1" applyAlignment="1">
      <alignment horizontal="right"/>
    </xf>
    <xf numFmtId="10" fontId="2" fillId="0" borderId="2" xfId="6" applyNumberFormat="1" applyAlignment="1">
      <alignment horizontal="right"/>
    </xf>
    <xf numFmtId="0" fontId="2" fillId="7" borderId="15" xfId="6" applyFill="1" applyBorder="1"/>
    <xf numFmtId="0" fontId="2" fillId="0" borderId="15" xfId="6" applyBorder="1"/>
    <xf numFmtId="176" fontId="2" fillId="0" borderId="15" xfId="6" applyNumberFormat="1" applyBorder="1" applyAlignment="1">
      <alignment horizontal="right"/>
    </xf>
    <xf numFmtId="178" fontId="2" fillId="0" borderId="15" xfId="6" applyNumberFormat="1" applyBorder="1" applyAlignment="1">
      <alignment horizontal="right"/>
    </xf>
    <xf numFmtId="0" fontId="36" fillId="3" borderId="2" xfId="6" applyFont="1" applyFill="1"/>
    <xf numFmtId="178" fontId="2" fillId="0" borderId="2" xfId="6" applyNumberFormat="1" applyAlignment="1">
      <alignment horizontal="right"/>
    </xf>
    <xf numFmtId="10" fontId="4" fillId="0" borderId="2" xfId="6" applyNumberFormat="1" applyFont="1" applyAlignment="1">
      <alignment horizontal="center"/>
    </xf>
    <xf numFmtId="37" fontId="2" fillId="0" borderId="2" xfId="6" applyNumberFormat="1"/>
    <xf numFmtId="176" fontId="2" fillId="0" borderId="2" xfId="6" applyNumberFormat="1"/>
    <xf numFmtId="0" fontId="2" fillId="0" borderId="11" xfId="6" applyBorder="1"/>
    <xf numFmtId="9" fontId="41" fillId="0" borderId="18" xfId="6" applyNumberFormat="1" applyFont="1" applyBorder="1"/>
    <xf numFmtId="43" fontId="2" fillId="0" borderId="2" xfId="6" applyNumberFormat="1"/>
    <xf numFmtId="170" fontId="2" fillId="0" borderId="2" xfId="6" applyNumberFormat="1"/>
    <xf numFmtId="2" fontId="2" fillId="0" borderId="2" xfId="6" applyNumberFormat="1"/>
    <xf numFmtId="9" fontId="2" fillId="0" borderId="2" xfId="6" applyNumberFormat="1"/>
    <xf numFmtId="0" fontId="42" fillId="0" borderId="2" xfId="6" applyFont="1"/>
    <xf numFmtId="173" fontId="44" fillId="12" borderId="2" xfId="7" applyFont="1" applyFill="1" applyAlignment="1">
      <alignment horizontal="left"/>
    </xf>
    <xf numFmtId="173" fontId="45" fillId="12" borderId="2" xfId="7" applyFont="1" applyFill="1" applyAlignment="1">
      <alignment horizontal="left"/>
    </xf>
    <xf numFmtId="10" fontId="27" fillId="13" borderId="2" xfId="8" applyNumberFormat="1" applyFont="1" applyFill="1" applyAlignment="1">
      <alignment horizontal="right"/>
    </xf>
    <xf numFmtId="173" fontId="13" fillId="12" borderId="2" xfId="7" applyFont="1" applyFill="1" applyAlignment="1">
      <alignment horizontal="left"/>
    </xf>
    <xf numFmtId="10" fontId="27" fillId="13" borderId="2" xfId="6" applyNumberFormat="1" applyFont="1" applyFill="1" applyAlignment="1">
      <alignment horizontal="right"/>
    </xf>
    <xf numFmtId="2" fontId="27" fillId="13" borderId="2" xfId="6" applyNumberFormat="1" applyFont="1" applyFill="1" applyAlignment="1">
      <alignment horizontal="right"/>
    </xf>
    <xf numFmtId="10" fontId="27" fillId="8" borderId="2" xfId="6" applyNumberFormat="1" applyFont="1" applyFill="1" applyAlignment="1">
      <alignment horizontal="right"/>
    </xf>
    <xf numFmtId="173" fontId="44" fillId="0" borderId="2" xfId="7" applyFont="1" applyAlignment="1">
      <alignment horizontal="left"/>
    </xf>
    <xf numFmtId="173" fontId="13" fillId="0" borderId="2" xfId="7" applyFont="1" applyAlignment="1">
      <alignment horizontal="left"/>
    </xf>
    <xf numFmtId="165" fontId="27" fillId="13" borderId="2" xfId="6" applyNumberFormat="1" applyFont="1" applyFill="1" applyAlignment="1">
      <alignment horizontal="right"/>
    </xf>
    <xf numFmtId="0" fontId="27" fillId="8" borderId="2" xfId="6" applyFont="1" applyFill="1"/>
    <xf numFmtId="0" fontId="46" fillId="8" borderId="2" xfId="6" applyFont="1" applyFill="1"/>
    <xf numFmtId="0" fontId="27" fillId="13" borderId="2" xfId="6" applyFont="1" applyFill="1" applyAlignment="1">
      <alignment horizontal="right"/>
    </xf>
    <xf numFmtId="37" fontId="27" fillId="13" borderId="2" xfId="6" applyNumberFormat="1" applyFont="1" applyFill="1" applyAlignment="1">
      <alignment horizontal="right"/>
    </xf>
    <xf numFmtId="164" fontId="5" fillId="2" borderId="2" xfId="0" applyNumberFormat="1" applyFont="1" applyFill="1" applyBorder="1" applyAlignment="1">
      <alignment horizontal="centerContinuous"/>
    </xf>
    <xf numFmtId="165" fontId="21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right"/>
    </xf>
    <xf numFmtId="9" fontId="47" fillId="0" borderId="2" xfId="0" applyNumberFormat="1" applyFont="1" applyBorder="1" applyAlignment="1">
      <alignment horizontal="right"/>
    </xf>
    <xf numFmtId="9" fontId="47" fillId="0" borderId="0" xfId="0" applyNumberFormat="1" applyFont="1" applyAlignment="1">
      <alignment horizontal="right"/>
    </xf>
    <xf numFmtId="165" fontId="47" fillId="0" borderId="0" xfId="0" applyNumberFormat="1" applyFont="1" applyAlignment="1">
      <alignment horizontal="right"/>
    </xf>
    <xf numFmtId="0" fontId="48" fillId="14" borderId="2" xfId="6" applyFont="1" applyFill="1" applyAlignment="1">
      <alignment horizontal="left" vertical="top"/>
    </xf>
    <xf numFmtId="164" fontId="49" fillId="16" borderId="2" xfId="6" applyNumberFormat="1" applyFont="1" applyFill="1" applyAlignment="1">
      <alignment horizontal="centerContinuous"/>
    </xf>
    <xf numFmtId="164" fontId="49" fillId="15" borderId="2" xfId="6" applyNumberFormat="1" applyFont="1" applyFill="1" applyAlignment="1">
      <alignment horizontal="centerContinuous"/>
    </xf>
    <xf numFmtId="164" fontId="50" fillId="4" borderId="2" xfId="6" applyNumberFormat="1" applyFont="1" applyFill="1" applyAlignment="1">
      <alignment horizontal="centerContinuous"/>
    </xf>
    <xf numFmtId="171" fontId="51" fillId="17" borderId="2" xfId="6" applyNumberFormat="1" applyFont="1" applyFill="1"/>
    <xf numFmtId="172" fontId="51" fillId="15" borderId="2" xfId="6" applyNumberFormat="1" applyFont="1" applyFill="1"/>
    <xf numFmtId="0" fontId="52" fillId="0" borderId="2" xfId="6" applyFont="1"/>
    <xf numFmtId="171" fontId="53" fillId="0" borderId="2" xfId="6" applyNumberFormat="1" applyFont="1"/>
    <xf numFmtId="172" fontId="53" fillId="0" borderId="2" xfId="6" applyNumberFormat="1" applyFont="1"/>
    <xf numFmtId="0" fontId="50" fillId="11" borderId="2" xfId="6" applyFont="1" applyFill="1"/>
    <xf numFmtId="0" fontId="52" fillId="11" borderId="2" xfId="6" applyFont="1" applyFill="1"/>
    <xf numFmtId="5" fontId="50" fillId="11" borderId="2" xfId="6" applyNumberFormat="1" applyFont="1" applyFill="1"/>
    <xf numFmtId="10" fontId="54" fillId="0" borderId="2" xfId="6" applyNumberFormat="1" applyFont="1" applyAlignment="1">
      <alignment horizontal="right"/>
    </xf>
    <xf numFmtId="10" fontId="54" fillId="0" borderId="2" xfId="6" applyNumberFormat="1" applyFont="1"/>
    <xf numFmtId="0" fontId="52" fillId="0" borderId="2" xfId="6" applyFont="1" applyAlignment="1">
      <alignment horizontal="left" indent="1"/>
    </xf>
    <xf numFmtId="165" fontId="54" fillId="0" borderId="2" xfId="6" applyNumberFormat="1" applyFont="1"/>
    <xf numFmtId="0" fontId="54" fillId="0" borderId="2" xfId="6" applyFont="1" applyAlignment="1">
      <alignment horizontal="left" indent="1"/>
    </xf>
    <xf numFmtId="0" fontId="52" fillId="0" borderId="0" xfId="6" applyFont="1" applyBorder="1"/>
    <xf numFmtId="166" fontId="52" fillId="0" borderId="2" xfId="6" applyNumberFormat="1" applyFont="1"/>
    <xf numFmtId="5" fontId="50" fillId="0" borderId="7" xfId="6" applyNumberFormat="1" applyFont="1" applyBorder="1"/>
    <xf numFmtId="0" fontId="50" fillId="0" borderId="2" xfId="6" applyFont="1"/>
    <xf numFmtId="164" fontId="50" fillId="0" borderId="2" xfId="6" applyNumberFormat="1" applyFont="1"/>
    <xf numFmtId="2" fontId="52" fillId="0" borderId="2" xfId="6" applyNumberFormat="1" applyFont="1"/>
    <xf numFmtId="172" fontId="51" fillId="15" borderId="11" xfId="6" applyNumberFormat="1" applyFont="1" applyFill="1" applyBorder="1" applyAlignment="1">
      <alignment horizontal="left"/>
    </xf>
    <xf numFmtId="172" fontId="51" fillId="15" borderId="17" xfId="6" applyNumberFormat="1" applyFont="1" applyFill="1" applyBorder="1" applyAlignment="1">
      <alignment horizontal="left"/>
    </xf>
    <xf numFmtId="172" fontId="51" fillId="15" borderId="18" xfId="6" applyNumberFormat="1" applyFont="1" applyFill="1" applyBorder="1" applyAlignment="1">
      <alignment horizontal="left"/>
    </xf>
    <xf numFmtId="0" fontId="38" fillId="0" borderId="0" xfId="0" applyFont="1"/>
    <xf numFmtId="172" fontId="51" fillId="0" borderId="2" xfId="6" applyNumberFormat="1" applyFont="1" applyAlignment="1">
      <alignment horizontal="left"/>
    </xf>
    <xf numFmtId="37" fontId="52" fillId="0" borderId="2" xfId="6" applyNumberFormat="1" applyFont="1" applyAlignment="1">
      <alignment horizontal="right"/>
    </xf>
    <xf numFmtId="10" fontId="52" fillId="0" borderId="2" xfId="6" applyNumberFormat="1" applyFont="1" applyAlignment="1">
      <alignment horizontal="right"/>
    </xf>
    <xf numFmtId="43" fontId="52" fillId="0" borderId="2" xfId="6" applyNumberFormat="1" applyFont="1"/>
    <xf numFmtId="164" fontId="52" fillId="0" borderId="2" xfId="6" applyNumberFormat="1" applyFont="1"/>
    <xf numFmtId="164" fontId="52" fillId="0" borderId="2" xfId="6" applyNumberFormat="1" applyFont="1" applyAlignment="1">
      <alignment horizontal="right"/>
    </xf>
    <xf numFmtId="0" fontId="50" fillId="11" borderId="11" xfId="6" applyFont="1" applyFill="1" applyBorder="1"/>
    <xf numFmtId="0" fontId="50" fillId="11" borderId="17" xfId="6" applyFont="1" applyFill="1" applyBorder="1"/>
    <xf numFmtId="176" fontId="50" fillId="11" borderId="18" xfId="6" applyNumberFormat="1" applyFont="1" applyFill="1" applyBorder="1"/>
    <xf numFmtId="0" fontId="50" fillId="11" borderId="19" xfId="6" applyFont="1" applyFill="1" applyBorder="1"/>
    <xf numFmtId="0" fontId="52" fillId="11" borderId="7" xfId="6" applyFont="1" applyFill="1" applyBorder="1"/>
    <xf numFmtId="170" fontId="50" fillId="11" borderId="20" xfId="6" applyNumberFormat="1" applyFont="1" applyFill="1" applyBorder="1" applyAlignment="1">
      <alignment horizontal="right"/>
    </xf>
    <xf numFmtId="0" fontId="50" fillId="11" borderId="21" xfId="6" applyFont="1" applyFill="1" applyBorder="1"/>
    <xf numFmtId="170" fontId="50" fillId="11" borderId="22" xfId="6" applyNumberFormat="1" applyFont="1" applyFill="1" applyBorder="1" applyAlignment="1">
      <alignment horizontal="right"/>
    </xf>
    <xf numFmtId="0" fontId="50" fillId="11" borderId="23" xfId="6" applyFont="1" applyFill="1" applyBorder="1"/>
    <xf numFmtId="0" fontId="52" fillId="11" borderId="5" xfId="6" applyFont="1" applyFill="1" applyBorder="1"/>
    <xf numFmtId="177" fontId="50" fillId="11" borderId="24" xfId="6" applyNumberFormat="1" applyFont="1" applyFill="1" applyBorder="1" applyAlignment="1">
      <alignment horizontal="right"/>
    </xf>
    <xf numFmtId="10" fontId="52" fillId="0" borderId="2" xfId="6" applyNumberFormat="1" applyFont="1"/>
    <xf numFmtId="178" fontId="52" fillId="0" borderId="2" xfId="6" applyNumberFormat="1" applyFont="1"/>
    <xf numFmtId="0" fontId="50" fillId="0" borderId="2" xfId="6" applyFont="1" applyAlignment="1">
      <alignment horizontal="centerContinuous"/>
    </xf>
    <xf numFmtId="0" fontId="55" fillId="0" borderId="2" xfId="6" applyFont="1" applyAlignment="1">
      <alignment horizontal="centerContinuous"/>
    </xf>
    <xf numFmtId="170" fontId="56" fillId="14" borderId="19" xfId="6" applyNumberFormat="1" applyFont="1" applyFill="1" applyBorder="1"/>
    <xf numFmtId="10" fontId="49" fillId="14" borderId="15" xfId="6" applyNumberFormat="1" applyFont="1" applyFill="1" applyBorder="1"/>
    <xf numFmtId="179" fontId="57" fillId="0" borderId="25" xfId="6" applyNumberFormat="1" applyFont="1" applyBorder="1"/>
    <xf numFmtId="7" fontId="52" fillId="10" borderId="2" xfId="6" applyNumberFormat="1" applyFont="1" applyFill="1"/>
    <xf numFmtId="0" fontId="50" fillId="0" borderId="5" xfId="6" applyFont="1" applyBorder="1" applyAlignment="1">
      <alignment horizontal="centerContinuous"/>
    </xf>
    <xf numFmtId="0" fontId="55" fillId="0" borderId="5" xfId="6" applyFont="1" applyBorder="1" applyAlignment="1">
      <alignment horizontal="centerContinuous"/>
    </xf>
    <xf numFmtId="10" fontId="57" fillId="0" borderId="25" xfId="6" applyNumberFormat="1" applyFont="1" applyBorder="1"/>
    <xf numFmtId="172" fontId="51" fillId="2" borderId="11" xfId="6" applyNumberFormat="1" applyFont="1" applyFill="1" applyBorder="1" applyAlignment="1">
      <alignment horizontal="left"/>
    </xf>
    <xf numFmtId="172" fontId="51" fillId="2" borderId="10" xfId="6" applyNumberFormat="1" applyFont="1" applyFill="1" applyBorder="1" applyAlignment="1">
      <alignment horizontal="left"/>
    </xf>
    <xf numFmtId="0" fontId="38" fillId="0" borderId="2" xfId="6" applyFont="1" applyAlignment="1">
      <alignment horizontal="left"/>
    </xf>
    <xf numFmtId="0" fontId="38" fillId="0" borderId="2" xfId="6" applyFont="1" applyAlignment="1">
      <alignment horizontal="center"/>
    </xf>
    <xf numFmtId="0" fontId="52" fillId="0" borderId="2" xfId="6" applyFont="1" applyAlignment="1">
      <alignment horizontal="left"/>
    </xf>
    <xf numFmtId="178" fontId="52" fillId="0" borderId="2" xfId="6" applyNumberFormat="1" applyFont="1" applyAlignment="1">
      <alignment horizontal="right"/>
    </xf>
    <xf numFmtId="178" fontId="52" fillId="0" borderId="2" xfId="6" applyNumberFormat="1" applyFont="1" applyAlignment="1">
      <alignment horizontal="right" vertical="center" wrapText="1"/>
    </xf>
    <xf numFmtId="176" fontId="52" fillId="0" borderId="2" xfId="6" applyNumberFormat="1" applyFont="1" applyAlignment="1">
      <alignment horizontal="center"/>
    </xf>
    <xf numFmtId="170" fontId="52" fillId="0" borderId="2" xfId="6" applyNumberFormat="1" applyFont="1" applyAlignment="1">
      <alignment horizontal="center"/>
    </xf>
    <xf numFmtId="0" fontId="52" fillId="0" borderId="2" xfId="6" applyFont="1" applyAlignment="1">
      <alignment horizontal="right"/>
    </xf>
    <xf numFmtId="0" fontId="50" fillId="10" borderId="11" xfId="6" applyFont="1" applyFill="1" applyBorder="1"/>
    <xf numFmtId="0" fontId="50" fillId="10" borderId="17" xfId="6" applyFont="1" applyFill="1" applyBorder="1"/>
    <xf numFmtId="178" fontId="50" fillId="10" borderId="17" xfId="6" applyNumberFormat="1" applyFont="1" applyFill="1" applyBorder="1" applyAlignment="1">
      <alignment horizontal="right"/>
    </xf>
    <xf numFmtId="178" fontId="50" fillId="10" borderId="18" xfId="6" applyNumberFormat="1" applyFont="1" applyFill="1" applyBorder="1" applyAlignment="1">
      <alignment horizontal="right"/>
    </xf>
    <xf numFmtId="0" fontId="38" fillId="0" borderId="2" xfId="6" applyFont="1" applyAlignment="1">
      <alignment vertical="center" wrapText="1"/>
    </xf>
    <xf numFmtId="0" fontId="50" fillId="10" borderId="19" xfId="6" applyFont="1" applyFill="1" applyBorder="1"/>
    <xf numFmtId="0" fontId="50" fillId="10" borderId="7" xfId="6" applyFont="1" applyFill="1" applyBorder="1"/>
    <xf numFmtId="178" fontId="50" fillId="10" borderId="7" xfId="6" applyNumberFormat="1" applyFont="1" applyFill="1" applyBorder="1" applyAlignment="1">
      <alignment horizontal="right"/>
    </xf>
    <xf numFmtId="178" fontId="50" fillId="10" borderId="20" xfId="6" applyNumberFormat="1" applyFont="1" applyFill="1" applyBorder="1" applyAlignment="1">
      <alignment horizontal="right"/>
    </xf>
    <xf numFmtId="0" fontId="50" fillId="10" borderId="23" xfId="6" applyFont="1" applyFill="1" applyBorder="1"/>
    <xf numFmtId="0" fontId="50" fillId="10" borderId="5" xfId="6" applyFont="1" applyFill="1" applyBorder="1"/>
    <xf numFmtId="178" fontId="50" fillId="10" borderId="5" xfId="6" applyNumberFormat="1" applyFont="1" applyFill="1" applyBorder="1" applyAlignment="1">
      <alignment horizontal="right"/>
    </xf>
    <xf numFmtId="178" fontId="50" fillId="10" borderId="24" xfId="6" applyNumberFormat="1" applyFont="1" applyFill="1" applyBorder="1" applyAlignment="1">
      <alignment horizontal="right"/>
    </xf>
    <xf numFmtId="166" fontId="50" fillId="0" borderId="2" xfId="6" applyNumberFormat="1" applyFont="1" applyAlignment="1">
      <alignment horizontal="center"/>
    </xf>
    <xf numFmtId="166" fontId="52" fillId="0" borderId="2" xfId="6" applyNumberFormat="1" applyFont="1" applyAlignment="1">
      <alignment horizontal="center"/>
    </xf>
    <xf numFmtId="181" fontId="52" fillId="0" borderId="2" xfId="6" applyNumberFormat="1" applyFont="1" applyAlignment="1">
      <alignment horizontal="center"/>
    </xf>
    <xf numFmtId="0" fontId="52" fillId="0" borderId="2" xfId="6" applyFont="1" applyAlignment="1">
      <alignment horizontal="center"/>
    </xf>
    <xf numFmtId="43" fontId="50" fillId="10" borderId="17" xfId="6" applyNumberFormat="1" applyFont="1" applyFill="1" applyBorder="1" applyAlignment="1">
      <alignment horizontal="center"/>
    </xf>
    <xf numFmtId="43" fontId="50" fillId="10" borderId="18" xfId="6" applyNumberFormat="1" applyFont="1" applyFill="1" applyBorder="1" applyAlignment="1">
      <alignment horizontal="center"/>
    </xf>
    <xf numFmtId="10" fontId="50" fillId="10" borderId="18" xfId="6" applyNumberFormat="1" applyFont="1" applyFill="1" applyBorder="1" applyAlignment="1">
      <alignment horizontal="right"/>
    </xf>
    <xf numFmtId="172" fontId="51" fillId="15" borderId="17" xfId="6" applyNumberFormat="1" applyFont="1" applyFill="1" applyBorder="1"/>
    <xf numFmtId="172" fontId="51" fillId="15" borderId="17" xfId="6" applyNumberFormat="1" applyFont="1" applyFill="1" applyBorder="1" applyAlignment="1">
      <alignment horizontal="center"/>
    </xf>
    <xf numFmtId="172" fontId="51" fillId="15" borderId="18" xfId="6" applyNumberFormat="1" applyFont="1" applyFill="1" applyBorder="1" applyAlignment="1">
      <alignment horizontal="center"/>
    </xf>
    <xf numFmtId="172" fontId="51" fillId="15" borderId="11" xfId="6" applyNumberFormat="1" applyFont="1" applyFill="1" applyBorder="1"/>
    <xf numFmtId="172" fontId="51" fillId="15" borderId="17" xfId="6" applyNumberFormat="1" applyFont="1" applyFill="1" applyBorder="1" applyAlignment="1">
      <alignment horizontal="centerContinuous"/>
    </xf>
    <xf numFmtId="172" fontId="51" fillId="15" borderId="18" xfId="6" applyNumberFormat="1" applyFont="1" applyFill="1" applyBorder="1" applyAlignment="1">
      <alignment horizontal="centerContinuous"/>
    </xf>
    <xf numFmtId="165" fontId="47" fillId="0" borderId="2" xfId="0" applyNumberFormat="1" applyFont="1" applyBorder="1" applyAlignment="1">
      <alignment horizontal="right"/>
    </xf>
    <xf numFmtId="9" fontId="52" fillId="0" borderId="2" xfId="6" applyNumberFormat="1" applyFont="1"/>
    <xf numFmtId="0" fontId="2" fillId="0" borderId="0" xfId="0" applyFont="1"/>
    <xf numFmtId="166" fontId="50" fillId="0" borderId="2" xfId="6" applyNumberFormat="1" applyFont="1"/>
    <xf numFmtId="164" fontId="58" fillId="0" borderId="0" xfId="0" applyNumberFormat="1" applyFont="1"/>
    <xf numFmtId="0" fontId="59" fillId="0" borderId="0" xfId="0" applyFont="1" applyAlignment="1">
      <alignment horizontal="left" indent="1"/>
    </xf>
    <xf numFmtId="165" fontId="58" fillId="0" borderId="0" xfId="0" applyNumberFormat="1" applyFont="1"/>
    <xf numFmtId="5" fontId="50" fillId="0" borderId="2" xfId="6" applyNumberFormat="1" applyFont="1"/>
    <xf numFmtId="178" fontId="50" fillId="0" borderId="2" xfId="6" applyNumberFormat="1" applyFont="1"/>
    <xf numFmtId="5" fontId="52" fillId="0" borderId="2" xfId="6" applyNumberFormat="1" applyFont="1"/>
    <xf numFmtId="170" fontId="50" fillId="0" borderId="2" xfId="6" applyNumberFormat="1" applyFont="1"/>
    <xf numFmtId="0" fontId="47" fillId="0" borderId="0" xfId="0" applyFont="1"/>
    <xf numFmtId="9" fontId="47" fillId="0" borderId="0" xfId="0" applyNumberFormat="1" applyFont="1"/>
    <xf numFmtId="0" fontId="62" fillId="0" borderId="0" xfId="0" applyFont="1"/>
    <xf numFmtId="0" fontId="61" fillId="0" borderId="0" xfId="5" applyFont="1" applyFill="1"/>
    <xf numFmtId="0" fontId="20" fillId="7" borderId="0" xfId="0" applyFont="1" applyFill="1"/>
    <xf numFmtId="37" fontId="32" fillId="0" borderId="0" xfId="0" applyNumberFormat="1" applyFont="1" applyAlignment="1">
      <alignment horizontal="right"/>
    </xf>
    <xf numFmtId="0" fontId="61" fillId="0" borderId="0" xfId="5" applyFont="1"/>
    <xf numFmtId="173" fontId="63" fillId="0" borderId="0" xfId="0" applyNumberFormat="1" applyFont="1"/>
    <xf numFmtId="39" fontId="58" fillId="0" borderId="5" xfId="0" applyNumberFormat="1" applyFont="1" applyBorder="1"/>
    <xf numFmtId="0" fontId="21" fillId="18" borderId="0" xfId="0" applyFont="1" applyFill="1" applyAlignment="1">
      <alignment horizontal="left" indent="1"/>
    </xf>
    <xf numFmtId="37" fontId="21" fillId="18" borderId="2" xfId="0" applyNumberFormat="1" applyFont="1" applyFill="1" applyBorder="1" applyAlignment="1">
      <alignment horizontal="right"/>
    </xf>
    <xf numFmtId="37" fontId="32" fillId="18" borderId="2" xfId="0" applyNumberFormat="1" applyFont="1" applyFill="1" applyBorder="1" applyAlignment="1">
      <alignment horizontal="right"/>
    </xf>
    <xf numFmtId="165" fontId="32" fillId="18" borderId="2" xfId="0" applyNumberFormat="1" applyFont="1" applyFill="1" applyBorder="1" applyAlignment="1">
      <alignment horizontal="right"/>
    </xf>
    <xf numFmtId="165" fontId="32" fillId="18" borderId="0" xfId="0" applyNumberFormat="1" applyFont="1" applyFill="1" applyAlignment="1">
      <alignment horizontal="right"/>
    </xf>
    <xf numFmtId="165" fontId="21" fillId="18" borderId="0" xfId="0" applyNumberFormat="1" applyFont="1" applyFill="1" applyAlignment="1">
      <alignment horizontal="right"/>
    </xf>
    <xf numFmtId="165" fontId="47" fillId="18" borderId="2" xfId="0" applyNumberFormat="1" applyFont="1" applyFill="1" applyBorder="1" applyAlignment="1">
      <alignment horizontal="right"/>
    </xf>
    <xf numFmtId="0" fontId="47" fillId="18" borderId="0" xfId="0" applyFont="1" applyFill="1"/>
    <xf numFmtId="0" fontId="21" fillId="18" borderId="0" xfId="0" applyFont="1" applyFill="1"/>
    <xf numFmtId="165" fontId="47" fillId="18" borderId="0" xfId="0" applyNumberFormat="1" applyFont="1" applyFill="1" applyAlignment="1">
      <alignment horizontal="right"/>
    </xf>
    <xf numFmtId="0" fontId="0" fillId="18" borderId="0" xfId="0" applyFill="1"/>
    <xf numFmtId="10" fontId="8" fillId="18" borderId="0" xfId="0" applyNumberFormat="1" applyFont="1" applyFill="1"/>
    <xf numFmtId="165" fontId="21" fillId="18" borderId="2" xfId="0" applyNumberFormat="1" applyFont="1" applyFill="1" applyBorder="1" applyAlignment="1">
      <alignment horizontal="right"/>
    </xf>
    <xf numFmtId="165" fontId="21" fillId="18" borderId="0" xfId="0" applyNumberFormat="1" applyFont="1" applyFill="1"/>
    <xf numFmtId="164" fontId="4" fillId="18" borderId="0" xfId="0" applyNumberFormat="1" applyFont="1" applyFill="1"/>
    <xf numFmtId="164" fontId="4" fillId="18" borderId="0" xfId="0" applyNumberFormat="1" applyFont="1" applyFill="1" applyAlignment="1">
      <alignment horizontal="center"/>
    </xf>
    <xf numFmtId="165" fontId="4" fillId="18" borderId="0" xfId="0" applyNumberFormat="1" applyFont="1" applyFill="1"/>
    <xf numFmtId="0" fontId="38" fillId="0" borderId="0" xfId="0" applyFont="1" applyAlignment="1">
      <alignment horizontal="left" indent="1"/>
    </xf>
    <xf numFmtId="172" fontId="39" fillId="0" borderId="2" xfId="6" applyNumberFormat="1" applyFont="1"/>
    <xf numFmtId="10" fontId="38" fillId="0" borderId="0" xfId="0" applyNumberFormat="1" applyFont="1"/>
    <xf numFmtId="10" fontId="38" fillId="0" borderId="0" xfId="9" applyNumberFormat="1" applyFont="1" applyAlignment="1">
      <alignment horizontal="right"/>
    </xf>
    <xf numFmtId="10" fontId="38" fillId="0" borderId="2" xfId="6" applyNumberFormat="1" applyFont="1" applyAlignment="1">
      <alignment horizontal="right"/>
    </xf>
    <xf numFmtId="0" fontId="40" fillId="11" borderId="0" xfId="0" applyFont="1" applyFill="1"/>
    <xf numFmtId="10" fontId="40" fillId="11" borderId="0" xfId="0" applyNumberFormat="1" applyFont="1" applyFill="1"/>
    <xf numFmtId="5" fontId="40" fillId="11" borderId="0" xfId="0" applyNumberFormat="1" applyFont="1" applyFill="1" applyAlignment="1">
      <alignment horizontal="right"/>
    </xf>
    <xf numFmtId="0" fontId="38" fillId="0" borderId="0" xfId="0" applyFont="1" applyAlignment="1">
      <alignment horizontal="right"/>
    </xf>
    <xf numFmtId="3" fontId="38" fillId="0" borderId="0" xfId="0" applyNumberFormat="1" applyFont="1"/>
    <xf numFmtId="0" fontId="1" fillId="0" borderId="2" xfId="6" applyFont="1"/>
    <xf numFmtId="5" fontId="2" fillId="0" borderId="2" xfId="6" applyNumberFormat="1"/>
    <xf numFmtId="0" fontId="38" fillId="0" borderId="0" xfId="0" applyFont="1" applyAlignment="1">
      <alignment horizontal="centerContinuous"/>
    </xf>
    <xf numFmtId="182" fontId="38" fillId="0" borderId="27" xfId="0" applyNumberFormat="1" applyFont="1" applyBorder="1" applyAlignment="1">
      <alignment horizontal="centerContinuous"/>
    </xf>
    <xf numFmtId="182" fontId="38" fillId="0" borderId="28" xfId="0" applyNumberFormat="1" applyFont="1" applyBorder="1" applyAlignment="1">
      <alignment horizontal="centerContinuous"/>
    </xf>
    <xf numFmtId="0" fontId="38" fillId="10" borderId="29" xfId="0" applyFont="1" applyFill="1" applyBorder="1"/>
    <xf numFmtId="0" fontId="38" fillId="0" borderId="13" xfId="0" applyFont="1" applyBorder="1" applyAlignment="1">
      <alignment horizontal="right"/>
    </xf>
    <xf numFmtId="0" fontId="38" fillId="10" borderId="30" xfId="0" applyFont="1" applyFill="1" applyBorder="1"/>
    <xf numFmtId="165" fontId="38" fillId="0" borderId="14" xfId="0" applyNumberFormat="1" applyFont="1" applyBorder="1"/>
    <xf numFmtId="0" fontId="38" fillId="10" borderId="31" xfId="0" applyFont="1" applyFill="1" applyBorder="1"/>
    <xf numFmtId="165" fontId="38" fillId="0" borderId="16" xfId="0" applyNumberFormat="1" applyFont="1" applyBorder="1"/>
    <xf numFmtId="0" fontId="38" fillId="0" borderId="13" xfId="0" applyFont="1" applyBorder="1"/>
    <xf numFmtId="182" fontId="40" fillId="0" borderId="26" xfId="0" applyNumberFormat="1" applyFont="1" applyBorder="1" applyAlignment="1">
      <alignment horizontal="centerContinuous"/>
    </xf>
    <xf numFmtId="14" fontId="38" fillId="0" borderId="0" xfId="0" applyNumberFormat="1" applyFont="1"/>
    <xf numFmtId="183" fontId="38" fillId="0" borderId="0" xfId="0" applyNumberFormat="1" applyFont="1"/>
    <xf numFmtId="172" fontId="38" fillId="0" borderId="0" xfId="0" applyNumberFormat="1" applyFont="1"/>
    <xf numFmtId="0" fontId="40" fillId="0" borderId="0" xfId="0" applyFont="1"/>
    <xf numFmtId="5" fontId="40" fillId="0" borderId="0" xfId="0" applyNumberFormat="1" applyFont="1"/>
    <xf numFmtId="10" fontId="40" fillId="0" borderId="0" xfId="0" applyNumberFormat="1" applyFont="1"/>
    <xf numFmtId="37" fontId="38" fillId="0" borderId="0" xfId="0" applyNumberFormat="1" applyFont="1"/>
    <xf numFmtId="170" fontId="40" fillId="0" borderId="0" xfId="0" applyNumberFormat="1" applyFont="1"/>
    <xf numFmtId="0" fontId="64" fillId="14" borderId="0" xfId="0" applyFont="1" applyFill="1"/>
    <xf numFmtId="180" fontId="66" fillId="14" borderId="0" xfId="0" applyNumberFormat="1" applyFont="1" applyFill="1"/>
    <xf numFmtId="172" fontId="66" fillId="14" borderId="0" xfId="0" applyNumberFormat="1" applyFont="1" applyFill="1"/>
    <xf numFmtId="0" fontId="38" fillId="10" borderId="32" xfId="0" applyFont="1" applyFill="1" applyBorder="1"/>
    <xf numFmtId="165" fontId="38" fillId="0" borderId="33" xfId="0" applyNumberFormat="1" applyFont="1" applyBorder="1"/>
    <xf numFmtId="0" fontId="65" fillId="14" borderId="11" xfId="0" applyFont="1" applyFill="1" applyBorder="1" applyAlignment="1">
      <alignment horizontal="centerContinuous"/>
    </xf>
    <xf numFmtId="0" fontId="65" fillId="14" borderId="17" xfId="0" applyFont="1" applyFill="1" applyBorder="1" applyAlignment="1">
      <alignment horizontal="centerContinuous"/>
    </xf>
    <xf numFmtId="0" fontId="65" fillId="14" borderId="18" xfId="0" applyFont="1" applyFill="1" applyBorder="1" applyAlignment="1">
      <alignment horizontal="centerContinuous"/>
    </xf>
    <xf numFmtId="178" fontId="38" fillId="0" borderId="0" xfId="0" applyNumberFormat="1" applyFont="1"/>
    <xf numFmtId="176" fontId="38" fillId="0" borderId="0" xfId="0" applyNumberFormat="1" applyFont="1"/>
    <xf numFmtId="172" fontId="51" fillId="15" borderId="11" xfId="6" applyNumberFormat="1" applyFont="1" applyFill="1" applyBorder="1" applyAlignment="1">
      <alignment horizontal="centerContinuous"/>
    </xf>
    <xf numFmtId="170" fontId="50" fillId="11" borderId="18" xfId="6" applyNumberFormat="1" applyFont="1" applyFill="1" applyBorder="1"/>
    <xf numFmtId="184" fontId="52" fillId="0" borderId="27" xfId="6" applyNumberFormat="1" applyFont="1" applyBorder="1" applyAlignment="1">
      <alignment horizontal="centerContinuous"/>
    </xf>
    <xf numFmtId="184" fontId="38" fillId="0" borderId="27" xfId="0" applyNumberFormat="1" applyFont="1" applyBorder="1" applyAlignment="1">
      <alignment horizontal="centerContinuous"/>
    </xf>
    <xf numFmtId="184" fontId="38" fillId="0" borderId="28" xfId="0" applyNumberFormat="1" applyFont="1" applyBorder="1" applyAlignment="1">
      <alignment horizontal="centerContinuous"/>
    </xf>
    <xf numFmtId="185" fontId="52" fillId="0" borderId="26" xfId="6" applyNumberFormat="1" applyFont="1" applyBorder="1" applyAlignment="1">
      <alignment horizontal="centerContinuous"/>
    </xf>
    <xf numFmtId="0" fontId="31" fillId="8" borderId="12" xfId="0" applyFont="1" applyFill="1" applyBorder="1" applyAlignment="1">
      <alignment horizontal="left" vertical="center"/>
    </xf>
    <xf numFmtId="0" fontId="31" fillId="8" borderId="13" xfId="0" applyFont="1" applyFill="1" applyBorder="1" applyAlignment="1">
      <alignment horizontal="left" vertical="center"/>
    </xf>
    <xf numFmtId="0" fontId="31" fillId="8" borderId="2" xfId="0" applyFont="1" applyFill="1" applyBorder="1" applyAlignment="1">
      <alignment horizontal="left" vertical="center"/>
    </xf>
    <xf numFmtId="0" fontId="31" fillId="8" borderId="14" xfId="0" applyFont="1" applyFill="1" applyBorder="1" applyAlignment="1">
      <alignment horizontal="left" vertical="center"/>
    </xf>
    <xf numFmtId="0" fontId="31" fillId="8" borderId="15" xfId="0" applyFont="1" applyFill="1" applyBorder="1" applyAlignment="1">
      <alignment horizontal="left" vertical="center"/>
    </xf>
    <xf numFmtId="0" fontId="31" fillId="8" borderId="16" xfId="0" applyFont="1" applyFill="1" applyBorder="1" applyAlignment="1">
      <alignment horizontal="left" vertical="center"/>
    </xf>
    <xf numFmtId="0" fontId="34" fillId="3" borderId="0" xfId="0" applyFont="1" applyFill="1" applyAlignment="1">
      <alignment horizontal="center"/>
    </xf>
    <xf numFmtId="164" fontId="9" fillId="4" borderId="2" xfId="0" applyNumberFormat="1" applyFont="1" applyFill="1" applyBorder="1" applyAlignment="1">
      <alignment horizontal="center"/>
    </xf>
    <xf numFmtId="0" fontId="16" fillId="3" borderId="0" xfId="0" applyFont="1" applyFill="1" applyAlignment="1">
      <alignment horizontal="left" vertical="top"/>
    </xf>
    <xf numFmtId="0" fontId="22" fillId="3" borderId="0" xfId="0" applyFont="1" applyFill="1" applyAlignment="1">
      <alignment horizontal="center"/>
    </xf>
    <xf numFmtId="0" fontId="48" fillId="14" borderId="2" xfId="6" applyFont="1" applyFill="1" applyAlignment="1">
      <alignment horizontal="left" vertical="top"/>
    </xf>
    <xf numFmtId="0" fontId="50" fillId="0" borderId="22" xfId="6" applyFont="1" applyBorder="1" applyAlignment="1">
      <alignment horizontal="right" vertical="center" textRotation="90"/>
    </xf>
    <xf numFmtId="0" fontId="37" fillId="3" borderId="2" xfId="6" applyFont="1" applyFill="1" applyAlignment="1">
      <alignment horizontal="left" vertical="top"/>
    </xf>
  </cellXfs>
  <cellStyles count="10">
    <cellStyle name="Hyperlink" xfId="5" builtinId="8"/>
    <cellStyle name="Hyperlink 2" xfId="2" xr:uid="{30FD4205-4283-4A6A-A64B-284F31D794C7}"/>
    <cellStyle name="Hyperlink 2 2" xfId="4" xr:uid="{5A0AA4A2-96E2-4DCB-8D0F-2E73B6D49FE2}"/>
    <cellStyle name="Normal" xfId="0" builtinId="0"/>
    <cellStyle name="Normal 2" xfId="3" xr:uid="{34DC7261-9ACC-4036-8A8C-A03CE005F23F}"/>
    <cellStyle name="Normal 2 2 2" xfId="1" xr:uid="{E616C273-7B25-47FB-AA32-803AF9F46522}"/>
    <cellStyle name="Normal 3" xfId="6" xr:uid="{DE609636-5999-49D2-9765-EC7A14C17895}"/>
    <cellStyle name="Normal_VALUE2_1.XLS" xfId="7" xr:uid="{2D58642E-00B2-4CB5-B0B7-303F65254CB4}"/>
    <cellStyle name="Percent" xfId="9" builtinId="5"/>
    <cellStyle name="Percent 2" xfId="8" xr:uid="{FE206376-55FF-49AA-9720-4D111F4FABB7}"/>
  </cellStyles>
  <dxfs count="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none"/>
      </fill>
    </dxf>
  </dxfs>
  <tableStyles count="0" defaultTableStyle="TableStyleMedium2" defaultPivotStyle="PivotStyleLight16"/>
  <colors>
    <mruColors>
      <color rgb="FFF6F10B"/>
      <color rgb="FF0044BF"/>
      <color rgb="FFE7F2FF"/>
      <color rgb="FF3271D2"/>
      <color rgb="FF000C3F"/>
      <color rgb="FF273A8A"/>
      <color rgb="FF000CFF"/>
      <color rgb="FF00249F"/>
      <color rgb="FF006A9F"/>
      <color rgb="FF0095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26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microsoft.com/office/2017/06/relationships/rdRichValueStructure" Target="richData/rdrichvaluestructur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5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06/relationships/rdSupportingPropertyBagStructure" Target="richData/rdsupportingpropertybagstructure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23" Type="http://schemas.microsoft.com/office/2017/06/relationships/richStyles" Target="richData/richStyles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microsoft.com/office/2017/06/relationships/rdArray" Target="richData/rdarray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explosion val="2"/>
            <c:spPr>
              <a:solidFill>
                <a:srgbClr val="0044B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6F9-4C3C-BC60-55EF22EEFEF5}"/>
              </c:ext>
            </c:extLst>
          </c:dPt>
          <c:dPt>
            <c:idx val="1"/>
            <c:bubble3D val="0"/>
            <c:spPr>
              <a:solidFill>
                <a:srgbClr val="F6F10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6F9-4C3C-BC60-55EF22EEFEF5}"/>
              </c:ext>
            </c:extLst>
          </c:dPt>
          <c:dPt>
            <c:idx val="2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6F9-4C3C-BC60-55EF22EEFEF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6F9-4C3C-BC60-55EF22EEFEF5}"/>
              </c:ext>
            </c:extLst>
          </c:dPt>
          <c:dPt>
            <c:idx val="4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6F9-4C3C-BC60-55EF22EEFEF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6F9-4C3C-BC60-55EF22EEFEF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6F9-4C3C-BC60-55EF22EEFEF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6F9-4C3C-BC60-55EF22EEFEF5}"/>
              </c:ext>
            </c:extLst>
          </c:dPt>
          <c:dLbls>
            <c:dLbl>
              <c:idx val="0"/>
              <c:layout>
                <c:manualLayout>
                  <c:x val="1.9850946085791733E-2"/>
                  <c:y val="-3.074181412129528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6F9-4C3C-BC60-55EF22EEFEF5}"/>
                </c:ext>
              </c:extLst>
            </c:dLbl>
            <c:dLbl>
              <c:idx val="2"/>
              <c:layout>
                <c:manualLayout>
                  <c:x val="-1.0589341302814166E-2"/>
                  <c:y val="2.864077640853604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6F9-4C3C-BC60-55EF22EEFEF5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Schoolbook" panose="0204060405050502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('Segment Revenue Build 2'!$C$3,'Segment Revenue Build 2'!$C$6,'Segment Revenue Build 2'!$C$9,'Segment Revenue Build 2'!$C$12,'Segment Revenue Build 2'!$C$15,'Segment Revenue Build 2'!$C$18,'Segment Revenue Build 2'!$C$21,'Segment Revenue Build 2'!$C$24)</c:f>
              <c:strCache>
                <c:ptCount val="8"/>
                <c:pt idx="0">
                  <c:v>Computing</c:v>
                </c:pt>
                <c:pt idx="1">
                  <c:v>Consumer Electronics</c:v>
                </c:pt>
                <c:pt idx="2">
                  <c:v>Appliances</c:v>
                </c:pt>
                <c:pt idx="3">
                  <c:v>Entertainment</c:v>
                </c:pt>
                <c:pt idx="4">
                  <c:v>Services</c:v>
                </c:pt>
                <c:pt idx="5">
                  <c:v>Marketplace</c:v>
                </c:pt>
                <c:pt idx="6">
                  <c:v>Marketplace Ads</c:v>
                </c:pt>
                <c:pt idx="7">
                  <c:v>Other</c:v>
                </c:pt>
              </c:strCache>
            </c:strRef>
          </c:cat>
          <c:val>
            <c:numRef>
              <c:f>('Segment Revenue Build 2'!$E$3,'Segment Revenue Build 2'!$E$6,'Segment Revenue Build 2'!$E$9,'Segment Revenue Build 2'!$E$12,'Segment Revenue Build 2'!$E$15,'Segment Revenue Build 2'!$E$18,'Segment Revenue Build 2'!$E$21,'Segment Revenue Build 2'!$E$24)</c:f>
              <c:numCache>
                <c:formatCode>"$"#,##0_);\("$"#,##0\)</c:formatCode>
                <c:ptCount val="8"/>
                <c:pt idx="0">
                  <c:v>19681.254879754473</c:v>
                </c:pt>
                <c:pt idx="1">
                  <c:v>10601.027552631576</c:v>
                </c:pt>
                <c:pt idx="2">
                  <c:v>3922.7826500514107</c:v>
                </c:pt>
                <c:pt idx="3">
                  <c:v>3043.8957778921927</c:v>
                </c:pt>
                <c:pt idx="4">
                  <c:v>2786.9858219492144</c:v>
                </c:pt>
                <c:pt idx="5">
                  <c:v>78.297992677897696</c:v>
                </c:pt>
                <c:pt idx="6">
                  <c:v>111.80711647307001</c:v>
                </c:pt>
                <c:pt idx="7">
                  <c:v>385.45914587655199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89-4BCD-8E2C-573A7BB209D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entury Schoolbook" panose="02040604050505020304" pitchFamily="18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entury Schoolbook" panose="020406040505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'FB Field'!$L$4:$L$8</c:f>
              <c:numCache>
                <c:formatCode>"$"#,##0</c:formatCode>
                <c:ptCount val="5"/>
                <c:pt idx="0">
                  <c:v>17122.034165206198</c:v>
                </c:pt>
                <c:pt idx="1">
                  <c:v>16688.929120452704</c:v>
                </c:pt>
                <c:pt idx="2">
                  <c:v>25750.642500000005</c:v>
                </c:pt>
                <c:pt idx="3">
                  <c:v>26505.823499999999</c:v>
                </c:pt>
                <c:pt idx="4">
                  <c:v>18430.038252000002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FB-48BC-BE42-EAF816DFF9B7}"/>
            </c:ext>
          </c:extLst>
        </c:ser>
        <c:ser>
          <c:idx val="1"/>
          <c:order val="1"/>
          <c:spPr>
            <a:solidFill>
              <a:srgbClr val="000C3F"/>
            </a:solidFill>
            <a:ln>
              <a:solidFill>
                <a:schemeClr val="bg1"/>
              </a:solidFill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E7F2FF"/>
              </a:solidFill>
              <a:ln>
                <a:solidFill>
                  <a:schemeClr val="bg1"/>
                </a:solidFill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83FB-48BC-BE42-EAF816DFF9B7}"/>
              </c:ext>
            </c:extLst>
          </c:dPt>
          <c:dPt>
            <c:idx val="1"/>
            <c:invertIfNegative val="0"/>
            <c:bubble3D val="0"/>
            <c:spPr>
              <a:solidFill>
                <a:srgbClr val="E7F2FF"/>
              </a:solidFill>
              <a:ln>
                <a:solidFill>
                  <a:schemeClr val="bg1"/>
                </a:solidFill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83FB-48BC-BE42-EAF816DFF9B7}"/>
              </c:ext>
            </c:extLst>
          </c:dPt>
          <c:dLbls>
            <c:delete val="1"/>
          </c:dLbls>
          <c:val>
            <c:numRef>
              <c:f>'FB Field'!$P$4:$P$8</c:f>
              <c:numCache>
                <c:formatCode>"$"#,##0</c:formatCode>
                <c:ptCount val="5"/>
                <c:pt idx="0">
                  <c:v>3804.8964811569349</c:v>
                </c:pt>
                <c:pt idx="1">
                  <c:v>3708.6509156561588</c:v>
                </c:pt>
                <c:pt idx="2">
                  <c:v>5722.3650000000016</c:v>
                </c:pt>
                <c:pt idx="3">
                  <c:v>5890.1830000000009</c:v>
                </c:pt>
                <c:pt idx="4">
                  <c:v>4095.5640560000029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FB-48BC-BE42-EAF816DFF9B7}"/>
            </c:ext>
          </c:extLst>
        </c:ser>
        <c:ser>
          <c:idx val="2"/>
          <c:order val="2"/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'FB Field'!$M$4:$M$8</c:f>
              <c:numCache>
                <c:formatCode>"$"#,##0</c:formatCode>
                <c:ptCount val="5"/>
                <c:pt idx="0">
                  <c:v>20926.930646363133</c:v>
                </c:pt>
                <c:pt idx="1">
                  <c:v>20397.580036108862</c:v>
                </c:pt>
                <c:pt idx="2">
                  <c:v>31473.007500000007</c:v>
                </c:pt>
                <c:pt idx="3">
                  <c:v>32396.0065</c:v>
                </c:pt>
                <c:pt idx="4">
                  <c:v>22525.602308000005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FB-48BC-BE42-EAF816DFF9B7}"/>
            </c:ext>
          </c:extLst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20"/>
        <c:overlap val="100"/>
        <c:axId val="1749888912"/>
        <c:axId val="1749893232"/>
      </c:barChart>
      <c:scatterChart>
        <c:scatterStyle val="lineMarker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axId val="1693562704"/>
        <c:axId val="1693562224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3"/>
                <c:tx>
                  <c:v>Intrinsic Average</c:v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1" i="0" u="none" strike="noStrike" kern="1200" baseline="0">
                          <a:solidFill>
                            <a:schemeClr val="tx1"/>
                          </a:solidFill>
                          <a:latin typeface="Arial Narrow" panose="020B0606020202030204" pitchFamily="34" charset="0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yVal>
                  <c:numRef>
                    <c:extLst>
                      <c:ext uri="{02D57815-91ED-43cb-92C2-25804820EDAC}">
                        <c15:formulaRef>
                          <c15:sqref>'FB Field'!$C$12:$C$16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5"/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7-83FB-48BC-BE42-EAF816DFF9B7}"/>
                  </c:ext>
                </c:extLst>
              </c15:ser>
            </c15:filteredScatterSeries>
          </c:ext>
        </c:extLst>
      </c:scatterChart>
      <c:catAx>
        <c:axId val="1749888912"/>
        <c:scaling>
          <c:orientation val="minMax"/>
        </c:scaling>
        <c:delete val="1"/>
        <c:axPos val="l"/>
        <c:majorTickMark val="none"/>
        <c:minorTickMark val="none"/>
        <c:tickLblPos val="nextTo"/>
        <c:crossAx val="1749893232"/>
        <c:crosses val="autoZero"/>
        <c:auto val="1"/>
        <c:lblAlgn val="ctr"/>
        <c:lblOffset val="100"/>
        <c:noMultiLvlLbl val="0"/>
      </c:catAx>
      <c:valAx>
        <c:axId val="1749893232"/>
        <c:scaling>
          <c:orientation val="minMax"/>
          <c:max val="36000"/>
          <c:min val="10000"/>
        </c:scaling>
        <c:delete val="0"/>
        <c:axPos val="b"/>
        <c:numFmt formatCode="&quot;$&quot;#,##0" sourceLinked="1"/>
        <c:majorTickMark val="out"/>
        <c:minorTickMark val="none"/>
        <c:tickLblPos val="nextTo"/>
        <c:spPr>
          <a:noFill/>
          <a:ln>
            <a:solidFill>
              <a:schemeClr val="bg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1749888912"/>
        <c:crosses val="autoZero"/>
        <c:crossBetween val="between"/>
      </c:valAx>
      <c:valAx>
        <c:axId val="1693562224"/>
        <c:scaling>
          <c:orientation val="minMax"/>
        </c:scaling>
        <c:delete val="1"/>
        <c:axPos val="r"/>
        <c:numFmt formatCode="_(* #,##0.00_);_(* \(#,##0.00\);_(* &quot;-&quot;??_);_(@_)" sourceLinked="1"/>
        <c:majorTickMark val="out"/>
        <c:minorTickMark val="none"/>
        <c:tickLblPos val="nextTo"/>
        <c:crossAx val="1693562704"/>
        <c:crosses val="max"/>
        <c:crossBetween val="midCat"/>
      </c:valAx>
      <c:valAx>
        <c:axId val="1693562704"/>
        <c:scaling>
          <c:orientation val="minMax"/>
        </c:scaling>
        <c:delete val="1"/>
        <c:axPos val="b"/>
        <c:majorTickMark val="out"/>
        <c:minorTickMark val="none"/>
        <c:tickLblPos val="nextTo"/>
        <c:crossAx val="1693562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="1">
          <a:solidFill>
            <a:schemeClr val="tx1"/>
          </a:solidFill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Century Schoolbook" panose="0204060405050502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'FB Field'!$F$4:$F$9</c:f>
              <c:numCache>
                <c:formatCode>"$"#,##0</c:formatCode>
                <c:ptCount val="6"/>
                <c:pt idx="0">
                  <c:v>80.852419968634337</c:v>
                </c:pt>
                <c:pt idx="1">
                  <c:v>78.852858358507405</c:v>
                </c:pt>
                <c:pt idx="2">
                  <c:v>120.68902354570639</c:v>
                </c:pt>
                <c:pt idx="3">
                  <c:v>124.17554709141274</c:v>
                </c:pt>
                <c:pt idx="4">
                  <c:v>86.891220000000018</c:v>
                </c:pt>
                <c:pt idx="5">
                  <c:v>54.99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C-4DF0-8C65-1A1D516F8000}"/>
            </c:ext>
          </c:extLst>
        </c:ser>
        <c:ser>
          <c:idx val="1"/>
          <c:order val="1"/>
          <c:spPr>
            <a:solidFill>
              <a:srgbClr val="FFF200"/>
            </a:solidFill>
            <a:ln w="0">
              <a:solidFill>
                <a:schemeClr val="bg1"/>
              </a:solidFill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EBC-4DF0-8C65-1A1D516F8000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EBC-4DF0-8C65-1A1D516F8000}"/>
              </c:ext>
            </c:extLst>
          </c:dPt>
          <c:dPt>
            <c:idx val="2"/>
            <c:invertIfNegative val="0"/>
            <c:bubble3D val="0"/>
            <c:spPr>
              <a:solidFill>
                <a:srgbClr val="0044B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EBC-4DF0-8C65-1A1D516F8000}"/>
              </c:ext>
            </c:extLst>
          </c:dPt>
          <c:dPt>
            <c:idx val="3"/>
            <c:invertIfNegative val="0"/>
            <c:bubble3D val="0"/>
            <c:spPr>
              <a:solidFill>
                <a:srgbClr val="0044B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FEBC-4DF0-8C65-1A1D516F8000}"/>
              </c:ext>
            </c:extLst>
          </c:dPt>
          <c:dPt>
            <c:idx val="4"/>
            <c:invertIfNegative val="0"/>
            <c:bubble3D val="0"/>
            <c:spPr>
              <a:solidFill>
                <a:srgbClr val="0044B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FEBC-4DF0-8C65-1A1D516F8000}"/>
              </c:ext>
            </c:extLst>
          </c:dPt>
          <c:dPt>
            <c:idx val="5"/>
            <c:invertIfNegative val="0"/>
            <c:bubble3D val="0"/>
            <c:spPr>
              <a:solidFill>
                <a:srgbClr val="0044B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FEBC-4DF0-8C65-1A1D516F8000}"/>
              </c:ext>
            </c:extLst>
          </c:dPt>
          <c:dLbls>
            <c:delete val="1"/>
          </c:dLbls>
          <c:val>
            <c:numRef>
              <c:f>'FB Field'!$G$4:$G$9</c:f>
              <c:numCache>
                <c:formatCode>"$"#,##0</c:formatCode>
                <c:ptCount val="6"/>
                <c:pt idx="0">
                  <c:v>17.967204437474308</c:v>
                </c:pt>
                <c:pt idx="1">
                  <c:v>17.52285741300166</c:v>
                </c:pt>
                <c:pt idx="2">
                  <c:v>26.819783010156982</c:v>
                </c:pt>
                <c:pt idx="3">
                  <c:v>27.594566020313948</c:v>
                </c:pt>
                <c:pt idx="4">
                  <c:v>19.309160000000006</c:v>
                </c:pt>
                <c:pt idx="5">
                  <c:v>36.729999999999997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BC-4DF0-8C65-1A1D516F8000}"/>
            </c:ext>
          </c:extLst>
        </c:ser>
        <c:ser>
          <c:idx val="2"/>
          <c:order val="2"/>
          <c:spPr>
            <a:noFill/>
            <a:ln>
              <a:noFill/>
            </a:ln>
            <a:effectLst/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Century Schoolbook" panose="0204060405050502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'FB Field'!$D$4:$D$9</c:f>
              <c:numCache>
                <c:formatCode>"$"#,##0</c:formatCode>
                <c:ptCount val="6"/>
                <c:pt idx="0">
                  <c:v>98.819624406108645</c:v>
                </c:pt>
                <c:pt idx="1">
                  <c:v>96.375715771509064</c:v>
                </c:pt>
                <c:pt idx="2">
                  <c:v>147.50880655586337</c:v>
                </c:pt>
                <c:pt idx="3">
                  <c:v>151.77011311172669</c:v>
                </c:pt>
                <c:pt idx="4">
                  <c:v>106.20038000000002</c:v>
                </c:pt>
                <c:pt idx="5">
                  <c:v>91.72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EBC-4DF0-8C65-1A1D516F800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0"/>
        <c:overlap val="100"/>
        <c:axId val="1749888912"/>
        <c:axId val="1749893232"/>
      </c:barChart>
      <c:scatterChart>
        <c:scatterStyle val="lineMarker"/>
        <c:varyColors val="0"/>
        <c:ser>
          <c:idx val="3"/>
          <c:order val="3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'FB Field'!$C$12:$C$16</c:f>
              <c:numCache>
                <c:formatCode>_(* #,##0.00_);_(* \(#,##0.00\);_(* "-"??_);_(@_)</c:formatCode>
                <c:ptCount val="5"/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v>Intrinsic Average</c:v>
                </c15:tx>
              </c15:filteredSeriesTitle>
            </c:ext>
            <c:ext xmlns:c16="http://schemas.microsoft.com/office/drawing/2014/chart" uri="{C3380CC4-5D6E-409C-BE32-E72D297353CC}">
              <c16:uniqueId val="{0000000D-FEBC-4DF0-8C65-1A1D516F8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3562704"/>
        <c:axId val="1693562224"/>
      </c:scatterChart>
      <c:catAx>
        <c:axId val="1749888912"/>
        <c:scaling>
          <c:orientation val="minMax"/>
        </c:scaling>
        <c:delete val="1"/>
        <c:axPos val="l"/>
        <c:majorTickMark val="none"/>
        <c:minorTickMark val="none"/>
        <c:tickLblPos val="nextTo"/>
        <c:crossAx val="1749893232"/>
        <c:crosses val="autoZero"/>
        <c:auto val="1"/>
        <c:lblAlgn val="ctr"/>
        <c:lblOffset val="100"/>
        <c:noMultiLvlLbl val="0"/>
      </c:catAx>
      <c:valAx>
        <c:axId val="1749893232"/>
        <c:scaling>
          <c:orientation val="minMax"/>
          <c:max val="160"/>
          <c:min val="50"/>
        </c:scaling>
        <c:delete val="0"/>
        <c:axPos val="b"/>
        <c:numFmt formatCode="&quot;$&quot;#,##0" sourceLinked="1"/>
        <c:majorTickMark val="out"/>
        <c:minorTickMark val="none"/>
        <c:tickLblPos val="nextTo"/>
        <c:spPr>
          <a:solidFill>
            <a:schemeClr val="bg1"/>
          </a:solidFill>
          <a:ln>
            <a:solidFill>
              <a:schemeClr val="bg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1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749888912"/>
        <c:crosses val="autoZero"/>
        <c:crossBetween val="between"/>
      </c:valAx>
      <c:valAx>
        <c:axId val="1693562224"/>
        <c:scaling>
          <c:orientation val="minMax"/>
        </c:scaling>
        <c:delete val="1"/>
        <c:axPos val="r"/>
        <c:numFmt formatCode="_(* #,##0.00_);_(* \(#,##0.00\);_(* &quot;-&quot;??_);_(@_)" sourceLinked="1"/>
        <c:majorTickMark val="out"/>
        <c:minorTickMark val="none"/>
        <c:tickLblPos val="nextTo"/>
        <c:crossAx val="1693562704"/>
        <c:crosses val="max"/>
        <c:crossBetween val="midCat"/>
      </c:valAx>
      <c:valAx>
        <c:axId val="1693562704"/>
        <c:scaling>
          <c:orientation val="minMax"/>
        </c:scaling>
        <c:delete val="1"/>
        <c:axPos val="b"/>
        <c:majorTickMark val="out"/>
        <c:minorTickMark val="none"/>
        <c:tickLblPos val="nextTo"/>
        <c:crossAx val="1693562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1">
          <a:solidFill>
            <a:schemeClr val="tx1"/>
          </a:solidFill>
          <a:latin typeface="Century Schoolbook" panose="020406040505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% Online vs In-Person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'Three Statement Model'!$C$182</c:f>
              <c:strCache>
                <c:ptCount val="1"/>
                <c:pt idx="0">
                  <c:v> % In-Person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'Three Statement Model'!$D$181:$H$181</c:f>
              <c:numCache>
                <c:formatCode>0"A"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'Three Statement Model'!$D$182:$H$182</c:f>
              <c:numCache>
                <c:formatCode>0%</c:formatCode>
                <c:ptCount val="5"/>
                <c:pt idx="0">
                  <c:v>0.60488341585205874</c:v>
                </c:pt>
                <c:pt idx="1">
                  <c:v>0.68257954830857215</c:v>
                </c:pt>
                <c:pt idx="2">
                  <c:v>0.69303209641885177</c:v>
                </c:pt>
                <c:pt idx="3">
                  <c:v>0.69847187701371627</c:v>
                </c:pt>
                <c:pt idx="4">
                  <c:v>0.68710267771142364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35-8F48-BAEA-FE7A8A456DFD}"/>
            </c:ext>
          </c:extLst>
        </c:ser>
        <c:ser>
          <c:idx val="1"/>
          <c:order val="1"/>
          <c:tx>
            <c:strRef>
              <c:f>'Three Statement Model'!$C$183</c:f>
              <c:strCache>
                <c:ptCount val="1"/>
                <c:pt idx="0">
                  <c:v> % Online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'Three Statement Model'!$D$181:$H$181</c:f>
              <c:numCache>
                <c:formatCode>0"A"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'Three Statement Model'!$D$183:$H$183</c:f>
              <c:numCache>
                <c:formatCode>0%</c:formatCode>
                <c:ptCount val="5"/>
                <c:pt idx="0">
                  <c:v>0.39511658414794126</c:v>
                </c:pt>
                <c:pt idx="1">
                  <c:v>0.31742045169142791</c:v>
                </c:pt>
                <c:pt idx="2">
                  <c:v>0.30696790358114823</c:v>
                </c:pt>
                <c:pt idx="3">
                  <c:v>0.30152812298628373</c:v>
                </c:pt>
                <c:pt idx="4">
                  <c:v>0.31289732228857636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35-8F48-BAEA-FE7A8A456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4304864"/>
        <c:axId val="1314010336"/>
      </c:barChart>
      <c:catAx>
        <c:axId val="1314304864"/>
        <c:scaling>
          <c:orientation val="minMax"/>
        </c:scaling>
        <c:delete val="0"/>
        <c:axPos val="b"/>
        <c:numFmt formatCode="0&quot;A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4010336"/>
        <c:crosses val="autoZero"/>
        <c:auto val="1"/>
        <c:lblAlgn val="ctr"/>
        <c:lblOffset val="100"/>
        <c:noMultiLvlLbl val="0"/>
      </c:catAx>
      <c:valAx>
        <c:axId val="1314010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4304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Retailer Cash</a:t>
            </a:r>
            <a:r>
              <a:rPr lang="en-US" baseline="0"/>
              <a:t> Conversion Cycle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'Three Statement Model'!$W$158:$W$169</c:f>
              <c:strCache>
                <c:ptCount val="12"/>
                <c:pt idx="0">
                  <c:v> WMT</c:v>
                </c:pt>
                <c:pt idx="1">
                  <c:v> TGT</c:v>
                </c:pt>
                <c:pt idx="2">
                  <c:v> COST</c:v>
                </c:pt>
                <c:pt idx="3">
                  <c:v> BBY</c:v>
                </c:pt>
                <c:pt idx="4">
                  <c:v> ODP</c:v>
                </c:pt>
                <c:pt idx="5">
                  <c:v> GME</c:v>
                </c:pt>
                <c:pt idx="6">
                  <c:v> TJX</c:v>
                </c:pt>
                <c:pt idx="7">
                  <c:v> CVS</c:v>
                </c:pt>
                <c:pt idx="8">
                  <c:v> DG</c:v>
                </c:pt>
                <c:pt idx="9">
                  <c:v> DLTR</c:v>
                </c:pt>
                <c:pt idx="10">
                  <c:v> HD</c:v>
                </c:pt>
                <c:pt idx="11">
                  <c:v> LOW</c:v>
                </c:pt>
              </c:strCache>
            </c:strRef>
          </c:cat>
          <c:val>
            <c:numRef>
              <c:f>'Three Statement Model'!$X$158:$X$169</c:f>
              <c:numCache>
                <c:formatCode>_-* #,##0_-;\(#,##0\)_-;_-* "-"_-;_-@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2</c:v>
                </c:pt>
                <c:pt idx="3">
                  <c:v>11</c:v>
                </c:pt>
                <c:pt idx="4">
                  <c:v>25</c:v>
                </c:pt>
                <c:pt idx="5">
                  <c:v>32</c:v>
                </c:pt>
                <c:pt idx="6">
                  <c:v>24</c:v>
                </c:pt>
                <c:pt idx="7">
                  <c:v>15</c:v>
                </c:pt>
                <c:pt idx="8">
                  <c:v>33</c:v>
                </c:pt>
                <c:pt idx="9">
                  <c:v>34</c:v>
                </c:pt>
                <c:pt idx="10">
                  <c:v>47</c:v>
                </c:pt>
                <c:pt idx="1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40-634C-B0AA-61BB1417E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0771088"/>
        <c:axId val="670570640"/>
      </c:barChart>
      <c:catAx>
        <c:axId val="67077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0570640"/>
        <c:crosses val="autoZero"/>
        <c:auto val="1"/>
        <c:lblAlgn val="ctr"/>
        <c:lblOffset val="100"/>
        <c:noMultiLvlLbl val="0"/>
      </c:catAx>
      <c:valAx>
        <c:axId val="670570640"/>
        <c:scaling>
          <c:orientation val="minMax"/>
        </c:scaling>
        <c:delete val="0"/>
        <c:axPos val="l"/>
        <c:numFmt formatCode="_-* #,##0_-;\(#,##0\)_-;_-* &quot;-&quot;_-;_-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077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r>
              <a:rPr lang="en-US"/>
              <a:t>Free Cash Flow Projection (2026E - 2030E)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entury Schoolbook" panose="02040604050505020304" pitchFamily="18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44BF"/>
            </a:solidFill>
            <a:ln>
              <a:noFill/>
            </a:ln>
            <a:effectLst/>
          </c:spPr>
          <c:invertIfNegative val="0"/>
          <c:cat>
            <c:numRef>
              <c:f>DCF!$K$2:$O$2</c:f>
              <c:numCache>
                <c:formatCode>0"E"</c:formatCode>
                <c:ptCount val="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</c:numCache>
            </c:numRef>
          </c:cat>
          <c:val>
            <c:numRef>
              <c:f>DCF!$K$23:$O$23</c:f>
              <c:numCache>
                <c:formatCode>"$"#,##0_);\("$"#,##0\)</c:formatCode>
                <c:ptCount val="5"/>
                <c:pt idx="0">
                  <c:v>1546.9993506025485</c:v>
                </c:pt>
                <c:pt idx="1">
                  <c:v>1131.7029959058718</c:v>
                </c:pt>
                <c:pt idx="2">
                  <c:v>1301.4059017873678</c:v>
                </c:pt>
                <c:pt idx="3">
                  <c:v>1437.793763437573</c:v>
                </c:pt>
                <c:pt idx="4">
                  <c:v>1567.7466928397832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E-4440-AB38-E917B2E81E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49097871"/>
        <c:axId val="1549098351"/>
      </c:barChart>
      <c:catAx>
        <c:axId val="1549097871"/>
        <c:scaling>
          <c:orientation val="minMax"/>
        </c:scaling>
        <c:delete val="0"/>
        <c:axPos val="b"/>
        <c:numFmt formatCode="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549098351"/>
        <c:crosses val="autoZero"/>
        <c:auto val="1"/>
        <c:lblAlgn val="ctr"/>
        <c:lblOffset val="100"/>
        <c:noMultiLvlLbl val="0"/>
      </c:catAx>
      <c:valAx>
        <c:axId val="1549098351"/>
        <c:scaling>
          <c:orientation val="minMax"/>
        </c:scaling>
        <c:delete val="0"/>
        <c:axPos val="l"/>
        <c:numFmt formatCode="&quot;$&quot;#,##0_);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549097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Schoolbook" panose="020406040505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r>
              <a:rPr lang="en-US"/>
              <a:t>Revenue Projection (2026E - 2030E)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Century Schoolbook" panose="02040604050505020304" pitchFamily="18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44BF"/>
            </a:solidFill>
            <a:ln>
              <a:noFill/>
            </a:ln>
            <a:effectLst/>
          </c:spPr>
          <c:invertIfNegative val="0"/>
          <c:cat>
            <c:numRef>
              <c:f>DCF!$K$2:$O$2</c:f>
              <c:numCache>
                <c:formatCode>0"E"</c:formatCode>
                <c:ptCount val="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</c:numCache>
            </c:numRef>
          </c:cat>
          <c:val>
            <c:numRef>
              <c:f>DCF!$K$5:$O$5</c:f>
              <c:numCache>
                <c:formatCode>"$"#,##0_);\("$"#,##0\)</c:formatCode>
                <c:ptCount val="5"/>
                <c:pt idx="0">
                  <c:v>40904.251105770825</c:v>
                </c:pt>
                <c:pt idx="1">
                  <c:v>40723.318053779454</c:v>
                </c:pt>
                <c:pt idx="2">
                  <c:v>41207.585043944753</c:v>
                </c:pt>
                <c:pt idx="3">
                  <c:v>41369.946055395172</c:v>
                </c:pt>
                <c:pt idx="4">
                  <c:v>41600.109975677769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54-4198-8744-02F3061534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67163999"/>
        <c:axId val="1967158239"/>
      </c:barChart>
      <c:catAx>
        <c:axId val="1967163999"/>
        <c:scaling>
          <c:orientation val="minMax"/>
        </c:scaling>
        <c:delete val="0"/>
        <c:axPos val="b"/>
        <c:numFmt formatCode="0&quot;E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967158239"/>
        <c:crosses val="autoZero"/>
        <c:auto val="1"/>
        <c:lblAlgn val="ctr"/>
        <c:lblOffset val="100"/>
        <c:noMultiLvlLbl val="0"/>
      </c:catAx>
      <c:valAx>
        <c:axId val="1967158239"/>
        <c:scaling>
          <c:orientation val="minMax"/>
        </c:scaling>
        <c:delete val="0"/>
        <c:axPos val="l"/>
        <c:numFmt formatCode="&quot;$&quot;#,##0_);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967163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Schoolbook" panose="020406040505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</a:t>
            </a:r>
            <a:r>
              <a:rPr lang="en-US" baseline="0"/>
              <a:t>, EBITDA &amp; FCF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Revenue (Left Axis)</c:v>
          </c:tx>
          <c:spPr>
            <a:solidFill>
              <a:srgbClr val="00B0F0"/>
            </a:solidFill>
            <a:ln>
              <a:solidFill>
                <a:srgbClr val="00B0F0"/>
              </a:solidFill>
            </a:ln>
            <a:effectLst/>
          </c:spPr>
          <c:invertIfNegative val="0"/>
          <c:cat>
            <c:numRef>
              <c:f>DCF!$F$4:$J$4</c:f>
              <c:numCache>
                <c:formatCode>0"A"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DCF!$F$5:$J$5</c:f>
              <c:numCache>
                <c:formatCode>"$"#,##0_);\("$"#,##0\)</c:formatCode>
                <c:ptCount val="5"/>
                <c:pt idx="0">
                  <c:v>47262</c:v>
                </c:pt>
                <c:pt idx="1">
                  <c:v>51761</c:v>
                </c:pt>
                <c:pt idx="2">
                  <c:v>46298</c:v>
                </c:pt>
                <c:pt idx="3">
                  <c:v>43452</c:v>
                </c:pt>
                <c:pt idx="4">
                  <c:v>41528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0D-BF43-8222-1BEAD7E526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0851952"/>
        <c:axId val="670853664"/>
      </c:barChart>
      <c:lineChart>
        <c:grouping val="standard"/>
        <c:varyColors val="0"/>
        <c:ser>
          <c:idx val="1"/>
          <c:order val="1"/>
          <c:tx>
            <c:v>EBITDA (Right Axis)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DCF!$F$11:$J$11</c:f>
              <c:numCache>
                <c:formatCode>"$"#,##0_);\("$"#,##0\)</c:formatCode>
                <c:ptCount val="5"/>
                <c:pt idx="0">
                  <c:v>3230</c:v>
                </c:pt>
                <c:pt idx="1">
                  <c:v>3908</c:v>
                </c:pt>
                <c:pt idx="2">
                  <c:v>2713</c:v>
                </c:pt>
                <c:pt idx="3">
                  <c:v>2497</c:v>
                </c:pt>
                <c:pt idx="4">
                  <c:v>2128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0D-BF43-8222-1BEAD7E5261F}"/>
            </c:ext>
          </c:extLst>
        </c:ser>
        <c:ser>
          <c:idx val="2"/>
          <c:order val="2"/>
          <c:tx>
            <c:v>FCF (Right Axis)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DCF!$F$23:$J$23</c:f>
              <c:numCache>
                <c:formatCode>"$"#,##0_);\("$"#,##0\)</c:formatCode>
                <c:ptCount val="5"/>
                <c:pt idx="0">
                  <c:v>3080.1527777777778</c:v>
                </c:pt>
                <c:pt idx="1">
                  <c:v>2424.1241610738257</c:v>
                </c:pt>
                <c:pt idx="2">
                  <c:v>984.1030228254167</c:v>
                </c:pt>
                <c:pt idx="3">
                  <c:v>467.85482625482632</c:v>
                </c:pt>
                <c:pt idx="4">
                  <c:v>1182.0490797546013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0D-BF43-8222-1BEAD7E526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0603360"/>
        <c:axId val="670962992"/>
      </c:lineChart>
      <c:catAx>
        <c:axId val="670851952"/>
        <c:scaling>
          <c:orientation val="minMax"/>
        </c:scaling>
        <c:delete val="0"/>
        <c:axPos val="b"/>
        <c:numFmt formatCode="0&quot;A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0853664"/>
        <c:crosses val="autoZero"/>
        <c:auto val="1"/>
        <c:lblAlgn val="ctr"/>
        <c:lblOffset val="100"/>
        <c:noMultiLvlLbl val="0"/>
      </c:catAx>
      <c:valAx>
        <c:axId val="670853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0851952"/>
        <c:crosses val="autoZero"/>
        <c:crossBetween val="between"/>
      </c:valAx>
      <c:valAx>
        <c:axId val="670962992"/>
        <c:scaling>
          <c:orientation val="minMax"/>
        </c:scaling>
        <c:delete val="0"/>
        <c:axPos val="r"/>
        <c:numFmt formatCode="&quot;$&quot;#,##0_);\(&quot;$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0603360"/>
        <c:crosses val="max"/>
        <c:crossBetween val="between"/>
      </c:valAx>
      <c:catAx>
        <c:axId val="670603360"/>
        <c:scaling>
          <c:orientation val="minMax"/>
        </c:scaling>
        <c:delete val="1"/>
        <c:axPos val="b"/>
        <c:majorTickMark val="out"/>
        <c:minorTickMark val="none"/>
        <c:tickLblPos val="nextTo"/>
        <c:crossAx val="67096299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BBY</c:v>
          </c:tx>
          <c:spPr>
            <a:ln w="28575" cap="rnd">
              <a:solidFill>
                <a:srgbClr val="0044BF"/>
              </a:solidFill>
              <a:round/>
            </a:ln>
            <a:effectLst/>
          </c:spPr>
          <c:marker>
            <c:symbol val="none"/>
          </c:marker>
          <c:cat>
            <c:numRef>
              <c:f>'One Pager'!$I$21:$I$1275</c:f>
              <c:numCache>
                <c:formatCode>General</c:formatCode>
                <c:ptCount val="1255"/>
                <c:pt idx="11" formatCode="m/d/yy">
                  <c:v>44162</c:v>
                </c:pt>
                <c:pt idx="12" formatCode="m/d/yy">
                  <c:v>44165</c:v>
                </c:pt>
                <c:pt idx="13" formatCode="m/d/yy">
                  <c:v>44166</c:v>
                </c:pt>
                <c:pt idx="14" formatCode="m/d/yy">
                  <c:v>44167</c:v>
                </c:pt>
                <c:pt idx="15" formatCode="m/d/yy">
                  <c:v>44168</c:v>
                </c:pt>
                <c:pt idx="16" formatCode="m/d/yy">
                  <c:v>44169</c:v>
                </c:pt>
                <c:pt idx="17" formatCode="m/d/yy">
                  <c:v>44172</c:v>
                </c:pt>
                <c:pt idx="18" formatCode="m/d/yy">
                  <c:v>44173</c:v>
                </c:pt>
                <c:pt idx="19" formatCode="m/d/yy">
                  <c:v>44174</c:v>
                </c:pt>
                <c:pt idx="20" formatCode="m/d/yy">
                  <c:v>44175</c:v>
                </c:pt>
                <c:pt idx="21" formatCode="m/d/yy">
                  <c:v>44176</c:v>
                </c:pt>
                <c:pt idx="22" formatCode="m/d/yy">
                  <c:v>44179</c:v>
                </c:pt>
                <c:pt idx="23" formatCode="m/d/yy">
                  <c:v>44180</c:v>
                </c:pt>
                <c:pt idx="24" formatCode="m/d/yy">
                  <c:v>44181</c:v>
                </c:pt>
                <c:pt idx="25" formatCode="m/d/yy">
                  <c:v>44182</c:v>
                </c:pt>
                <c:pt idx="26" formatCode="m/d/yy">
                  <c:v>44183</c:v>
                </c:pt>
                <c:pt idx="27" formatCode="m/d/yy">
                  <c:v>44186</c:v>
                </c:pt>
                <c:pt idx="28" formatCode="m/d/yy">
                  <c:v>44187</c:v>
                </c:pt>
                <c:pt idx="29" formatCode="m/d/yy">
                  <c:v>44188</c:v>
                </c:pt>
                <c:pt idx="30" formatCode="m/d/yy">
                  <c:v>44189</c:v>
                </c:pt>
                <c:pt idx="31" formatCode="m/d/yy">
                  <c:v>44193</c:v>
                </c:pt>
                <c:pt idx="32" formatCode="m/d/yy">
                  <c:v>44194</c:v>
                </c:pt>
                <c:pt idx="33" formatCode="m/d/yy">
                  <c:v>44195</c:v>
                </c:pt>
                <c:pt idx="34" formatCode="m/d/yy">
                  <c:v>44196</c:v>
                </c:pt>
                <c:pt idx="35" formatCode="m/d/yy">
                  <c:v>44200</c:v>
                </c:pt>
                <c:pt idx="36" formatCode="m/d/yy">
                  <c:v>44201</c:v>
                </c:pt>
                <c:pt idx="37" formatCode="m/d/yy">
                  <c:v>44202</c:v>
                </c:pt>
                <c:pt idx="38" formatCode="m/d/yy">
                  <c:v>44203</c:v>
                </c:pt>
                <c:pt idx="39" formatCode="m/d/yy">
                  <c:v>44204</c:v>
                </c:pt>
                <c:pt idx="40" formatCode="m/d/yy">
                  <c:v>44207</c:v>
                </c:pt>
                <c:pt idx="41" formatCode="m/d/yy">
                  <c:v>44208</c:v>
                </c:pt>
                <c:pt idx="42" formatCode="m/d/yy">
                  <c:v>44209</c:v>
                </c:pt>
                <c:pt idx="43" formatCode="m/d/yy">
                  <c:v>44210</c:v>
                </c:pt>
                <c:pt idx="44" formatCode="m/d/yy">
                  <c:v>44211</c:v>
                </c:pt>
                <c:pt idx="45" formatCode="m/d/yy">
                  <c:v>44215</c:v>
                </c:pt>
                <c:pt idx="46" formatCode="m/d/yy">
                  <c:v>44216</c:v>
                </c:pt>
                <c:pt idx="47" formatCode="m/d/yy">
                  <c:v>44217</c:v>
                </c:pt>
                <c:pt idx="48" formatCode="m/d/yy">
                  <c:v>44218</c:v>
                </c:pt>
                <c:pt idx="49" formatCode="m/d/yy">
                  <c:v>44221</c:v>
                </c:pt>
                <c:pt idx="50" formatCode="m/d/yy">
                  <c:v>44222</c:v>
                </c:pt>
                <c:pt idx="51" formatCode="m/d/yy">
                  <c:v>44223</c:v>
                </c:pt>
                <c:pt idx="52" formatCode="m/d/yy">
                  <c:v>44224</c:v>
                </c:pt>
                <c:pt idx="53" formatCode="m/d/yy">
                  <c:v>44225</c:v>
                </c:pt>
                <c:pt idx="54" formatCode="m/d/yy">
                  <c:v>44228</c:v>
                </c:pt>
                <c:pt idx="55" formatCode="m/d/yy">
                  <c:v>44229</c:v>
                </c:pt>
                <c:pt idx="56" formatCode="m/d/yy">
                  <c:v>44230</c:v>
                </c:pt>
                <c:pt idx="57" formatCode="m/d/yy">
                  <c:v>44231</c:v>
                </c:pt>
                <c:pt idx="58" formatCode="m/d/yy">
                  <c:v>44232</c:v>
                </c:pt>
                <c:pt idx="59" formatCode="m/d/yy">
                  <c:v>44235</c:v>
                </c:pt>
                <c:pt idx="60" formatCode="m/d/yy">
                  <c:v>44236</c:v>
                </c:pt>
                <c:pt idx="61" formatCode="m/d/yy">
                  <c:v>44237</c:v>
                </c:pt>
                <c:pt idx="62" formatCode="m/d/yy">
                  <c:v>44238</c:v>
                </c:pt>
                <c:pt idx="63" formatCode="m/d/yy">
                  <c:v>44239</c:v>
                </c:pt>
                <c:pt idx="64" formatCode="m/d/yy">
                  <c:v>44243</c:v>
                </c:pt>
                <c:pt idx="65" formatCode="m/d/yy">
                  <c:v>44244</c:v>
                </c:pt>
                <c:pt idx="66" formatCode="m/d/yy">
                  <c:v>44245</c:v>
                </c:pt>
                <c:pt idx="67" formatCode="m/d/yy">
                  <c:v>44246</c:v>
                </c:pt>
                <c:pt idx="68" formatCode="m/d/yy">
                  <c:v>44249</c:v>
                </c:pt>
                <c:pt idx="69" formatCode="m/d/yy">
                  <c:v>44250</c:v>
                </c:pt>
                <c:pt idx="70" formatCode="m/d/yy">
                  <c:v>44251</c:v>
                </c:pt>
                <c:pt idx="71" formatCode="m/d/yy">
                  <c:v>44252</c:v>
                </c:pt>
                <c:pt idx="72" formatCode="m/d/yy">
                  <c:v>44253</c:v>
                </c:pt>
                <c:pt idx="73" formatCode="m/d/yy">
                  <c:v>44256</c:v>
                </c:pt>
                <c:pt idx="74" formatCode="m/d/yy">
                  <c:v>44257</c:v>
                </c:pt>
                <c:pt idx="75" formatCode="m/d/yy">
                  <c:v>44258</c:v>
                </c:pt>
                <c:pt idx="76" formatCode="m/d/yy">
                  <c:v>44259</c:v>
                </c:pt>
                <c:pt idx="77" formatCode="m/d/yy">
                  <c:v>44260</c:v>
                </c:pt>
                <c:pt idx="78" formatCode="m/d/yy">
                  <c:v>44263</c:v>
                </c:pt>
                <c:pt idx="79" formatCode="m/d/yy">
                  <c:v>44264</c:v>
                </c:pt>
                <c:pt idx="80" formatCode="m/d/yy">
                  <c:v>44265</c:v>
                </c:pt>
                <c:pt idx="81" formatCode="m/d/yy">
                  <c:v>44266</c:v>
                </c:pt>
                <c:pt idx="82" formatCode="m/d/yy">
                  <c:v>44267</c:v>
                </c:pt>
                <c:pt idx="83" formatCode="m/d/yy">
                  <c:v>44270</c:v>
                </c:pt>
                <c:pt idx="84" formatCode="m/d/yy">
                  <c:v>44271</c:v>
                </c:pt>
                <c:pt idx="85" formatCode="m/d/yy">
                  <c:v>44272</c:v>
                </c:pt>
                <c:pt idx="86" formatCode="m/d/yy">
                  <c:v>44273</c:v>
                </c:pt>
                <c:pt idx="87" formatCode="m/d/yy">
                  <c:v>44274</c:v>
                </c:pt>
                <c:pt idx="88" formatCode="m/d/yy">
                  <c:v>44277</c:v>
                </c:pt>
                <c:pt idx="89" formatCode="m/d/yy">
                  <c:v>44278</c:v>
                </c:pt>
                <c:pt idx="90" formatCode="m/d/yy">
                  <c:v>44279</c:v>
                </c:pt>
                <c:pt idx="91" formatCode="m/d/yy">
                  <c:v>44280</c:v>
                </c:pt>
                <c:pt idx="92" formatCode="m/d/yy">
                  <c:v>44281</c:v>
                </c:pt>
                <c:pt idx="93" formatCode="m/d/yy">
                  <c:v>44284</c:v>
                </c:pt>
                <c:pt idx="94" formatCode="m/d/yy">
                  <c:v>44285</c:v>
                </c:pt>
                <c:pt idx="95" formatCode="m/d/yy">
                  <c:v>44286</c:v>
                </c:pt>
                <c:pt idx="96" formatCode="m/d/yy">
                  <c:v>44287</c:v>
                </c:pt>
                <c:pt idx="97" formatCode="m/d/yy">
                  <c:v>44291</c:v>
                </c:pt>
                <c:pt idx="98" formatCode="m/d/yy">
                  <c:v>44292</c:v>
                </c:pt>
                <c:pt idx="99" formatCode="m/d/yy">
                  <c:v>44293</c:v>
                </c:pt>
                <c:pt idx="100" formatCode="m/d/yy">
                  <c:v>44294</c:v>
                </c:pt>
                <c:pt idx="101" formatCode="m/d/yy">
                  <c:v>44295</c:v>
                </c:pt>
                <c:pt idx="102" formatCode="m/d/yy">
                  <c:v>44298</c:v>
                </c:pt>
                <c:pt idx="103" formatCode="m/d/yy">
                  <c:v>44299</c:v>
                </c:pt>
                <c:pt idx="104" formatCode="m/d/yy">
                  <c:v>44300</c:v>
                </c:pt>
                <c:pt idx="105" formatCode="m/d/yy">
                  <c:v>44301</c:v>
                </c:pt>
                <c:pt idx="106" formatCode="m/d/yy">
                  <c:v>44302</c:v>
                </c:pt>
                <c:pt idx="107" formatCode="m/d/yy">
                  <c:v>44305</c:v>
                </c:pt>
                <c:pt idx="108" formatCode="m/d/yy">
                  <c:v>44306</c:v>
                </c:pt>
                <c:pt idx="109" formatCode="m/d/yy">
                  <c:v>44307</c:v>
                </c:pt>
                <c:pt idx="110" formatCode="m/d/yy">
                  <c:v>44308</c:v>
                </c:pt>
                <c:pt idx="111" formatCode="m/d/yy">
                  <c:v>44309</c:v>
                </c:pt>
                <c:pt idx="112" formatCode="m/d/yy">
                  <c:v>44312</c:v>
                </c:pt>
                <c:pt idx="113" formatCode="m/d/yy">
                  <c:v>44313</c:v>
                </c:pt>
                <c:pt idx="114" formatCode="m/d/yy">
                  <c:v>44314</c:v>
                </c:pt>
                <c:pt idx="115" formatCode="m/d/yy">
                  <c:v>44315</c:v>
                </c:pt>
                <c:pt idx="116" formatCode="m/d/yy">
                  <c:v>44316</c:v>
                </c:pt>
                <c:pt idx="117" formatCode="m/d/yy">
                  <c:v>44319</c:v>
                </c:pt>
                <c:pt idx="118" formatCode="m/d/yy">
                  <c:v>44320</c:v>
                </c:pt>
                <c:pt idx="119" formatCode="m/d/yy">
                  <c:v>44321</c:v>
                </c:pt>
                <c:pt idx="120" formatCode="m/d/yy">
                  <c:v>44322</c:v>
                </c:pt>
                <c:pt idx="121" formatCode="m/d/yy">
                  <c:v>44323</c:v>
                </c:pt>
                <c:pt idx="122" formatCode="m/d/yy">
                  <c:v>44326</c:v>
                </c:pt>
                <c:pt idx="123" formatCode="m/d/yy">
                  <c:v>44327</c:v>
                </c:pt>
                <c:pt idx="124" formatCode="m/d/yy">
                  <c:v>44328</c:v>
                </c:pt>
                <c:pt idx="125" formatCode="m/d/yy">
                  <c:v>44329</c:v>
                </c:pt>
                <c:pt idx="126" formatCode="m/d/yy">
                  <c:v>44330</c:v>
                </c:pt>
                <c:pt idx="127" formatCode="m/d/yy">
                  <c:v>44333</c:v>
                </c:pt>
                <c:pt idx="128" formatCode="m/d/yy">
                  <c:v>44334</c:v>
                </c:pt>
                <c:pt idx="129" formatCode="m/d/yy">
                  <c:v>44335</c:v>
                </c:pt>
                <c:pt idx="130" formatCode="m/d/yy">
                  <c:v>44336</c:v>
                </c:pt>
                <c:pt idx="131" formatCode="m/d/yy">
                  <c:v>44337</c:v>
                </c:pt>
                <c:pt idx="132" formatCode="m/d/yy">
                  <c:v>44340</c:v>
                </c:pt>
                <c:pt idx="133" formatCode="m/d/yy">
                  <c:v>44341</c:v>
                </c:pt>
                <c:pt idx="134" formatCode="m/d/yy">
                  <c:v>44342</c:v>
                </c:pt>
                <c:pt idx="135" formatCode="m/d/yy">
                  <c:v>44343</c:v>
                </c:pt>
                <c:pt idx="136" formatCode="m/d/yy">
                  <c:v>44344</c:v>
                </c:pt>
                <c:pt idx="137" formatCode="m/d/yy">
                  <c:v>44348</c:v>
                </c:pt>
                <c:pt idx="138" formatCode="m/d/yy">
                  <c:v>44349</c:v>
                </c:pt>
                <c:pt idx="139" formatCode="m/d/yy">
                  <c:v>44350</c:v>
                </c:pt>
                <c:pt idx="140" formatCode="m/d/yy">
                  <c:v>44351</c:v>
                </c:pt>
                <c:pt idx="141" formatCode="m/d/yy">
                  <c:v>44354</c:v>
                </c:pt>
                <c:pt idx="142" formatCode="m/d/yy">
                  <c:v>44355</c:v>
                </c:pt>
                <c:pt idx="143" formatCode="m/d/yy">
                  <c:v>44356</c:v>
                </c:pt>
                <c:pt idx="144" formatCode="m/d/yy">
                  <c:v>44357</c:v>
                </c:pt>
                <c:pt idx="145" formatCode="m/d/yy">
                  <c:v>44358</c:v>
                </c:pt>
                <c:pt idx="146" formatCode="m/d/yy">
                  <c:v>44361</c:v>
                </c:pt>
                <c:pt idx="147" formatCode="m/d/yy">
                  <c:v>44362</c:v>
                </c:pt>
                <c:pt idx="148" formatCode="m/d/yy">
                  <c:v>44363</c:v>
                </c:pt>
                <c:pt idx="149" formatCode="m/d/yy">
                  <c:v>44364</c:v>
                </c:pt>
                <c:pt idx="150" formatCode="m/d/yy">
                  <c:v>44365</c:v>
                </c:pt>
                <c:pt idx="151" formatCode="m/d/yy">
                  <c:v>44368</c:v>
                </c:pt>
                <c:pt idx="152" formatCode="m/d/yy">
                  <c:v>44369</c:v>
                </c:pt>
                <c:pt idx="153" formatCode="m/d/yy">
                  <c:v>44370</c:v>
                </c:pt>
                <c:pt idx="154" formatCode="m/d/yy">
                  <c:v>44371</c:v>
                </c:pt>
                <c:pt idx="155" formatCode="m/d/yy">
                  <c:v>44372</c:v>
                </c:pt>
                <c:pt idx="156" formatCode="m/d/yy">
                  <c:v>44375</c:v>
                </c:pt>
                <c:pt idx="157" formatCode="m/d/yy">
                  <c:v>44376</c:v>
                </c:pt>
                <c:pt idx="158" formatCode="m/d/yy">
                  <c:v>44377</c:v>
                </c:pt>
                <c:pt idx="159" formatCode="m/d/yy">
                  <c:v>44378</c:v>
                </c:pt>
                <c:pt idx="160" formatCode="m/d/yy">
                  <c:v>44379</c:v>
                </c:pt>
                <c:pt idx="161" formatCode="m/d/yy">
                  <c:v>44383</c:v>
                </c:pt>
                <c:pt idx="162" formatCode="m/d/yy">
                  <c:v>44384</c:v>
                </c:pt>
                <c:pt idx="163" formatCode="m/d/yy">
                  <c:v>44385</c:v>
                </c:pt>
                <c:pt idx="164" formatCode="m/d/yy">
                  <c:v>44386</c:v>
                </c:pt>
                <c:pt idx="165" formatCode="m/d/yy">
                  <c:v>44389</c:v>
                </c:pt>
                <c:pt idx="166" formatCode="m/d/yy">
                  <c:v>44390</c:v>
                </c:pt>
                <c:pt idx="167" formatCode="m/d/yy">
                  <c:v>44391</c:v>
                </c:pt>
                <c:pt idx="168" formatCode="m/d/yy">
                  <c:v>44392</c:v>
                </c:pt>
                <c:pt idx="169" formatCode="m/d/yy">
                  <c:v>44393</c:v>
                </c:pt>
                <c:pt idx="170" formatCode="m/d/yy">
                  <c:v>44396</c:v>
                </c:pt>
                <c:pt idx="171" formatCode="m/d/yy">
                  <c:v>44397</c:v>
                </c:pt>
                <c:pt idx="172" formatCode="m/d/yy">
                  <c:v>44398</c:v>
                </c:pt>
                <c:pt idx="173" formatCode="m/d/yy">
                  <c:v>44399</c:v>
                </c:pt>
                <c:pt idx="174" formatCode="m/d/yy">
                  <c:v>44400</c:v>
                </c:pt>
                <c:pt idx="175" formatCode="m/d/yy">
                  <c:v>44403</c:v>
                </c:pt>
                <c:pt idx="176" formatCode="m/d/yy">
                  <c:v>44404</c:v>
                </c:pt>
                <c:pt idx="177" formatCode="m/d/yy">
                  <c:v>44405</c:v>
                </c:pt>
                <c:pt idx="178" formatCode="m/d/yy">
                  <c:v>44406</c:v>
                </c:pt>
                <c:pt idx="179" formatCode="m/d/yy">
                  <c:v>44407</c:v>
                </c:pt>
                <c:pt idx="180" formatCode="m/d/yy">
                  <c:v>44410</c:v>
                </c:pt>
                <c:pt idx="181" formatCode="m/d/yy">
                  <c:v>44411</c:v>
                </c:pt>
                <c:pt idx="182" formatCode="m/d/yy">
                  <c:v>44412</c:v>
                </c:pt>
                <c:pt idx="183" formatCode="m/d/yy">
                  <c:v>44413</c:v>
                </c:pt>
                <c:pt idx="184" formatCode="m/d/yy">
                  <c:v>44414</c:v>
                </c:pt>
                <c:pt idx="185" formatCode="m/d/yy">
                  <c:v>44417</c:v>
                </c:pt>
                <c:pt idx="186" formatCode="m/d/yy">
                  <c:v>44418</c:v>
                </c:pt>
                <c:pt idx="187" formatCode="m/d/yy">
                  <c:v>44419</c:v>
                </c:pt>
                <c:pt idx="188" formatCode="m/d/yy">
                  <c:v>44420</c:v>
                </c:pt>
                <c:pt idx="189" formatCode="m/d/yy">
                  <c:v>44421</c:v>
                </c:pt>
                <c:pt idx="190" formatCode="m/d/yy">
                  <c:v>44424</c:v>
                </c:pt>
                <c:pt idx="191" formatCode="m/d/yy">
                  <c:v>44425</c:v>
                </c:pt>
                <c:pt idx="192" formatCode="m/d/yy">
                  <c:v>44426</c:v>
                </c:pt>
                <c:pt idx="193" formatCode="m/d/yy">
                  <c:v>44427</c:v>
                </c:pt>
                <c:pt idx="194" formatCode="m/d/yy">
                  <c:v>44428</c:v>
                </c:pt>
                <c:pt idx="195" formatCode="m/d/yy">
                  <c:v>44431</c:v>
                </c:pt>
                <c:pt idx="196" formatCode="m/d/yy">
                  <c:v>44432</c:v>
                </c:pt>
                <c:pt idx="197" formatCode="m/d/yy">
                  <c:v>44433</c:v>
                </c:pt>
                <c:pt idx="198" formatCode="m/d/yy">
                  <c:v>44434</c:v>
                </c:pt>
                <c:pt idx="199" formatCode="m/d/yy">
                  <c:v>44435</c:v>
                </c:pt>
                <c:pt idx="200" formatCode="m/d/yy">
                  <c:v>44438</c:v>
                </c:pt>
                <c:pt idx="201" formatCode="m/d/yy">
                  <c:v>44439</c:v>
                </c:pt>
                <c:pt idx="202" formatCode="m/d/yy">
                  <c:v>44440</c:v>
                </c:pt>
                <c:pt idx="203" formatCode="m/d/yy">
                  <c:v>44441</c:v>
                </c:pt>
                <c:pt idx="204" formatCode="m/d/yy">
                  <c:v>44442</c:v>
                </c:pt>
                <c:pt idx="205" formatCode="m/d/yy">
                  <c:v>44446</c:v>
                </c:pt>
                <c:pt idx="206" formatCode="m/d/yy">
                  <c:v>44447</c:v>
                </c:pt>
                <c:pt idx="207" formatCode="m/d/yy">
                  <c:v>44448</c:v>
                </c:pt>
                <c:pt idx="208" formatCode="m/d/yy">
                  <c:v>44449</c:v>
                </c:pt>
                <c:pt idx="209" formatCode="m/d/yy">
                  <c:v>44452</c:v>
                </c:pt>
                <c:pt idx="210" formatCode="m/d/yy">
                  <c:v>44453</c:v>
                </c:pt>
                <c:pt idx="211" formatCode="m/d/yy">
                  <c:v>44454</c:v>
                </c:pt>
                <c:pt idx="212" formatCode="m/d/yy">
                  <c:v>44455</c:v>
                </c:pt>
                <c:pt idx="213" formatCode="m/d/yy">
                  <c:v>44456</c:v>
                </c:pt>
                <c:pt idx="214" formatCode="m/d/yy">
                  <c:v>44459</c:v>
                </c:pt>
                <c:pt idx="215" formatCode="m/d/yy">
                  <c:v>44460</c:v>
                </c:pt>
                <c:pt idx="216" formatCode="m/d/yy">
                  <c:v>44461</c:v>
                </c:pt>
                <c:pt idx="217" formatCode="m/d/yy">
                  <c:v>44462</c:v>
                </c:pt>
                <c:pt idx="218" formatCode="m/d/yy">
                  <c:v>44463</c:v>
                </c:pt>
                <c:pt idx="219" formatCode="m/d/yy">
                  <c:v>44466</c:v>
                </c:pt>
                <c:pt idx="220" formatCode="m/d/yy">
                  <c:v>44467</c:v>
                </c:pt>
                <c:pt idx="221" formatCode="m/d/yy">
                  <c:v>44468</c:v>
                </c:pt>
                <c:pt idx="222" formatCode="m/d/yy">
                  <c:v>44469</c:v>
                </c:pt>
                <c:pt idx="223" formatCode="m/d/yy">
                  <c:v>44470</c:v>
                </c:pt>
                <c:pt idx="224" formatCode="m/d/yy">
                  <c:v>44473</c:v>
                </c:pt>
                <c:pt idx="225" formatCode="m/d/yy">
                  <c:v>44474</c:v>
                </c:pt>
                <c:pt idx="226" formatCode="m/d/yy">
                  <c:v>44475</c:v>
                </c:pt>
                <c:pt idx="227" formatCode="m/d/yy">
                  <c:v>44476</c:v>
                </c:pt>
                <c:pt idx="228" formatCode="m/d/yy">
                  <c:v>44477</c:v>
                </c:pt>
                <c:pt idx="229" formatCode="m/d/yy">
                  <c:v>44480</c:v>
                </c:pt>
                <c:pt idx="230" formatCode="m/d/yy">
                  <c:v>44481</c:v>
                </c:pt>
                <c:pt idx="231" formatCode="m/d/yy">
                  <c:v>44482</c:v>
                </c:pt>
                <c:pt idx="232" formatCode="m/d/yy">
                  <c:v>44483</c:v>
                </c:pt>
                <c:pt idx="233" formatCode="m/d/yy">
                  <c:v>44484</c:v>
                </c:pt>
                <c:pt idx="234" formatCode="m/d/yy">
                  <c:v>44487</c:v>
                </c:pt>
                <c:pt idx="235" formatCode="m/d/yy">
                  <c:v>44488</c:v>
                </c:pt>
                <c:pt idx="236" formatCode="m/d/yy">
                  <c:v>44489</c:v>
                </c:pt>
                <c:pt idx="237" formatCode="m/d/yy">
                  <c:v>44490</c:v>
                </c:pt>
                <c:pt idx="238" formatCode="m/d/yy">
                  <c:v>44491</c:v>
                </c:pt>
                <c:pt idx="239" formatCode="m/d/yy">
                  <c:v>44494</c:v>
                </c:pt>
                <c:pt idx="240" formatCode="m/d/yy">
                  <c:v>44495</c:v>
                </c:pt>
                <c:pt idx="241" formatCode="m/d/yy">
                  <c:v>44496</c:v>
                </c:pt>
                <c:pt idx="242" formatCode="m/d/yy">
                  <c:v>44497</c:v>
                </c:pt>
                <c:pt idx="243" formatCode="m/d/yy">
                  <c:v>44498</c:v>
                </c:pt>
                <c:pt idx="244" formatCode="m/d/yy">
                  <c:v>44501</c:v>
                </c:pt>
                <c:pt idx="245" formatCode="m/d/yy">
                  <c:v>44502</c:v>
                </c:pt>
                <c:pt idx="246" formatCode="m/d/yy">
                  <c:v>44503</c:v>
                </c:pt>
                <c:pt idx="247" formatCode="m/d/yy">
                  <c:v>44504</c:v>
                </c:pt>
                <c:pt idx="248" formatCode="m/d/yy">
                  <c:v>44505</c:v>
                </c:pt>
                <c:pt idx="249" formatCode="m/d/yy">
                  <c:v>44508</c:v>
                </c:pt>
                <c:pt idx="250" formatCode="m/d/yy">
                  <c:v>44509</c:v>
                </c:pt>
                <c:pt idx="251" formatCode="m/d/yy">
                  <c:v>44510</c:v>
                </c:pt>
                <c:pt idx="252" formatCode="m/d/yy">
                  <c:v>44511</c:v>
                </c:pt>
                <c:pt idx="253" formatCode="m/d/yy">
                  <c:v>44512</c:v>
                </c:pt>
                <c:pt idx="254" formatCode="m/d/yy">
                  <c:v>44515</c:v>
                </c:pt>
                <c:pt idx="255" formatCode="m/d/yy">
                  <c:v>44516</c:v>
                </c:pt>
                <c:pt idx="256" formatCode="m/d/yy">
                  <c:v>44517</c:v>
                </c:pt>
                <c:pt idx="257" formatCode="m/d/yy">
                  <c:v>44518</c:v>
                </c:pt>
                <c:pt idx="258" formatCode="m/d/yy">
                  <c:v>44519</c:v>
                </c:pt>
                <c:pt idx="259" formatCode="m/d/yy">
                  <c:v>44522</c:v>
                </c:pt>
                <c:pt idx="260" formatCode="m/d/yy">
                  <c:v>44523</c:v>
                </c:pt>
                <c:pt idx="261" formatCode="m/d/yy">
                  <c:v>44524</c:v>
                </c:pt>
                <c:pt idx="262" formatCode="m/d/yy">
                  <c:v>44526</c:v>
                </c:pt>
                <c:pt idx="263" formatCode="m/d/yy">
                  <c:v>44529</c:v>
                </c:pt>
                <c:pt idx="264" formatCode="m/d/yy">
                  <c:v>44530</c:v>
                </c:pt>
                <c:pt idx="265" formatCode="m/d/yy">
                  <c:v>44531</c:v>
                </c:pt>
                <c:pt idx="266" formatCode="m/d/yy">
                  <c:v>44532</c:v>
                </c:pt>
                <c:pt idx="267" formatCode="m/d/yy">
                  <c:v>44533</c:v>
                </c:pt>
                <c:pt idx="268" formatCode="m/d/yy">
                  <c:v>44536</c:v>
                </c:pt>
                <c:pt idx="269" formatCode="m/d/yy">
                  <c:v>44537</c:v>
                </c:pt>
                <c:pt idx="270" formatCode="m/d/yy">
                  <c:v>44538</c:v>
                </c:pt>
                <c:pt idx="271" formatCode="m/d/yy">
                  <c:v>44539</c:v>
                </c:pt>
                <c:pt idx="272" formatCode="m/d/yy">
                  <c:v>44540</c:v>
                </c:pt>
                <c:pt idx="273" formatCode="m/d/yy">
                  <c:v>44543</c:v>
                </c:pt>
                <c:pt idx="274" formatCode="m/d/yy">
                  <c:v>44544</c:v>
                </c:pt>
                <c:pt idx="275" formatCode="m/d/yy">
                  <c:v>44545</c:v>
                </c:pt>
                <c:pt idx="276" formatCode="m/d/yy">
                  <c:v>44546</c:v>
                </c:pt>
                <c:pt idx="277" formatCode="m/d/yy">
                  <c:v>44547</c:v>
                </c:pt>
                <c:pt idx="278" formatCode="m/d/yy">
                  <c:v>44550</c:v>
                </c:pt>
                <c:pt idx="279" formatCode="m/d/yy">
                  <c:v>44551</c:v>
                </c:pt>
                <c:pt idx="280" formatCode="m/d/yy">
                  <c:v>44552</c:v>
                </c:pt>
                <c:pt idx="281" formatCode="m/d/yy">
                  <c:v>44553</c:v>
                </c:pt>
                <c:pt idx="282" formatCode="m/d/yy">
                  <c:v>44557</c:v>
                </c:pt>
                <c:pt idx="283" formatCode="m/d/yy">
                  <c:v>44558</c:v>
                </c:pt>
                <c:pt idx="284" formatCode="m/d/yy">
                  <c:v>44559</c:v>
                </c:pt>
                <c:pt idx="285" formatCode="m/d/yy">
                  <c:v>44560</c:v>
                </c:pt>
                <c:pt idx="286" formatCode="m/d/yy">
                  <c:v>44561</c:v>
                </c:pt>
                <c:pt idx="287" formatCode="m/d/yy">
                  <c:v>44564</c:v>
                </c:pt>
                <c:pt idx="288" formatCode="m/d/yy">
                  <c:v>44565</c:v>
                </c:pt>
                <c:pt idx="289" formatCode="m/d/yy">
                  <c:v>44566</c:v>
                </c:pt>
                <c:pt idx="290" formatCode="m/d/yy">
                  <c:v>44567</c:v>
                </c:pt>
                <c:pt idx="291" formatCode="m/d/yy">
                  <c:v>44568</c:v>
                </c:pt>
                <c:pt idx="292" formatCode="m/d/yy">
                  <c:v>44571</c:v>
                </c:pt>
                <c:pt idx="293" formatCode="m/d/yy">
                  <c:v>44572</c:v>
                </c:pt>
                <c:pt idx="294" formatCode="m/d/yy">
                  <c:v>44573</c:v>
                </c:pt>
                <c:pt idx="295" formatCode="m/d/yy">
                  <c:v>44574</c:v>
                </c:pt>
                <c:pt idx="296" formatCode="m/d/yy">
                  <c:v>44575</c:v>
                </c:pt>
                <c:pt idx="297" formatCode="m/d/yy">
                  <c:v>44579</c:v>
                </c:pt>
                <c:pt idx="298" formatCode="m/d/yy">
                  <c:v>44580</c:v>
                </c:pt>
                <c:pt idx="299" formatCode="m/d/yy">
                  <c:v>44581</c:v>
                </c:pt>
                <c:pt idx="300" formatCode="m/d/yy">
                  <c:v>44582</c:v>
                </c:pt>
                <c:pt idx="301" formatCode="m/d/yy">
                  <c:v>44585</c:v>
                </c:pt>
                <c:pt idx="302" formatCode="m/d/yy">
                  <c:v>44586</c:v>
                </c:pt>
                <c:pt idx="303" formatCode="m/d/yy">
                  <c:v>44587</c:v>
                </c:pt>
                <c:pt idx="304" formatCode="m/d/yy">
                  <c:v>44588</c:v>
                </c:pt>
                <c:pt idx="305" formatCode="m/d/yy">
                  <c:v>44589</c:v>
                </c:pt>
                <c:pt idx="306" formatCode="m/d/yy">
                  <c:v>44592</c:v>
                </c:pt>
                <c:pt idx="307" formatCode="m/d/yy">
                  <c:v>44593</c:v>
                </c:pt>
                <c:pt idx="308" formatCode="m/d/yy">
                  <c:v>44594</c:v>
                </c:pt>
                <c:pt idx="309" formatCode="m/d/yy">
                  <c:v>44595</c:v>
                </c:pt>
                <c:pt idx="310" formatCode="m/d/yy">
                  <c:v>44596</c:v>
                </c:pt>
                <c:pt idx="311" formatCode="m/d/yy">
                  <c:v>44599</c:v>
                </c:pt>
                <c:pt idx="312" formatCode="m/d/yy">
                  <c:v>44600</c:v>
                </c:pt>
                <c:pt idx="313" formatCode="m/d/yy">
                  <c:v>44601</c:v>
                </c:pt>
                <c:pt idx="314" formatCode="m/d/yy">
                  <c:v>44602</c:v>
                </c:pt>
                <c:pt idx="315" formatCode="m/d/yy">
                  <c:v>44603</c:v>
                </c:pt>
                <c:pt idx="316" formatCode="m/d/yy">
                  <c:v>44606</c:v>
                </c:pt>
                <c:pt idx="317" formatCode="m/d/yy">
                  <c:v>44607</c:v>
                </c:pt>
                <c:pt idx="318" formatCode="m/d/yy">
                  <c:v>44608</c:v>
                </c:pt>
                <c:pt idx="319" formatCode="m/d/yy">
                  <c:v>44609</c:v>
                </c:pt>
                <c:pt idx="320" formatCode="m/d/yy">
                  <c:v>44610</c:v>
                </c:pt>
                <c:pt idx="321" formatCode="m/d/yy">
                  <c:v>44614</c:v>
                </c:pt>
                <c:pt idx="322" formatCode="m/d/yy">
                  <c:v>44615</c:v>
                </c:pt>
                <c:pt idx="323" formatCode="m/d/yy">
                  <c:v>44616</c:v>
                </c:pt>
                <c:pt idx="324" formatCode="m/d/yy">
                  <c:v>44617</c:v>
                </c:pt>
                <c:pt idx="325" formatCode="m/d/yy">
                  <c:v>44620</c:v>
                </c:pt>
                <c:pt idx="326" formatCode="m/d/yy">
                  <c:v>44621</c:v>
                </c:pt>
                <c:pt idx="327" formatCode="m/d/yy">
                  <c:v>44622</c:v>
                </c:pt>
                <c:pt idx="328" formatCode="m/d/yy">
                  <c:v>44623</c:v>
                </c:pt>
                <c:pt idx="329" formatCode="m/d/yy">
                  <c:v>44624</c:v>
                </c:pt>
                <c:pt idx="330" formatCode="m/d/yy">
                  <c:v>44627</c:v>
                </c:pt>
                <c:pt idx="331" formatCode="m/d/yy">
                  <c:v>44628</c:v>
                </c:pt>
                <c:pt idx="332" formatCode="m/d/yy">
                  <c:v>44629</c:v>
                </c:pt>
                <c:pt idx="333" formatCode="m/d/yy">
                  <c:v>44630</c:v>
                </c:pt>
                <c:pt idx="334" formatCode="m/d/yy">
                  <c:v>44631</c:v>
                </c:pt>
                <c:pt idx="335" formatCode="m/d/yy">
                  <c:v>44634</c:v>
                </c:pt>
                <c:pt idx="336" formatCode="m/d/yy">
                  <c:v>44635</c:v>
                </c:pt>
                <c:pt idx="337" formatCode="m/d/yy">
                  <c:v>44636</c:v>
                </c:pt>
                <c:pt idx="338" formatCode="m/d/yy">
                  <c:v>44637</c:v>
                </c:pt>
                <c:pt idx="339" formatCode="m/d/yy">
                  <c:v>44638</c:v>
                </c:pt>
                <c:pt idx="340" formatCode="m/d/yy">
                  <c:v>44641</c:v>
                </c:pt>
                <c:pt idx="341" formatCode="m/d/yy">
                  <c:v>44642</c:v>
                </c:pt>
                <c:pt idx="342" formatCode="m/d/yy">
                  <c:v>44643</c:v>
                </c:pt>
                <c:pt idx="343" formatCode="m/d/yy">
                  <c:v>44644</c:v>
                </c:pt>
                <c:pt idx="344" formatCode="m/d/yy">
                  <c:v>44645</c:v>
                </c:pt>
                <c:pt idx="345" formatCode="m/d/yy">
                  <c:v>44648</c:v>
                </c:pt>
                <c:pt idx="346" formatCode="m/d/yy">
                  <c:v>44649</c:v>
                </c:pt>
                <c:pt idx="347" formatCode="m/d/yy">
                  <c:v>44650</c:v>
                </c:pt>
                <c:pt idx="348" formatCode="m/d/yy">
                  <c:v>44651</c:v>
                </c:pt>
                <c:pt idx="349" formatCode="m/d/yy">
                  <c:v>44652</c:v>
                </c:pt>
                <c:pt idx="350" formatCode="m/d/yy">
                  <c:v>44655</c:v>
                </c:pt>
                <c:pt idx="351" formatCode="m/d/yy">
                  <c:v>44656</c:v>
                </c:pt>
                <c:pt idx="352" formatCode="m/d/yy">
                  <c:v>44657</c:v>
                </c:pt>
                <c:pt idx="353" formatCode="m/d/yy">
                  <c:v>44658</c:v>
                </c:pt>
                <c:pt idx="354" formatCode="m/d/yy">
                  <c:v>44659</c:v>
                </c:pt>
                <c:pt idx="355" formatCode="m/d/yy">
                  <c:v>44662</c:v>
                </c:pt>
                <c:pt idx="356" formatCode="m/d/yy">
                  <c:v>44663</c:v>
                </c:pt>
                <c:pt idx="357" formatCode="m/d/yy">
                  <c:v>44664</c:v>
                </c:pt>
                <c:pt idx="358" formatCode="m/d/yy">
                  <c:v>44665</c:v>
                </c:pt>
                <c:pt idx="359" formatCode="m/d/yy">
                  <c:v>44669</c:v>
                </c:pt>
                <c:pt idx="360" formatCode="m/d/yy">
                  <c:v>44670</c:v>
                </c:pt>
                <c:pt idx="361" formatCode="m/d/yy">
                  <c:v>44671</c:v>
                </c:pt>
                <c:pt idx="362" formatCode="m/d/yy">
                  <c:v>44672</c:v>
                </c:pt>
                <c:pt idx="363" formatCode="m/d/yy">
                  <c:v>44673</c:v>
                </c:pt>
                <c:pt idx="364" formatCode="m/d/yy">
                  <c:v>44676</c:v>
                </c:pt>
                <c:pt idx="365" formatCode="m/d/yy">
                  <c:v>44677</c:v>
                </c:pt>
                <c:pt idx="366" formatCode="m/d/yy">
                  <c:v>44678</c:v>
                </c:pt>
                <c:pt idx="367" formatCode="m/d/yy">
                  <c:v>44679</c:v>
                </c:pt>
                <c:pt idx="368" formatCode="m/d/yy">
                  <c:v>44680</c:v>
                </c:pt>
                <c:pt idx="369" formatCode="m/d/yy">
                  <c:v>44683</c:v>
                </c:pt>
                <c:pt idx="370" formatCode="m/d/yy">
                  <c:v>44684</c:v>
                </c:pt>
                <c:pt idx="371" formatCode="m/d/yy">
                  <c:v>44685</c:v>
                </c:pt>
                <c:pt idx="372" formatCode="m/d/yy">
                  <c:v>44686</c:v>
                </c:pt>
                <c:pt idx="373" formatCode="m/d/yy">
                  <c:v>44687</c:v>
                </c:pt>
                <c:pt idx="374" formatCode="m/d/yy">
                  <c:v>44690</c:v>
                </c:pt>
                <c:pt idx="375" formatCode="m/d/yy">
                  <c:v>44691</c:v>
                </c:pt>
                <c:pt idx="376" formatCode="m/d/yy">
                  <c:v>44692</c:v>
                </c:pt>
                <c:pt idx="377" formatCode="m/d/yy">
                  <c:v>44693</c:v>
                </c:pt>
                <c:pt idx="378" formatCode="m/d/yy">
                  <c:v>44694</c:v>
                </c:pt>
                <c:pt idx="379" formatCode="m/d/yy">
                  <c:v>44697</c:v>
                </c:pt>
                <c:pt idx="380" formatCode="m/d/yy">
                  <c:v>44698</c:v>
                </c:pt>
                <c:pt idx="381" formatCode="m/d/yy">
                  <c:v>44699</c:v>
                </c:pt>
                <c:pt idx="382" formatCode="m/d/yy">
                  <c:v>44700</c:v>
                </c:pt>
                <c:pt idx="383" formatCode="m/d/yy">
                  <c:v>44701</c:v>
                </c:pt>
                <c:pt idx="384" formatCode="m/d/yy">
                  <c:v>44704</c:v>
                </c:pt>
                <c:pt idx="385" formatCode="m/d/yy">
                  <c:v>44705</c:v>
                </c:pt>
                <c:pt idx="386" formatCode="m/d/yy">
                  <c:v>44706</c:v>
                </c:pt>
                <c:pt idx="387" formatCode="m/d/yy">
                  <c:v>44707</c:v>
                </c:pt>
                <c:pt idx="388" formatCode="m/d/yy">
                  <c:v>44708</c:v>
                </c:pt>
                <c:pt idx="389" formatCode="m/d/yy">
                  <c:v>44712</c:v>
                </c:pt>
                <c:pt idx="390" formatCode="m/d/yy">
                  <c:v>44713</c:v>
                </c:pt>
                <c:pt idx="391" formatCode="m/d/yy">
                  <c:v>44714</c:v>
                </c:pt>
                <c:pt idx="392" formatCode="m/d/yy">
                  <c:v>44715</c:v>
                </c:pt>
                <c:pt idx="393" formatCode="m/d/yy">
                  <c:v>44718</c:v>
                </c:pt>
                <c:pt idx="394" formatCode="m/d/yy">
                  <c:v>44719</c:v>
                </c:pt>
                <c:pt idx="395" formatCode="m/d/yy">
                  <c:v>44720</c:v>
                </c:pt>
                <c:pt idx="396" formatCode="m/d/yy">
                  <c:v>44721</c:v>
                </c:pt>
                <c:pt idx="397" formatCode="m/d/yy">
                  <c:v>44722</c:v>
                </c:pt>
                <c:pt idx="398" formatCode="m/d/yy">
                  <c:v>44725</c:v>
                </c:pt>
                <c:pt idx="399" formatCode="m/d/yy">
                  <c:v>44726</c:v>
                </c:pt>
                <c:pt idx="400" formatCode="m/d/yy">
                  <c:v>44727</c:v>
                </c:pt>
                <c:pt idx="401" formatCode="m/d/yy">
                  <c:v>44728</c:v>
                </c:pt>
                <c:pt idx="402" formatCode="m/d/yy">
                  <c:v>44729</c:v>
                </c:pt>
                <c:pt idx="403" formatCode="m/d/yy">
                  <c:v>44733</c:v>
                </c:pt>
                <c:pt idx="404" formatCode="m/d/yy">
                  <c:v>44734</c:v>
                </c:pt>
                <c:pt idx="405" formatCode="m/d/yy">
                  <c:v>44735</c:v>
                </c:pt>
                <c:pt idx="406" formatCode="m/d/yy">
                  <c:v>44736</c:v>
                </c:pt>
                <c:pt idx="407" formatCode="m/d/yy">
                  <c:v>44739</c:v>
                </c:pt>
                <c:pt idx="408" formatCode="m/d/yy">
                  <c:v>44740</c:v>
                </c:pt>
                <c:pt idx="409" formatCode="m/d/yy">
                  <c:v>44741</c:v>
                </c:pt>
                <c:pt idx="410" formatCode="m/d/yy">
                  <c:v>44742</c:v>
                </c:pt>
                <c:pt idx="411" formatCode="m/d/yy">
                  <c:v>44743</c:v>
                </c:pt>
                <c:pt idx="412" formatCode="m/d/yy">
                  <c:v>44747</c:v>
                </c:pt>
                <c:pt idx="413" formatCode="m/d/yy">
                  <c:v>44748</c:v>
                </c:pt>
                <c:pt idx="414" formatCode="m/d/yy">
                  <c:v>44749</c:v>
                </c:pt>
                <c:pt idx="415" formatCode="m/d/yy">
                  <c:v>44750</c:v>
                </c:pt>
                <c:pt idx="416" formatCode="m/d/yy">
                  <c:v>44753</c:v>
                </c:pt>
                <c:pt idx="417" formatCode="m/d/yy">
                  <c:v>44754</c:v>
                </c:pt>
                <c:pt idx="418" formatCode="m/d/yy">
                  <c:v>44755</c:v>
                </c:pt>
                <c:pt idx="419" formatCode="m/d/yy">
                  <c:v>44756</c:v>
                </c:pt>
                <c:pt idx="420" formatCode="m/d/yy">
                  <c:v>44757</c:v>
                </c:pt>
                <c:pt idx="421" formatCode="m/d/yy">
                  <c:v>44760</c:v>
                </c:pt>
                <c:pt idx="422" formatCode="m/d/yy">
                  <c:v>44761</c:v>
                </c:pt>
                <c:pt idx="423" formatCode="m/d/yy">
                  <c:v>44762</c:v>
                </c:pt>
                <c:pt idx="424" formatCode="m/d/yy">
                  <c:v>44763</c:v>
                </c:pt>
                <c:pt idx="425" formatCode="m/d/yy">
                  <c:v>44764</c:v>
                </c:pt>
                <c:pt idx="426" formatCode="m/d/yy">
                  <c:v>44767</c:v>
                </c:pt>
                <c:pt idx="427" formatCode="m/d/yy">
                  <c:v>44768</c:v>
                </c:pt>
                <c:pt idx="428" formatCode="m/d/yy">
                  <c:v>44769</c:v>
                </c:pt>
                <c:pt idx="429" formatCode="m/d/yy">
                  <c:v>44770</c:v>
                </c:pt>
                <c:pt idx="430" formatCode="m/d/yy">
                  <c:v>44771</c:v>
                </c:pt>
                <c:pt idx="431" formatCode="m/d/yy">
                  <c:v>44774</c:v>
                </c:pt>
                <c:pt idx="432" formatCode="m/d/yy">
                  <c:v>44775</c:v>
                </c:pt>
                <c:pt idx="433" formatCode="m/d/yy">
                  <c:v>44776</c:v>
                </c:pt>
                <c:pt idx="434" formatCode="m/d/yy">
                  <c:v>44777</c:v>
                </c:pt>
                <c:pt idx="435" formatCode="m/d/yy">
                  <c:v>44778</c:v>
                </c:pt>
                <c:pt idx="436" formatCode="m/d/yy">
                  <c:v>44781</c:v>
                </c:pt>
                <c:pt idx="437" formatCode="m/d/yy">
                  <c:v>44782</c:v>
                </c:pt>
                <c:pt idx="438" formatCode="m/d/yy">
                  <c:v>44783</c:v>
                </c:pt>
                <c:pt idx="439" formatCode="m/d/yy">
                  <c:v>44784</c:v>
                </c:pt>
                <c:pt idx="440" formatCode="m/d/yy">
                  <c:v>44785</c:v>
                </c:pt>
                <c:pt idx="441" formatCode="m/d/yy">
                  <c:v>44788</c:v>
                </c:pt>
                <c:pt idx="442" formatCode="m/d/yy">
                  <c:v>44789</c:v>
                </c:pt>
                <c:pt idx="443" formatCode="m/d/yy">
                  <c:v>44790</c:v>
                </c:pt>
                <c:pt idx="444" formatCode="m/d/yy">
                  <c:v>44791</c:v>
                </c:pt>
                <c:pt idx="445" formatCode="m/d/yy">
                  <c:v>44792</c:v>
                </c:pt>
                <c:pt idx="446" formatCode="m/d/yy">
                  <c:v>44795</c:v>
                </c:pt>
                <c:pt idx="447" formatCode="m/d/yy">
                  <c:v>44796</c:v>
                </c:pt>
                <c:pt idx="448" formatCode="m/d/yy">
                  <c:v>44797</c:v>
                </c:pt>
                <c:pt idx="449" formatCode="m/d/yy">
                  <c:v>44798</c:v>
                </c:pt>
                <c:pt idx="450" formatCode="m/d/yy">
                  <c:v>44799</c:v>
                </c:pt>
                <c:pt idx="451" formatCode="m/d/yy">
                  <c:v>44802</c:v>
                </c:pt>
                <c:pt idx="452" formatCode="m/d/yy">
                  <c:v>44803</c:v>
                </c:pt>
                <c:pt idx="453" formatCode="m/d/yy">
                  <c:v>44804</c:v>
                </c:pt>
                <c:pt idx="454" formatCode="m/d/yy">
                  <c:v>44805</c:v>
                </c:pt>
                <c:pt idx="455" formatCode="m/d/yy">
                  <c:v>44806</c:v>
                </c:pt>
                <c:pt idx="456" formatCode="m/d/yy">
                  <c:v>44810</c:v>
                </c:pt>
                <c:pt idx="457" formatCode="m/d/yy">
                  <c:v>44811</c:v>
                </c:pt>
                <c:pt idx="458" formatCode="m/d/yy">
                  <c:v>44812</c:v>
                </c:pt>
                <c:pt idx="459" formatCode="m/d/yy">
                  <c:v>44813</c:v>
                </c:pt>
                <c:pt idx="460" formatCode="m/d/yy">
                  <c:v>44816</c:v>
                </c:pt>
                <c:pt idx="461" formatCode="m/d/yy">
                  <c:v>44817</c:v>
                </c:pt>
                <c:pt idx="462" formatCode="m/d/yy">
                  <c:v>44818</c:v>
                </c:pt>
                <c:pt idx="463" formatCode="m/d/yy">
                  <c:v>44819</c:v>
                </c:pt>
                <c:pt idx="464" formatCode="m/d/yy">
                  <c:v>44820</c:v>
                </c:pt>
                <c:pt idx="465" formatCode="m/d/yy">
                  <c:v>44823</c:v>
                </c:pt>
                <c:pt idx="466" formatCode="m/d/yy">
                  <c:v>44824</c:v>
                </c:pt>
                <c:pt idx="467" formatCode="m/d/yy">
                  <c:v>44825</c:v>
                </c:pt>
                <c:pt idx="468" formatCode="m/d/yy">
                  <c:v>44826</c:v>
                </c:pt>
                <c:pt idx="469" formatCode="m/d/yy">
                  <c:v>44827</c:v>
                </c:pt>
                <c:pt idx="470" formatCode="m/d/yy">
                  <c:v>44830</c:v>
                </c:pt>
                <c:pt idx="471" formatCode="m/d/yy">
                  <c:v>44831</c:v>
                </c:pt>
                <c:pt idx="472" formatCode="m/d/yy">
                  <c:v>44832</c:v>
                </c:pt>
                <c:pt idx="473" formatCode="m/d/yy">
                  <c:v>44833</c:v>
                </c:pt>
                <c:pt idx="474" formatCode="m/d/yy">
                  <c:v>44834</c:v>
                </c:pt>
                <c:pt idx="475" formatCode="m/d/yy">
                  <c:v>44837</c:v>
                </c:pt>
                <c:pt idx="476" formatCode="m/d/yy">
                  <c:v>44838</c:v>
                </c:pt>
                <c:pt idx="477" formatCode="m/d/yy">
                  <c:v>44839</c:v>
                </c:pt>
                <c:pt idx="478" formatCode="m/d/yy">
                  <c:v>44840</c:v>
                </c:pt>
                <c:pt idx="479" formatCode="m/d/yy">
                  <c:v>44841</c:v>
                </c:pt>
                <c:pt idx="480" formatCode="m/d/yy">
                  <c:v>44844</c:v>
                </c:pt>
                <c:pt idx="481" formatCode="m/d/yy">
                  <c:v>44845</c:v>
                </c:pt>
                <c:pt idx="482" formatCode="m/d/yy">
                  <c:v>44846</c:v>
                </c:pt>
                <c:pt idx="483" formatCode="m/d/yy">
                  <c:v>44847</c:v>
                </c:pt>
                <c:pt idx="484" formatCode="m/d/yy">
                  <c:v>44848</c:v>
                </c:pt>
                <c:pt idx="485" formatCode="m/d/yy">
                  <c:v>44851</c:v>
                </c:pt>
                <c:pt idx="486" formatCode="m/d/yy">
                  <c:v>44852</c:v>
                </c:pt>
                <c:pt idx="487" formatCode="m/d/yy">
                  <c:v>44853</c:v>
                </c:pt>
                <c:pt idx="488" formatCode="m/d/yy">
                  <c:v>44854</c:v>
                </c:pt>
                <c:pt idx="489" formatCode="m/d/yy">
                  <c:v>44855</c:v>
                </c:pt>
                <c:pt idx="490" formatCode="m/d/yy">
                  <c:v>44858</c:v>
                </c:pt>
                <c:pt idx="491" formatCode="m/d/yy">
                  <c:v>44859</c:v>
                </c:pt>
                <c:pt idx="492" formatCode="m/d/yy">
                  <c:v>44860</c:v>
                </c:pt>
                <c:pt idx="493" formatCode="m/d/yy">
                  <c:v>44861</c:v>
                </c:pt>
                <c:pt idx="494" formatCode="m/d/yy">
                  <c:v>44862</c:v>
                </c:pt>
                <c:pt idx="495" formatCode="m/d/yy">
                  <c:v>44865</c:v>
                </c:pt>
                <c:pt idx="496" formatCode="m/d/yy">
                  <c:v>44866</c:v>
                </c:pt>
                <c:pt idx="497" formatCode="m/d/yy">
                  <c:v>44867</c:v>
                </c:pt>
                <c:pt idx="498" formatCode="m/d/yy">
                  <c:v>44868</c:v>
                </c:pt>
                <c:pt idx="499" formatCode="m/d/yy">
                  <c:v>44869</c:v>
                </c:pt>
                <c:pt idx="500" formatCode="m/d/yy">
                  <c:v>44872</c:v>
                </c:pt>
                <c:pt idx="501" formatCode="m/d/yy">
                  <c:v>44873</c:v>
                </c:pt>
                <c:pt idx="502" formatCode="m/d/yy">
                  <c:v>44874</c:v>
                </c:pt>
                <c:pt idx="503" formatCode="m/d/yy">
                  <c:v>44875</c:v>
                </c:pt>
                <c:pt idx="504" formatCode="m/d/yy">
                  <c:v>44876</c:v>
                </c:pt>
                <c:pt idx="505" formatCode="m/d/yy">
                  <c:v>44879</c:v>
                </c:pt>
                <c:pt idx="506" formatCode="m/d/yy">
                  <c:v>44880</c:v>
                </c:pt>
                <c:pt idx="507" formatCode="m/d/yy">
                  <c:v>44881</c:v>
                </c:pt>
                <c:pt idx="508" formatCode="m/d/yy">
                  <c:v>44882</c:v>
                </c:pt>
                <c:pt idx="509" formatCode="m/d/yy">
                  <c:v>44883</c:v>
                </c:pt>
                <c:pt idx="510" formatCode="m/d/yy">
                  <c:v>44886</c:v>
                </c:pt>
                <c:pt idx="511" formatCode="m/d/yy">
                  <c:v>44887</c:v>
                </c:pt>
                <c:pt idx="512" formatCode="m/d/yy">
                  <c:v>44888</c:v>
                </c:pt>
                <c:pt idx="513" formatCode="m/d/yy">
                  <c:v>44890</c:v>
                </c:pt>
                <c:pt idx="514" formatCode="m/d/yy">
                  <c:v>44893</c:v>
                </c:pt>
                <c:pt idx="515" formatCode="m/d/yy">
                  <c:v>44894</c:v>
                </c:pt>
                <c:pt idx="516" formatCode="m/d/yy">
                  <c:v>44895</c:v>
                </c:pt>
                <c:pt idx="517" formatCode="m/d/yy">
                  <c:v>44896</c:v>
                </c:pt>
                <c:pt idx="518" formatCode="m/d/yy">
                  <c:v>44897</c:v>
                </c:pt>
                <c:pt idx="519" formatCode="m/d/yy">
                  <c:v>44900</c:v>
                </c:pt>
                <c:pt idx="520" formatCode="m/d/yy">
                  <c:v>44901</c:v>
                </c:pt>
                <c:pt idx="521" formatCode="m/d/yy">
                  <c:v>44902</c:v>
                </c:pt>
                <c:pt idx="522" formatCode="m/d/yy">
                  <c:v>44903</c:v>
                </c:pt>
                <c:pt idx="523" formatCode="m/d/yy">
                  <c:v>44904</c:v>
                </c:pt>
                <c:pt idx="524" formatCode="m/d/yy">
                  <c:v>44907</c:v>
                </c:pt>
                <c:pt idx="525" formatCode="m/d/yy">
                  <c:v>44908</c:v>
                </c:pt>
                <c:pt idx="526" formatCode="m/d/yy">
                  <c:v>44909</c:v>
                </c:pt>
                <c:pt idx="527" formatCode="m/d/yy">
                  <c:v>44910</c:v>
                </c:pt>
                <c:pt idx="528" formatCode="m/d/yy">
                  <c:v>44911</c:v>
                </c:pt>
                <c:pt idx="529" formatCode="m/d/yy">
                  <c:v>44914</c:v>
                </c:pt>
                <c:pt idx="530" formatCode="m/d/yy">
                  <c:v>44915</c:v>
                </c:pt>
                <c:pt idx="531" formatCode="m/d/yy">
                  <c:v>44916</c:v>
                </c:pt>
                <c:pt idx="532" formatCode="m/d/yy">
                  <c:v>44917</c:v>
                </c:pt>
                <c:pt idx="533" formatCode="m/d/yy">
                  <c:v>44918</c:v>
                </c:pt>
                <c:pt idx="534" formatCode="m/d/yy">
                  <c:v>44922</c:v>
                </c:pt>
                <c:pt idx="535" formatCode="m/d/yy">
                  <c:v>44923</c:v>
                </c:pt>
                <c:pt idx="536" formatCode="m/d/yy">
                  <c:v>44924</c:v>
                </c:pt>
                <c:pt idx="537" formatCode="m/d/yy">
                  <c:v>44925</c:v>
                </c:pt>
                <c:pt idx="538" formatCode="m/d/yy">
                  <c:v>44929</c:v>
                </c:pt>
                <c:pt idx="539" formatCode="m/d/yy">
                  <c:v>44930</c:v>
                </c:pt>
                <c:pt idx="540" formatCode="m/d/yy">
                  <c:v>44931</c:v>
                </c:pt>
                <c:pt idx="541" formatCode="m/d/yy">
                  <c:v>44932</c:v>
                </c:pt>
                <c:pt idx="542" formatCode="m/d/yy">
                  <c:v>44935</c:v>
                </c:pt>
                <c:pt idx="543" formatCode="m/d/yy">
                  <c:v>44936</c:v>
                </c:pt>
                <c:pt idx="544" formatCode="m/d/yy">
                  <c:v>44937</c:v>
                </c:pt>
                <c:pt idx="545" formatCode="m/d/yy">
                  <c:v>44938</c:v>
                </c:pt>
                <c:pt idx="546" formatCode="m/d/yy">
                  <c:v>44939</c:v>
                </c:pt>
                <c:pt idx="547" formatCode="m/d/yy">
                  <c:v>44943</c:v>
                </c:pt>
                <c:pt idx="548" formatCode="m/d/yy">
                  <c:v>44944</c:v>
                </c:pt>
                <c:pt idx="549" formatCode="m/d/yy">
                  <c:v>44945</c:v>
                </c:pt>
                <c:pt idx="550" formatCode="m/d/yy">
                  <c:v>44946</c:v>
                </c:pt>
                <c:pt idx="551" formatCode="m/d/yy">
                  <c:v>44949</c:v>
                </c:pt>
                <c:pt idx="552" formatCode="m/d/yy">
                  <c:v>44950</c:v>
                </c:pt>
                <c:pt idx="553" formatCode="m/d/yy">
                  <c:v>44951</c:v>
                </c:pt>
                <c:pt idx="554" formatCode="m/d/yy">
                  <c:v>44952</c:v>
                </c:pt>
                <c:pt idx="555" formatCode="m/d/yy">
                  <c:v>44953</c:v>
                </c:pt>
                <c:pt idx="556" formatCode="m/d/yy">
                  <c:v>44956</c:v>
                </c:pt>
                <c:pt idx="557" formatCode="m/d/yy">
                  <c:v>44957</c:v>
                </c:pt>
                <c:pt idx="558" formatCode="m/d/yy">
                  <c:v>44958</c:v>
                </c:pt>
                <c:pt idx="559" formatCode="m/d/yy">
                  <c:v>44959</c:v>
                </c:pt>
                <c:pt idx="560" formatCode="m/d/yy">
                  <c:v>44960</c:v>
                </c:pt>
                <c:pt idx="561" formatCode="m/d/yy">
                  <c:v>44963</c:v>
                </c:pt>
                <c:pt idx="562" formatCode="m/d/yy">
                  <c:v>44964</c:v>
                </c:pt>
                <c:pt idx="563" formatCode="m/d/yy">
                  <c:v>44965</c:v>
                </c:pt>
                <c:pt idx="564" formatCode="m/d/yy">
                  <c:v>44966</c:v>
                </c:pt>
                <c:pt idx="565" formatCode="m/d/yy">
                  <c:v>44967</c:v>
                </c:pt>
                <c:pt idx="566" formatCode="m/d/yy">
                  <c:v>44970</c:v>
                </c:pt>
                <c:pt idx="567" formatCode="m/d/yy">
                  <c:v>44971</c:v>
                </c:pt>
                <c:pt idx="568" formatCode="m/d/yy">
                  <c:v>44972</c:v>
                </c:pt>
                <c:pt idx="569" formatCode="m/d/yy">
                  <c:v>44973</c:v>
                </c:pt>
                <c:pt idx="570" formatCode="m/d/yy">
                  <c:v>44974</c:v>
                </c:pt>
                <c:pt idx="571" formatCode="m/d/yy">
                  <c:v>44978</c:v>
                </c:pt>
                <c:pt idx="572" formatCode="m/d/yy">
                  <c:v>44979</c:v>
                </c:pt>
                <c:pt idx="573" formatCode="m/d/yy">
                  <c:v>44980</c:v>
                </c:pt>
                <c:pt idx="574" formatCode="m/d/yy">
                  <c:v>44981</c:v>
                </c:pt>
                <c:pt idx="575" formatCode="m/d/yy">
                  <c:v>44984</c:v>
                </c:pt>
                <c:pt idx="576" formatCode="m/d/yy">
                  <c:v>44985</c:v>
                </c:pt>
                <c:pt idx="577" formatCode="m/d/yy">
                  <c:v>44986</c:v>
                </c:pt>
                <c:pt idx="578" formatCode="m/d/yy">
                  <c:v>44987</c:v>
                </c:pt>
                <c:pt idx="579" formatCode="m/d/yy">
                  <c:v>44988</c:v>
                </c:pt>
                <c:pt idx="580" formatCode="m/d/yy">
                  <c:v>44991</c:v>
                </c:pt>
                <c:pt idx="581" formatCode="m/d/yy">
                  <c:v>44992</c:v>
                </c:pt>
                <c:pt idx="582" formatCode="m/d/yy">
                  <c:v>44993</c:v>
                </c:pt>
                <c:pt idx="583" formatCode="m/d/yy">
                  <c:v>44994</c:v>
                </c:pt>
                <c:pt idx="584" formatCode="m/d/yy">
                  <c:v>44995</c:v>
                </c:pt>
                <c:pt idx="585" formatCode="m/d/yy">
                  <c:v>44998</c:v>
                </c:pt>
                <c:pt idx="586" formatCode="m/d/yy">
                  <c:v>44999</c:v>
                </c:pt>
                <c:pt idx="587" formatCode="m/d/yy">
                  <c:v>45000</c:v>
                </c:pt>
                <c:pt idx="588" formatCode="m/d/yy">
                  <c:v>45001</c:v>
                </c:pt>
                <c:pt idx="589" formatCode="m/d/yy">
                  <c:v>45002</c:v>
                </c:pt>
                <c:pt idx="590" formatCode="m/d/yy">
                  <c:v>45005</c:v>
                </c:pt>
                <c:pt idx="591" formatCode="m/d/yy">
                  <c:v>45006</c:v>
                </c:pt>
                <c:pt idx="592" formatCode="m/d/yy">
                  <c:v>45007</c:v>
                </c:pt>
                <c:pt idx="593" formatCode="m/d/yy">
                  <c:v>45008</c:v>
                </c:pt>
                <c:pt idx="594" formatCode="m/d/yy">
                  <c:v>45009</c:v>
                </c:pt>
                <c:pt idx="595" formatCode="m/d/yy">
                  <c:v>45012</c:v>
                </c:pt>
                <c:pt idx="596" formatCode="m/d/yy">
                  <c:v>45013</c:v>
                </c:pt>
                <c:pt idx="597" formatCode="m/d/yy">
                  <c:v>45014</c:v>
                </c:pt>
                <c:pt idx="598" formatCode="m/d/yy">
                  <c:v>45015</c:v>
                </c:pt>
                <c:pt idx="599" formatCode="m/d/yy">
                  <c:v>45016</c:v>
                </c:pt>
                <c:pt idx="600" formatCode="m/d/yy">
                  <c:v>45019</c:v>
                </c:pt>
                <c:pt idx="601" formatCode="m/d/yy">
                  <c:v>45020</c:v>
                </c:pt>
                <c:pt idx="602" formatCode="m/d/yy">
                  <c:v>45021</c:v>
                </c:pt>
                <c:pt idx="603" formatCode="m/d/yy">
                  <c:v>45022</c:v>
                </c:pt>
                <c:pt idx="604" formatCode="m/d/yy">
                  <c:v>45026</c:v>
                </c:pt>
                <c:pt idx="605" formatCode="m/d/yy">
                  <c:v>45027</c:v>
                </c:pt>
                <c:pt idx="606" formatCode="m/d/yy">
                  <c:v>45028</c:v>
                </c:pt>
                <c:pt idx="607" formatCode="m/d/yy">
                  <c:v>45029</c:v>
                </c:pt>
                <c:pt idx="608" formatCode="m/d/yy">
                  <c:v>45030</c:v>
                </c:pt>
                <c:pt idx="609" formatCode="m/d/yy">
                  <c:v>45033</c:v>
                </c:pt>
                <c:pt idx="610" formatCode="m/d/yy">
                  <c:v>45034</c:v>
                </c:pt>
                <c:pt idx="611" formatCode="m/d/yy">
                  <c:v>45035</c:v>
                </c:pt>
                <c:pt idx="612" formatCode="m/d/yy">
                  <c:v>45036</c:v>
                </c:pt>
                <c:pt idx="613" formatCode="m/d/yy">
                  <c:v>45037</c:v>
                </c:pt>
                <c:pt idx="614" formatCode="m/d/yy">
                  <c:v>45040</c:v>
                </c:pt>
                <c:pt idx="615" formatCode="m/d/yy">
                  <c:v>45041</c:v>
                </c:pt>
                <c:pt idx="616" formatCode="m/d/yy">
                  <c:v>45042</c:v>
                </c:pt>
                <c:pt idx="617" formatCode="m/d/yy">
                  <c:v>45043</c:v>
                </c:pt>
                <c:pt idx="618" formatCode="m/d/yy">
                  <c:v>45044</c:v>
                </c:pt>
                <c:pt idx="619" formatCode="m/d/yy">
                  <c:v>45047</c:v>
                </c:pt>
                <c:pt idx="620" formatCode="m/d/yy">
                  <c:v>45048</c:v>
                </c:pt>
                <c:pt idx="621" formatCode="m/d/yy">
                  <c:v>45049</c:v>
                </c:pt>
                <c:pt idx="622" formatCode="m/d/yy">
                  <c:v>45050</c:v>
                </c:pt>
                <c:pt idx="623" formatCode="m/d/yy">
                  <c:v>45051</c:v>
                </c:pt>
                <c:pt idx="624" formatCode="m/d/yy">
                  <c:v>45054</c:v>
                </c:pt>
                <c:pt idx="625" formatCode="m/d/yy">
                  <c:v>45055</c:v>
                </c:pt>
                <c:pt idx="626" formatCode="m/d/yy">
                  <c:v>45056</c:v>
                </c:pt>
                <c:pt idx="627" formatCode="m/d/yy">
                  <c:v>45057</c:v>
                </c:pt>
                <c:pt idx="628" formatCode="m/d/yy">
                  <c:v>45058</c:v>
                </c:pt>
                <c:pt idx="629" formatCode="m/d/yy">
                  <c:v>45061</c:v>
                </c:pt>
                <c:pt idx="630" formatCode="m/d/yy">
                  <c:v>45062</c:v>
                </c:pt>
                <c:pt idx="631" formatCode="m/d/yy">
                  <c:v>45063</c:v>
                </c:pt>
                <c:pt idx="632" formatCode="m/d/yy">
                  <c:v>45064</c:v>
                </c:pt>
                <c:pt idx="633" formatCode="m/d/yy">
                  <c:v>45065</c:v>
                </c:pt>
                <c:pt idx="634" formatCode="m/d/yy">
                  <c:v>45068</c:v>
                </c:pt>
                <c:pt idx="635" formatCode="m/d/yy">
                  <c:v>45069</c:v>
                </c:pt>
                <c:pt idx="636" formatCode="m/d/yy">
                  <c:v>45070</c:v>
                </c:pt>
                <c:pt idx="637" formatCode="m/d/yy">
                  <c:v>45071</c:v>
                </c:pt>
                <c:pt idx="638" formatCode="m/d/yy">
                  <c:v>45072</c:v>
                </c:pt>
                <c:pt idx="639" formatCode="m/d/yy">
                  <c:v>45076</c:v>
                </c:pt>
                <c:pt idx="640" formatCode="m/d/yy">
                  <c:v>45077</c:v>
                </c:pt>
                <c:pt idx="641" formatCode="m/d/yy">
                  <c:v>45078</c:v>
                </c:pt>
                <c:pt idx="642" formatCode="m/d/yy">
                  <c:v>45079</c:v>
                </c:pt>
                <c:pt idx="643" formatCode="m/d/yy">
                  <c:v>45082</c:v>
                </c:pt>
                <c:pt idx="644" formatCode="m/d/yy">
                  <c:v>45083</c:v>
                </c:pt>
                <c:pt idx="645" formatCode="m/d/yy">
                  <c:v>45084</c:v>
                </c:pt>
                <c:pt idx="646" formatCode="m/d/yy">
                  <c:v>45085</c:v>
                </c:pt>
                <c:pt idx="647" formatCode="m/d/yy">
                  <c:v>45086</c:v>
                </c:pt>
                <c:pt idx="648" formatCode="m/d/yy">
                  <c:v>45089</c:v>
                </c:pt>
                <c:pt idx="649" formatCode="m/d/yy">
                  <c:v>45090</c:v>
                </c:pt>
                <c:pt idx="650" formatCode="m/d/yy">
                  <c:v>45091</c:v>
                </c:pt>
                <c:pt idx="651" formatCode="m/d/yy">
                  <c:v>45092</c:v>
                </c:pt>
                <c:pt idx="652" formatCode="m/d/yy">
                  <c:v>45093</c:v>
                </c:pt>
                <c:pt idx="653" formatCode="m/d/yy">
                  <c:v>45097</c:v>
                </c:pt>
                <c:pt idx="654" formatCode="m/d/yy">
                  <c:v>45098</c:v>
                </c:pt>
                <c:pt idx="655" formatCode="m/d/yy">
                  <c:v>45099</c:v>
                </c:pt>
                <c:pt idx="656" formatCode="m/d/yy">
                  <c:v>45100</c:v>
                </c:pt>
                <c:pt idx="657" formatCode="m/d/yy">
                  <c:v>45103</c:v>
                </c:pt>
                <c:pt idx="658" formatCode="m/d/yy">
                  <c:v>45104</c:v>
                </c:pt>
                <c:pt idx="659" formatCode="m/d/yy">
                  <c:v>45105</c:v>
                </c:pt>
                <c:pt idx="660" formatCode="m/d/yy">
                  <c:v>45106</c:v>
                </c:pt>
                <c:pt idx="661" formatCode="m/d/yy">
                  <c:v>45107</c:v>
                </c:pt>
                <c:pt idx="662" formatCode="m/d/yy">
                  <c:v>45110</c:v>
                </c:pt>
                <c:pt idx="663" formatCode="m/d/yy">
                  <c:v>45112</c:v>
                </c:pt>
                <c:pt idx="664" formatCode="m/d/yy">
                  <c:v>45113</c:v>
                </c:pt>
                <c:pt idx="665" formatCode="m/d/yy">
                  <c:v>45114</c:v>
                </c:pt>
                <c:pt idx="666" formatCode="m/d/yy">
                  <c:v>45117</c:v>
                </c:pt>
                <c:pt idx="667" formatCode="m/d/yy">
                  <c:v>45118</c:v>
                </c:pt>
                <c:pt idx="668" formatCode="m/d/yy">
                  <c:v>45119</c:v>
                </c:pt>
                <c:pt idx="669" formatCode="m/d/yy">
                  <c:v>45120</c:v>
                </c:pt>
                <c:pt idx="670" formatCode="m/d/yy">
                  <c:v>45121</c:v>
                </c:pt>
                <c:pt idx="671" formatCode="m/d/yy">
                  <c:v>45124</c:v>
                </c:pt>
                <c:pt idx="672" formatCode="m/d/yy">
                  <c:v>45125</c:v>
                </c:pt>
                <c:pt idx="673" formatCode="m/d/yy">
                  <c:v>45126</c:v>
                </c:pt>
                <c:pt idx="674" formatCode="m/d/yy">
                  <c:v>45127</c:v>
                </c:pt>
                <c:pt idx="675" formatCode="m/d/yy">
                  <c:v>45128</c:v>
                </c:pt>
                <c:pt idx="676" formatCode="m/d/yy">
                  <c:v>45131</c:v>
                </c:pt>
                <c:pt idx="677" formatCode="m/d/yy">
                  <c:v>45132</c:v>
                </c:pt>
                <c:pt idx="678" formatCode="m/d/yy">
                  <c:v>45133</c:v>
                </c:pt>
                <c:pt idx="679" formatCode="m/d/yy">
                  <c:v>45134</c:v>
                </c:pt>
                <c:pt idx="680" formatCode="m/d/yy">
                  <c:v>45135</c:v>
                </c:pt>
                <c:pt idx="681" formatCode="m/d/yy">
                  <c:v>45138</c:v>
                </c:pt>
                <c:pt idx="682" formatCode="m/d/yy">
                  <c:v>45139</c:v>
                </c:pt>
                <c:pt idx="683" formatCode="m/d/yy">
                  <c:v>45140</c:v>
                </c:pt>
                <c:pt idx="684" formatCode="m/d/yy">
                  <c:v>45141</c:v>
                </c:pt>
                <c:pt idx="685" formatCode="m/d/yy">
                  <c:v>45142</c:v>
                </c:pt>
                <c:pt idx="686" formatCode="m/d/yy">
                  <c:v>45145</c:v>
                </c:pt>
                <c:pt idx="687" formatCode="m/d/yy">
                  <c:v>45146</c:v>
                </c:pt>
                <c:pt idx="688" formatCode="m/d/yy">
                  <c:v>45147</c:v>
                </c:pt>
                <c:pt idx="689" formatCode="m/d/yy">
                  <c:v>45148</c:v>
                </c:pt>
                <c:pt idx="690" formatCode="m/d/yy">
                  <c:v>45149</c:v>
                </c:pt>
                <c:pt idx="691" formatCode="m/d/yy">
                  <c:v>45152</c:v>
                </c:pt>
                <c:pt idx="692" formatCode="m/d/yy">
                  <c:v>45153</c:v>
                </c:pt>
                <c:pt idx="693" formatCode="m/d/yy">
                  <c:v>45154</c:v>
                </c:pt>
                <c:pt idx="694" formatCode="m/d/yy">
                  <c:v>45155</c:v>
                </c:pt>
                <c:pt idx="695" formatCode="m/d/yy">
                  <c:v>45156</c:v>
                </c:pt>
                <c:pt idx="696" formatCode="m/d/yy">
                  <c:v>45159</c:v>
                </c:pt>
                <c:pt idx="697" formatCode="m/d/yy">
                  <c:v>45160</c:v>
                </c:pt>
                <c:pt idx="698" formatCode="m/d/yy">
                  <c:v>45161</c:v>
                </c:pt>
                <c:pt idx="699" formatCode="m/d/yy">
                  <c:v>45162</c:v>
                </c:pt>
                <c:pt idx="700" formatCode="m/d/yy">
                  <c:v>45163</c:v>
                </c:pt>
                <c:pt idx="701" formatCode="m/d/yy">
                  <c:v>45166</c:v>
                </c:pt>
                <c:pt idx="702" formatCode="m/d/yy">
                  <c:v>45167</c:v>
                </c:pt>
                <c:pt idx="703" formatCode="m/d/yy">
                  <c:v>45168</c:v>
                </c:pt>
                <c:pt idx="704" formatCode="m/d/yy">
                  <c:v>45169</c:v>
                </c:pt>
                <c:pt idx="705" formatCode="m/d/yy">
                  <c:v>45170</c:v>
                </c:pt>
                <c:pt idx="706" formatCode="m/d/yy">
                  <c:v>45174</c:v>
                </c:pt>
                <c:pt idx="707" formatCode="m/d/yy">
                  <c:v>45175</c:v>
                </c:pt>
                <c:pt idx="708" formatCode="m/d/yy">
                  <c:v>45176</c:v>
                </c:pt>
                <c:pt idx="709" formatCode="m/d/yy">
                  <c:v>45177</c:v>
                </c:pt>
                <c:pt idx="710" formatCode="m/d/yy">
                  <c:v>45180</c:v>
                </c:pt>
                <c:pt idx="711" formatCode="m/d/yy">
                  <c:v>45181</c:v>
                </c:pt>
                <c:pt idx="712" formatCode="m/d/yy">
                  <c:v>45182</c:v>
                </c:pt>
                <c:pt idx="713" formatCode="m/d/yy">
                  <c:v>45183</c:v>
                </c:pt>
                <c:pt idx="714" formatCode="m/d/yy">
                  <c:v>45184</c:v>
                </c:pt>
                <c:pt idx="715" formatCode="m/d/yy">
                  <c:v>45187</c:v>
                </c:pt>
                <c:pt idx="716" formatCode="m/d/yy">
                  <c:v>45188</c:v>
                </c:pt>
                <c:pt idx="717" formatCode="m/d/yy">
                  <c:v>45189</c:v>
                </c:pt>
                <c:pt idx="718" formatCode="m/d/yy">
                  <c:v>45190</c:v>
                </c:pt>
                <c:pt idx="719" formatCode="m/d/yy">
                  <c:v>45191</c:v>
                </c:pt>
                <c:pt idx="720" formatCode="m/d/yy">
                  <c:v>45194</c:v>
                </c:pt>
                <c:pt idx="721" formatCode="m/d/yy">
                  <c:v>45195</c:v>
                </c:pt>
                <c:pt idx="722" formatCode="m/d/yy">
                  <c:v>45196</c:v>
                </c:pt>
                <c:pt idx="723" formatCode="m/d/yy">
                  <c:v>45197</c:v>
                </c:pt>
                <c:pt idx="724" formatCode="m/d/yy">
                  <c:v>45198</c:v>
                </c:pt>
                <c:pt idx="725" formatCode="m/d/yy">
                  <c:v>45201</c:v>
                </c:pt>
                <c:pt idx="726" formatCode="m/d/yy">
                  <c:v>45202</c:v>
                </c:pt>
                <c:pt idx="727" formatCode="m/d/yy">
                  <c:v>45203</c:v>
                </c:pt>
                <c:pt idx="728" formatCode="m/d/yy">
                  <c:v>45204</c:v>
                </c:pt>
                <c:pt idx="729" formatCode="m/d/yy">
                  <c:v>45205</c:v>
                </c:pt>
                <c:pt idx="730" formatCode="m/d/yy">
                  <c:v>45208</c:v>
                </c:pt>
                <c:pt idx="731" formatCode="m/d/yy">
                  <c:v>45209</c:v>
                </c:pt>
                <c:pt idx="732" formatCode="m/d/yy">
                  <c:v>45210</c:v>
                </c:pt>
                <c:pt idx="733" formatCode="m/d/yy">
                  <c:v>45211</c:v>
                </c:pt>
                <c:pt idx="734" formatCode="m/d/yy">
                  <c:v>45212</c:v>
                </c:pt>
                <c:pt idx="735" formatCode="m/d/yy">
                  <c:v>45215</c:v>
                </c:pt>
                <c:pt idx="736" formatCode="m/d/yy">
                  <c:v>45216</c:v>
                </c:pt>
                <c:pt idx="737" formatCode="m/d/yy">
                  <c:v>45217</c:v>
                </c:pt>
                <c:pt idx="738" formatCode="m/d/yy">
                  <c:v>45218</c:v>
                </c:pt>
                <c:pt idx="739" formatCode="m/d/yy">
                  <c:v>45219</c:v>
                </c:pt>
                <c:pt idx="740" formatCode="m/d/yy">
                  <c:v>45222</c:v>
                </c:pt>
                <c:pt idx="741" formatCode="m/d/yy">
                  <c:v>45223</c:v>
                </c:pt>
                <c:pt idx="742" formatCode="m/d/yy">
                  <c:v>45224</c:v>
                </c:pt>
                <c:pt idx="743" formatCode="m/d/yy">
                  <c:v>45225</c:v>
                </c:pt>
                <c:pt idx="744" formatCode="m/d/yy">
                  <c:v>45226</c:v>
                </c:pt>
                <c:pt idx="745" formatCode="m/d/yy">
                  <c:v>45229</c:v>
                </c:pt>
                <c:pt idx="746" formatCode="m/d/yy">
                  <c:v>45230</c:v>
                </c:pt>
                <c:pt idx="747" formatCode="m/d/yy">
                  <c:v>45231</c:v>
                </c:pt>
                <c:pt idx="748" formatCode="m/d/yy">
                  <c:v>45232</c:v>
                </c:pt>
                <c:pt idx="749" formatCode="m/d/yy">
                  <c:v>45233</c:v>
                </c:pt>
                <c:pt idx="750" formatCode="m/d/yy">
                  <c:v>45236</c:v>
                </c:pt>
                <c:pt idx="751" formatCode="m/d/yy">
                  <c:v>45237</c:v>
                </c:pt>
                <c:pt idx="752" formatCode="m/d/yy">
                  <c:v>45238</c:v>
                </c:pt>
                <c:pt idx="753" formatCode="m/d/yy">
                  <c:v>45239</c:v>
                </c:pt>
                <c:pt idx="754" formatCode="m/d/yy">
                  <c:v>45240</c:v>
                </c:pt>
                <c:pt idx="755" formatCode="m/d/yy">
                  <c:v>45243</c:v>
                </c:pt>
                <c:pt idx="756" formatCode="m/d/yy">
                  <c:v>45244</c:v>
                </c:pt>
                <c:pt idx="757" formatCode="m/d/yy">
                  <c:v>45245</c:v>
                </c:pt>
                <c:pt idx="758" formatCode="m/d/yy">
                  <c:v>45246</c:v>
                </c:pt>
                <c:pt idx="759" formatCode="m/d/yy">
                  <c:v>45247</c:v>
                </c:pt>
                <c:pt idx="760" formatCode="m/d/yy">
                  <c:v>45250</c:v>
                </c:pt>
                <c:pt idx="761" formatCode="m/d/yy">
                  <c:v>45251</c:v>
                </c:pt>
                <c:pt idx="762" formatCode="m/d/yy">
                  <c:v>45252</c:v>
                </c:pt>
                <c:pt idx="763" formatCode="m/d/yy">
                  <c:v>45254</c:v>
                </c:pt>
                <c:pt idx="764" formatCode="m/d/yy">
                  <c:v>45257</c:v>
                </c:pt>
                <c:pt idx="765" formatCode="m/d/yy">
                  <c:v>45258</c:v>
                </c:pt>
                <c:pt idx="766" formatCode="m/d/yy">
                  <c:v>45259</c:v>
                </c:pt>
                <c:pt idx="767" formatCode="m/d/yy">
                  <c:v>45260</c:v>
                </c:pt>
                <c:pt idx="768" formatCode="m/d/yy">
                  <c:v>45261</c:v>
                </c:pt>
                <c:pt idx="769" formatCode="m/d/yy">
                  <c:v>45264</c:v>
                </c:pt>
                <c:pt idx="770" formatCode="m/d/yy">
                  <c:v>45265</c:v>
                </c:pt>
                <c:pt idx="771" formatCode="m/d/yy">
                  <c:v>45266</c:v>
                </c:pt>
                <c:pt idx="772" formatCode="m/d/yy">
                  <c:v>45267</c:v>
                </c:pt>
                <c:pt idx="773" formatCode="m/d/yy">
                  <c:v>45268</c:v>
                </c:pt>
                <c:pt idx="774" formatCode="m/d/yy">
                  <c:v>45271</c:v>
                </c:pt>
                <c:pt idx="775" formatCode="m/d/yy">
                  <c:v>45272</c:v>
                </c:pt>
                <c:pt idx="776" formatCode="m/d/yy">
                  <c:v>45273</c:v>
                </c:pt>
                <c:pt idx="777" formatCode="m/d/yy">
                  <c:v>45274</c:v>
                </c:pt>
                <c:pt idx="778" formatCode="m/d/yy">
                  <c:v>45275</c:v>
                </c:pt>
                <c:pt idx="779" formatCode="m/d/yy">
                  <c:v>45278</c:v>
                </c:pt>
                <c:pt idx="780" formatCode="m/d/yy">
                  <c:v>45279</c:v>
                </c:pt>
                <c:pt idx="781" formatCode="m/d/yy">
                  <c:v>45280</c:v>
                </c:pt>
                <c:pt idx="782" formatCode="m/d/yy">
                  <c:v>45281</c:v>
                </c:pt>
                <c:pt idx="783" formatCode="m/d/yy">
                  <c:v>45282</c:v>
                </c:pt>
                <c:pt idx="784" formatCode="m/d/yy">
                  <c:v>45286</c:v>
                </c:pt>
                <c:pt idx="785" formatCode="m/d/yy">
                  <c:v>45287</c:v>
                </c:pt>
                <c:pt idx="786" formatCode="m/d/yy">
                  <c:v>45288</c:v>
                </c:pt>
                <c:pt idx="787" formatCode="m/d/yy">
                  <c:v>45289</c:v>
                </c:pt>
                <c:pt idx="788" formatCode="m/d/yy">
                  <c:v>45293</c:v>
                </c:pt>
                <c:pt idx="789" formatCode="m/d/yy">
                  <c:v>45294</c:v>
                </c:pt>
                <c:pt idx="790" formatCode="m/d/yy">
                  <c:v>45295</c:v>
                </c:pt>
                <c:pt idx="791" formatCode="m/d/yy">
                  <c:v>45296</c:v>
                </c:pt>
                <c:pt idx="792" formatCode="m/d/yy">
                  <c:v>45299</c:v>
                </c:pt>
                <c:pt idx="793" formatCode="m/d/yy">
                  <c:v>45300</c:v>
                </c:pt>
                <c:pt idx="794" formatCode="m/d/yy">
                  <c:v>45301</c:v>
                </c:pt>
                <c:pt idx="795" formatCode="m/d/yy">
                  <c:v>45302</c:v>
                </c:pt>
                <c:pt idx="796" formatCode="m/d/yy">
                  <c:v>45303</c:v>
                </c:pt>
                <c:pt idx="797" formatCode="m/d/yy">
                  <c:v>45307</c:v>
                </c:pt>
                <c:pt idx="798" formatCode="m/d/yy">
                  <c:v>45308</c:v>
                </c:pt>
                <c:pt idx="799" formatCode="m/d/yy">
                  <c:v>45309</c:v>
                </c:pt>
                <c:pt idx="800" formatCode="m/d/yy">
                  <c:v>45310</c:v>
                </c:pt>
                <c:pt idx="801" formatCode="m/d/yy">
                  <c:v>45313</c:v>
                </c:pt>
                <c:pt idx="802" formatCode="m/d/yy">
                  <c:v>45314</c:v>
                </c:pt>
                <c:pt idx="803" formatCode="m/d/yy">
                  <c:v>45315</c:v>
                </c:pt>
                <c:pt idx="804" formatCode="m/d/yy">
                  <c:v>45316</c:v>
                </c:pt>
                <c:pt idx="805" formatCode="m/d/yy">
                  <c:v>45317</c:v>
                </c:pt>
                <c:pt idx="806" formatCode="m/d/yy">
                  <c:v>45320</c:v>
                </c:pt>
                <c:pt idx="807" formatCode="m/d/yy">
                  <c:v>45321</c:v>
                </c:pt>
                <c:pt idx="808" formatCode="m/d/yy">
                  <c:v>45322</c:v>
                </c:pt>
                <c:pt idx="809" formatCode="m/d/yy">
                  <c:v>45323</c:v>
                </c:pt>
                <c:pt idx="810" formatCode="m/d/yy">
                  <c:v>45324</c:v>
                </c:pt>
                <c:pt idx="811" formatCode="m/d/yy">
                  <c:v>45327</c:v>
                </c:pt>
                <c:pt idx="812" formatCode="m/d/yy">
                  <c:v>45328</c:v>
                </c:pt>
                <c:pt idx="813" formatCode="m/d/yy">
                  <c:v>45329</c:v>
                </c:pt>
                <c:pt idx="814" formatCode="m/d/yy">
                  <c:v>45330</c:v>
                </c:pt>
                <c:pt idx="815" formatCode="m/d/yy">
                  <c:v>45331</c:v>
                </c:pt>
                <c:pt idx="816" formatCode="m/d/yy">
                  <c:v>45334</c:v>
                </c:pt>
                <c:pt idx="817" formatCode="m/d/yy">
                  <c:v>45335</c:v>
                </c:pt>
                <c:pt idx="818" formatCode="m/d/yy">
                  <c:v>45336</c:v>
                </c:pt>
                <c:pt idx="819" formatCode="m/d/yy">
                  <c:v>45337</c:v>
                </c:pt>
                <c:pt idx="820" formatCode="m/d/yy">
                  <c:v>45338</c:v>
                </c:pt>
                <c:pt idx="821" formatCode="m/d/yy">
                  <c:v>45342</c:v>
                </c:pt>
                <c:pt idx="822" formatCode="m/d/yy">
                  <c:v>45343</c:v>
                </c:pt>
                <c:pt idx="823" formatCode="m/d/yy">
                  <c:v>45344</c:v>
                </c:pt>
                <c:pt idx="824" formatCode="m/d/yy">
                  <c:v>45345</c:v>
                </c:pt>
                <c:pt idx="825" formatCode="m/d/yy">
                  <c:v>45348</c:v>
                </c:pt>
                <c:pt idx="826" formatCode="m/d/yy">
                  <c:v>45349</c:v>
                </c:pt>
                <c:pt idx="827" formatCode="m/d/yy">
                  <c:v>45350</c:v>
                </c:pt>
                <c:pt idx="828" formatCode="m/d/yy">
                  <c:v>45351</c:v>
                </c:pt>
                <c:pt idx="829" formatCode="m/d/yy">
                  <c:v>45352</c:v>
                </c:pt>
                <c:pt idx="830" formatCode="m/d/yy">
                  <c:v>45355</c:v>
                </c:pt>
                <c:pt idx="831" formatCode="m/d/yy">
                  <c:v>45356</c:v>
                </c:pt>
                <c:pt idx="832" formatCode="m/d/yy">
                  <c:v>45357</c:v>
                </c:pt>
                <c:pt idx="833" formatCode="m/d/yy">
                  <c:v>45358</c:v>
                </c:pt>
                <c:pt idx="834" formatCode="m/d/yy">
                  <c:v>45359</c:v>
                </c:pt>
                <c:pt idx="835" formatCode="m/d/yy">
                  <c:v>45362</c:v>
                </c:pt>
                <c:pt idx="836" formatCode="m/d/yy">
                  <c:v>45363</c:v>
                </c:pt>
                <c:pt idx="837" formatCode="m/d/yy">
                  <c:v>45364</c:v>
                </c:pt>
                <c:pt idx="838" formatCode="m/d/yy">
                  <c:v>45365</c:v>
                </c:pt>
                <c:pt idx="839" formatCode="m/d/yy">
                  <c:v>45366</c:v>
                </c:pt>
                <c:pt idx="840" formatCode="m/d/yy">
                  <c:v>45369</c:v>
                </c:pt>
                <c:pt idx="841" formatCode="m/d/yy">
                  <c:v>45370</c:v>
                </c:pt>
                <c:pt idx="842" formatCode="m/d/yy">
                  <c:v>45371</c:v>
                </c:pt>
                <c:pt idx="843" formatCode="m/d/yy">
                  <c:v>45372</c:v>
                </c:pt>
                <c:pt idx="844" formatCode="m/d/yy">
                  <c:v>45373</c:v>
                </c:pt>
                <c:pt idx="845" formatCode="m/d/yy">
                  <c:v>45376</c:v>
                </c:pt>
                <c:pt idx="846" formatCode="m/d/yy">
                  <c:v>45377</c:v>
                </c:pt>
                <c:pt idx="847" formatCode="m/d/yy">
                  <c:v>45378</c:v>
                </c:pt>
                <c:pt idx="848" formatCode="m/d/yy">
                  <c:v>45379</c:v>
                </c:pt>
                <c:pt idx="849" formatCode="m/d/yy">
                  <c:v>45383</c:v>
                </c:pt>
                <c:pt idx="850" formatCode="m/d/yy">
                  <c:v>45384</c:v>
                </c:pt>
                <c:pt idx="851" formatCode="m/d/yy">
                  <c:v>45385</c:v>
                </c:pt>
                <c:pt idx="852" formatCode="m/d/yy">
                  <c:v>45386</c:v>
                </c:pt>
                <c:pt idx="853" formatCode="m/d/yy">
                  <c:v>45387</c:v>
                </c:pt>
                <c:pt idx="854" formatCode="m/d/yy">
                  <c:v>45390</c:v>
                </c:pt>
                <c:pt idx="855" formatCode="m/d/yy">
                  <c:v>45391</c:v>
                </c:pt>
                <c:pt idx="856" formatCode="m/d/yy">
                  <c:v>45392</c:v>
                </c:pt>
                <c:pt idx="857" formatCode="m/d/yy">
                  <c:v>45393</c:v>
                </c:pt>
                <c:pt idx="858" formatCode="m/d/yy">
                  <c:v>45394</c:v>
                </c:pt>
                <c:pt idx="859" formatCode="m/d/yy">
                  <c:v>45397</c:v>
                </c:pt>
                <c:pt idx="860" formatCode="m/d/yy">
                  <c:v>45398</c:v>
                </c:pt>
                <c:pt idx="861" formatCode="m/d/yy">
                  <c:v>45399</c:v>
                </c:pt>
                <c:pt idx="862" formatCode="m/d/yy">
                  <c:v>45400</c:v>
                </c:pt>
                <c:pt idx="863" formatCode="m/d/yy">
                  <c:v>45401</c:v>
                </c:pt>
                <c:pt idx="864" formatCode="m/d/yy">
                  <c:v>45404</c:v>
                </c:pt>
                <c:pt idx="865" formatCode="m/d/yy">
                  <c:v>45405</c:v>
                </c:pt>
                <c:pt idx="866" formatCode="m/d/yy">
                  <c:v>45406</c:v>
                </c:pt>
                <c:pt idx="867" formatCode="m/d/yy">
                  <c:v>45407</c:v>
                </c:pt>
                <c:pt idx="868" formatCode="m/d/yy">
                  <c:v>45408</c:v>
                </c:pt>
                <c:pt idx="869" formatCode="m/d/yy">
                  <c:v>45411</c:v>
                </c:pt>
                <c:pt idx="870" formatCode="m/d/yy">
                  <c:v>45412</c:v>
                </c:pt>
                <c:pt idx="871" formatCode="m/d/yy">
                  <c:v>45413</c:v>
                </c:pt>
                <c:pt idx="872" formatCode="m/d/yy">
                  <c:v>45414</c:v>
                </c:pt>
                <c:pt idx="873" formatCode="m/d/yy">
                  <c:v>45415</c:v>
                </c:pt>
                <c:pt idx="874" formatCode="m/d/yy">
                  <c:v>45418</c:v>
                </c:pt>
                <c:pt idx="875" formatCode="m/d/yy">
                  <c:v>45419</c:v>
                </c:pt>
                <c:pt idx="876" formatCode="m/d/yy">
                  <c:v>45420</c:v>
                </c:pt>
                <c:pt idx="877" formatCode="m/d/yy">
                  <c:v>45421</c:v>
                </c:pt>
                <c:pt idx="878" formatCode="m/d/yy">
                  <c:v>45422</c:v>
                </c:pt>
                <c:pt idx="879" formatCode="m/d/yy">
                  <c:v>45425</c:v>
                </c:pt>
                <c:pt idx="880" formatCode="m/d/yy">
                  <c:v>45426</c:v>
                </c:pt>
                <c:pt idx="881" formatCode="m/d/yy">
                  <c:v>45427</c:v>
                </c:pt>
                <c:pt idx="882" formatCode="m/d/yy">
                  <c:v>45428</c:v>
                </c:pt>
                <c:pt idx="883" formatCode="m/d/yy">
                  <c:v>45429</c:v>
                </c:pt>
                <c:pt idx="884" formatCode="m/d/yy">
                  <c:v>45432</c:v>
                </c:pt>
                <c:pt idx="885" formatCode="m/d/yy">
                  <c:v>45433</c:v>
                </c:pt>
                <c:pt idx="886" formatCode="m/d/yy">
                  <c:v>45434</c:v>
                </c:pt>
                <c:pt idx="887" formatCode="m/d/yy">
                  <c:v>45435</c:v>
                </c:pt>
                <c:pt idx="888" formatCode="m/d/yy">
                  <c:v>45436</c:v>
                </c:pt>
                <c:pt idx="889" formatCode="m/d/yy">
                  <c:v>45440</c:v>
                </c:pt>
                <c:pt idx="890" formatCode="m/d/yy">
                  <c:v>45441</c:v>
                </c:pt>
                <c:pt idx="891" formatCode="m/d/yy">
                  <c:v>45442</c:v>
                </c:pt>
                <c:pt idx="892" formatCode="m/d/yy">
                  <c:v>45443</c:v>
                </c:pt>
                <c:pt idx="893" formatCode="m/d/yy">
                  <c:v>45446</c:v>
                </c:pt>
                <c:pt idx="894" formatCode="m/d/yy">
                  <c:v>45447</c:v>
                </c:pt>
                <c:pt idx="895" formatCode="m/d/yy">
                  <c:v>45448</c:v>
                </c:pt>
                <c:pt idx="896" formatCode="m/d/yy">
                  <c:v>45449</c:v>
                </c:pt>
                <c:pt idx="897" formatCode="m/d/yy">
                  <c:v>45450</c:v>
                </c:pt>
                <c:pt idx="898" formatCode="m/d/yy">
                  <c:v>45453</c:v>
                </c:pt>
                <c:pt idx="899" formatCode="m/d/yy">
                  <c:v>45454</c:v>
                </c:pt>
                <c:pt idx="900" formatCode="m/d/yy">
                  <c:v>45455</c:v>
                </c:pt>
                <c:pt idx="901" formatCode="m/d/yy">
                  <c:v>45456</c:v>
                </c:pt>
                <c:pt idx="902" formatCode="m/d/yy">
                  <c:v>45457</c:v>
                </c:pt>
                <c:pt idx="903" formatCode="m/d/yy">
                  <c:v>45460</c:v>
                </c:pt>
                <c:pt idx="904" formatCode="m/d/yy">
                  <c:v>45461</c:v>
                </c:pt>
                <c:pt idx="905" formatCode="m/d/yy">
                  <c:v>45463</c:v>
                </c:pt>
                <c:pt idx="906" formatCode="m/d/yy">
                  <c:v>45464</c:v>
                </c:pt>
                <c:pt idx="907" formatCode="m/d/yy">
                  <c:v>45467</c:v>
                </c:pt>
                <c:pt idx="908" formatCode="m/d/yy">
                  <c:v>45468</c:v>
                </c:pt>
                <c:pt idx="909" formatCode="m/d/yy">
                  <c:v>45469</c:v>
                </c:pt>
                <c:pt idx="910" formatCode="m/d/yy">
                  <c:v>45470</c:v>
                </c:pt>
                <c:pt idx="911" formatCode="m/d/yy">
                  <c:v>45471</c:v>
                </c:pt>
                <c:pt idx="912" formatCode="m/d/yy">
                  <c:v>45474</c:v>
                </c:pt>
                <c:pt idx="913" formatCode="m/d/yy">
                  <c:v>45475</c:v>
                </c:pt>
                <c:pt idx="914" formatCode="m/d/yy">
                  <c:v>45476</c:v>
                </c:pt>
                <c:pt idx="915" formatCode="m/d/yy">
                  <c:v>45478</c:v>
                </c:pt>
                <c:pt idx="916" formatCode="m/d/yy">
                  <c:v>45481</c:v>
                </c:pt>
                <c:pt idx="917" formatCode="m/d/yy">
                  <c:v>45482</c:v>
                </c:pt>
                <c:pt idx="918" formatCode="m/d/yy">
                  <c:v>45483</c:v>
                </c:pt>
                <c:pt idx="919" formatCode="m/d/yy">
                  <c:v>45484</c:v>
                </c:pt>
                <c:pt idx="920" formatCode="m/d/yy">
                  <c:v>45485</c:v>
                </c:pt>
                <c:pt idx="921" formatCode="m/d/yy">
                  <c:v>45488</c:v>
                </c:pt>
                <c:pt idx="922" formatCode="m/d/yy">
                  <c:v>45489</c:v>
                </c:pt>
                <c:pt idx="923" formatCode="m/d/yy">
                  <c:v>45490</c:v>
                </c:pt>
                <c:pt idx="924" formatCode="m/d/yy">
                  <c:v>45491</c:v>
                </c:pt>
                <c:pt idx="925" formatCode="m/d/yy">
                  <c:v>45492</c:v>
                </c:pt>
                <c:pt idx="926" formatCode="m/d/yy">
                  <c:v>45495</c:v>
                </c:pt>
                <c:pt idx="927" formatCode="m/d/yy">
                  <c:v>45496</c:v>
                </c:pt>
                <c:pt idx="928" formatCode="m/d/yy">
                  <c:v>45497</c:v>
                </c:pt>
                <c:pt idx="929" formatCode="m/d/yy">
                  <c:v>45498</c:v>
                </c:pt>
                <c:pt idx="930" formatCode="m/d/yy">
                  <c:v>45499</c:v>
                </c:pt>
                <c:pt idx="931" formatCode="m/d/yy">
                  <c:v>45502</c:v>
                </c:pt>
                <c:pt idx="932" formatCode="m/d/yy">
                  <c:v>45503</c:v>
                </c:pt>
                <c:pt idx="933" formatCode="m/d/yy">
                  <c:v>45504</c:v>
                </c:pt>
                <c:pt idx="934" formatCode="m/d/yy">
                  <c:v>45505</c:v>
                </c:pt>
                <c:pt idx="935" formatCode="m/d/yy">
                  <c:v>45506</c:v>
                </c:pt>
                <c:pt idx="936" formatCode="m/d/yy">
                  <c:v>45509</c:v>
                </c:pt>
                <c:pt idx="937" formatCode="m/d/yy">
                  <c:v>45510</c:v>
                </c:pt>
                <c:pt idx="938" formatCode="m/d/yy">
                  <c:v>45511</c:v>
                </c:pt>
                <c:pt idx="939" formatCode="m/d/yy">
                  <c:v>45512</c:v>
                </c:pt>
                <c:pt idx="940" formatCode="m/d/yy">
                  <c:v>45513</c:v>
                </c:pt>
                <c:pt idx="941" formatCode="m/d/yy">
                  <c:v>45516</c:v>
                </c:pt>
                <c:pt idx="942" formatCode="m/d/yy">
                  <c:v>45517</c:v>
                </c:pt>
                <c:pt idx="943" formatCode="m/d/yy">
                  <c:v>45518</c:v>
                </c:pt>
                <c:pt idx="944" formatCode="m/d/yy">
                  <c:v>45519</c:v>
                </c:pt>
                <c:pt idx="945" formatCode="m/d/yy">
                  <c:v>45520</c:v>
                </c:pt>
                <c:pt idx="946" formatCode="m/d/yy">
                  <c:v>45523</c:v>
                </c:pt>
                <c:pt idx="947" formatCode="m/d/yy">
                  <c:v>45524</c:v>
                </c:pt>
                <c:pt idx="948" formatCode="m/d/yy">
                  <c:v>45525</c:v>
                </c:pt>
                <c:pt idx="949" formatCode="m/d/yy">
                  <c:v>45526</c:v>
                </c:pt>
                <c:pt idx="950" formatCode="m/d/yy">
                  <c:v>45527</c:v>
                </c:pt>
                <c:pt idx="951" formatCode="m/d/yy">
                  <c:v>45530</c:v>
                </c:pt>
                <c:pt idx="952" formatCode="m/d/yy">
                  <c:v>45531</c:v>
                </c:pt>
                <c:pt idx="953" formatCode="m/d/yy">
                  <c:v>45532</c:v>
                </c:pt>
                <c:pt idx="954" formatCode="m/d/yy">
                  <c:v>45533</c:v>
                </c:pt>
                <c:pt idx="955" formatCode="m/d/yy">
                  <c:v>45534</c:v>
                </c:pt>
                <c:pt idx="956" formatCode="m/d/yy">
                  <c:v>45538</c:v>
                </c:pt>
                <c:pt idx="957" formatCode="m/d/yy">
                  <c:v>45539</c:v>
                </c:pt>
                <c:pt idx="958" formatCode="m/d/yy">
                  <c:v>45540</c:v>
                </c:pt>
                <c:pt idx="959" formatCode="m/d/yy">
                  <c:v>45541</c:v>
                </c:pt>
                <c:pt idx="960" formatCode="m/d/yy">
                  <c:v>45544</c:v>
                </c:pt>
                <c:pt idx="961" formatCode="m/d/yy">
                  <c:v>45545</c:v>
                </c:pt>
                <c:pt idx="962" formatCode="m/d/yy">
                  <c:v>45546</c:v>
                </c:pt>
                <c:pt idx="963" formatCode="m/d/yy">
                  <c:v>45547</c:v>
                </c:pt>
                <c:pt idx="964" formatCode="m/d/yy">
                  <c:v>45548</c:v>
                </c:pt>
                <c:pt idx="965" formatCode="m/d/yy">
                  <c:v>45551</c:v>
                </c:pt>
                <c:pt idx="966" formatCode="m/d/yy">
                  <c:v>45552</c:v>
                </c:pt>
                <c:pt idx="967" formatCode="m/d/yy">
                  <c:v>45553</c:v>
                </c:pt>
                <c:pt idx="968" formatCode="m/d/yy">
                  <c:v>45554</c:v>
                </c:pt>
                <c:pt idx="969" formatCode="m/d/yy">
                  <c:v>45555</c:v>
                </c:pt>
                <c:pt idx="970" formatCode="m/d/yy">
                  <c:v>45558</c:v>
                </c:pt>
                <c:pt idx="971" formatCode="m/d/yy">
                  <c:v>45559</c:v>
                </c:pt>
                <c:pt idx="972" formatCode="m/d/yy">
                  <c:v>45560</c:v>
                </c:pt>
                <c:pt idx="973" formatCode="m/d/yy">
                  <c:v>45561</c:v>
                </c:pt>
                <c:pt idx="974" formatCode="m/d/yy">
                  <c:v>45562</c:v>
                </c:pt>
                <c:pt idx="975" formatCode="m/d/yy">
                  <c:v>45565</c:v>
                </c:pt>
                <c:pt idx="976" formatCode="m/d/yy">
                  <c:v>45566</c:v>
                </c:pt>
                <c:pt idx="977" formatCode="m/d/yy">
                  <c:v>45567</c:v>
                </c:pt>
                <c:pt idx="978" formatCode="m/d/yy">
                  <c:v>45568</c:v>
                </c:pt>
                <c:pt idx="979" formatCode="m/d/yy">
                  <c:v>45569</c:v>
                </c:pt>
                <c:pt idx="980" formatCode="m/d/yy">
                  <c:v>45572</c:v>
                </c:pt>
                <c:pt idx="981" formatCode="m/d/yy">
                  <c:v>45573</c:v>
                </c:pt>
                <c:pt idx="982" formatCode="m/d/yy">
                  <c:v>45574</c:v>
                </c:pt>
                <c:pt idx="983" formatCode="m/d/yy">
                  <c:v>45575</c:v>
                </c:pt>
                <c:pt idx="984" formatCode="m/d/yy">
                  <c:v>45576</c:v>
                </c:pt>
                <c:pt idx="985" formatCode="m/d/yy">
                  <c:v>45579</c:v>
                </c:pt>
                <c:pt idx="986" formatCode="m/d/yy">
                  <c:v>45580</c:v>
                </c:pt>
                <c:pt idx="987" formatCode="m/d/yy">
                  <c:v>45581</c:v>
                </c:pt>
                <c:pt idx="988" formatCode="m/d/yy">
                  <c:v>45582</c:v>
                </c:pt>
                <c:pt idx="989" formatCode="m/d/yy">
                  <c:v>45583</c:v>
                </c:pt>
                <c:pt idx="990" formatCode="m/d/yy">
                  <c:v>45586</c:v>
                </c:pt>
                <c:pt idx="991" formatCode="m/d/yy">
                  <c:v>45587</c:v>
                </c:pt>
                <c:pt idx="992" formatCode="m/d/yy">
                  <c:v>45588</c:v>
                </c:pt>
                <c:pt idx="993" formatCode="m/d/yy">
                  <c:v>45589</c:v>
                </c:pt>
                <c:pt idx="994" formatCode="m/d/yy">
                  <c:v>45590</c:v>
                </c:pt>
                <c:pt idx="995" formatCode="m/d/yy">
                  <c:v>45593</c:v>
                </c:pt>
                <c:pt idx="996" formatCode="m/d/yy">
                  <c:v>45594</c:v>
                </c:pt>
                <c:pt idx="997" formatCode="m/d/yy">
                  <c:v>45595</c:v>
                </c:pt>
                <c:pt idx="998" formatCode="m/d/yy">
                  <c:v>45596</c:v>
                </c:pt>
                <c:pt idx="999" formatCode="m/d/yy">
                  <c:v>45597</c:v>
                </c:pt>
                <c:pt idx="1000" formatCode="m/d/yy">
                  <c:v>45600</c:v>
                </c:pt>
                <c:pt idx="1001" formatCode="m/d/yy">
                  <c:v>45601</c:v>
                </c:pt>
                <c:pt idx="1002" formatCode="m/d/yy">
                  <c:v>45602</c:v>
                </c:pt>
                <c:pt idx="1003" formatCode="m/d/yy">
                  <c:v>45603</c:v>
                </c:pt>
                <c:pt idx="1004" formatCode="m/d/yy">
                  <c:v>45604</c:v>
                </c:pt>
                <c:pt idx="1005" formatCode="m/d/yy">
                  <c:v>45607</c:v>
                </c:pt>
                <c:pt idx="1006" formatCode="m/d/yy">
                  <c:v>45608</c:v>
                </c:pt>
                <c:pt idx="1007" formatCode="m/d/yy">
                  <c:v>45609</c:v>
                </c:pt>
                <c:pt idx="1008" formatCode="m/d/yy">
                  <c:v>45610</c:v>
                </c:pt>
                <c:pt idx="1009" formatCode="m/d/yy">
                  <c:v>45611</c:v>
                </c:pt>
                <c:pt idx="1010" formatCode="m/d/yy">
                  <c:v>45614</c:v>
                </c:pt>
                <c:pt idx="1011" formatCode="m/d/yy">
                  <c:v>45615</c:v>
                </c:pt>
                <c:pt idx="1012" formatCode="m/d/yy">
                  <c:v>45616</c:v>
                </c:pt>
                <c:pt idx="1013" formatCode="m/d/yy">
                  <c:v>45617</c:v>
                </c:pt>
                <c:pt idx="1014" formatCode="m/d/yy">
                  <c:v>45618</c:v>
                </c:pt>
                <c:pt idx="1015" formatCode="m/d/yy">
                  <c:v>45621</c:v>
                </c:pt>
                <c:pt idx="1016" formatCode="m/d/yy">
                  <c:v>45622</c:v>
                </c:pt>
                <c:pt idx="1017" formatCode="m/d/yy">
                  <c:v>45623</c:v>
                </c:pt>
                <c:pt idx="1018" formatCode="m/d/yy">
                  <c:v>45625</c:v>
                </c:pt>
                <c:pt idx="1019" formatCode="m/d/yy">
                  <c:v>45628</c:v>
                </c:pt>
                <c:pt idx="1020" formatCode="m/d/yy">
                  <c:v>45629</c:v>
                </c:pt>
                <c:pt idx="1021" formatCode="m/d/yy">
                  <c:v>45630</c:v>
                </c:pt>
                <c:pt idx="1022" formatCode="m/d/yy">
                  <c:v>45631</c:v>
                </c:pt>
                <c:pt idx="1023" formatCode="m/d/yy">
                  <c:v>45632</c:v>
                </c:pt>
                <c:pt idx="1024" formatCode="m/d/yy">
                  <c:v>45635</c:v>
                </c:pt>
                <c:pt idx="1025" formatCode="m/d/yy">
                  <c:v>45636</c:v>
                </c:pt>
                <c:pt idx="1026" formatCode="m/d/yy">
                  <c:v>45637</c:v>
                </c:pt>
                <c:pt idx="1027" formatCode="m/d/yy">
                  <c:v>45638</c:v>
                </c:pt>
                <c:pt idx="1028" formatCode="m/d/yy">
                  <c:v>45639</c:v>
                </c:pt>
                <c:pt idx="1029" formatCode="m/d/yy">
                  <c:v>45642</c:v>
                </c:pt>
                <c:pt idx="1030" formatCode="m/d/yy">
                  <c:v>45643</c:v>
                </c:pt>
                <c:pt idx="1031" formatCode="m/d/yy">
                  <c:v>45644</c:v>
                </c:pt>
                <c:pt idx="1032" formatCode="m/d/yy">
                  <c:v>45645</c:v>
                </c:pt>
                <c:pt idx="1033" formatCode="m/d/yy">
                  <c:v>45646</c:v>
                </c:pt>
                <c:pt idx="1034" formatCode="m/d/yy">
                  <c:v>45649</c:v>
                </c:pt>
                <c:pt idx="1035" formatCode="m/d/yy">
                  <c:v>45650</c:v>
                </c:pt>
                <c:pt idx="1036" formatCode="m/d/yy">
                  <c:v>45652</c:v>
                </c:pt>
                <c:pt idx="1037" formatCode="m/d/yy">
                  <c:v>45653</c:v>
                </c:pt>
                <c:pt idx="1038" formatCode="m/d/yy">
                  <c:v>45656</c:v>
                </c:pt>
                <c:pt idx="1039" formatCode="m/d/yy">
                  <c:v>45657</c:v>
                </c:pt>
                <c:pt idx="1040" formatCode="m/d/yy">
                  <c:v>45659</c:v>
                </c:pt>
                <c:pt idx="1041" formatCode="m/d/yy">
                  <c:v>45660</c:v>
                </c:pt>
                <c:pt idx="1042" formatCode="m/d/yy">
                  <c:v>45663</c:v>
                </c:pt>
                <c:pt idx="1043" formatCode="m/d/yy">
                  <c:v>45664</c:v>
                </c:pt>
                <c:pt idx="1044" formatCode="m/d/yy">
                  <c:v>45665</c:v>
                </c:pt>
                <c:pt idx="1045" formatCode="m/d/yy">
                  <c:v>45667</c:v>
                </c:pt>
                <c:pt idx="1046" formatCode="m/d/yy">
                  <c:v>45670</c:v>
                </c:pt>
                <c:pt idx="1047" formatCode="m/d/yy">
                  <c:v>45671</c:v>
                </c:pt>
                <c:pt idx="1048" formatCode="m/d/yy">
                  <c:v>45672</c:v>
                </c:pt>
                <c:pt idx="1049" formatCode="m/d/yy">
                  <c:v>45673</c:v>
                </c:pt>
                <c:pt idx="1050" formatCode="m/d/yy">
                  <c:v>45674</c:v>
                </c:pt>
                <c:pt idx="1051" formatCode="m/d/yy">
                  <c:v>45678</c:v>
                </c:pt>
                <c:pt idx="1052" formatCode="m/d/yy">
                  <c:v>45679</c:v>
                </c:pt>
                <c:pt idx="1053" formatCode="m/d/yy">
                  <c:v>45680</c:v>
                </c:pt>
                <c:pt idx="1054" formatCode="m/d/yy">
                  <c:v>45681</c:v>
                </c:pt>
                <c:pt idx="1055" formatCode="m/d/yy">
                  <c:v>45684</c:v>
                </c:pt>
                <c:pt idx="1056" formatCode="m/d/yy">
                  <c:v>45685</c:v>
                </c:pt>
                <c:pt idx="1057" formatCode="m/d/yy">
                  <c:v>45686</c:v>
                </c:pt>
                <c:pt idx="1058" formatCode="m/d/yy">
                  <c:v>45687</c:v>
                </c:pt>
                <c:pt idx="1059" formatCode="m/d/yy">
                  <c:v>45688</c:v>
                </c:pt>
                <c:pt idx="1060" formatCode="m/d/yy">
                  <c:v>45691</c:v>
                </c:pt>
                <c:pt idx="1061" formatCode="m/d/yy">
                  <c:v>45692</c:v>
                </c:pt>
                <c:pt idx="1062" formatCode="m/d/yy">
                  <c:v>45693</c:v>
                </c:pt>
                <c:pt idx="1063" formatCode="m/d/yy">
                  <c:v>45694</c:v>
                </c:pt>
                <c:pt idx="1064" formatCode="m/d/yy">
                  <c:v>45695</c:v>
                </c:pt>
                <c:pt idx="1065" formatCode="m/d/yy">
                  <c:v>45698</c:v>
                </c:pt>
                <c:pt idx="1066" formatCode="m/d/yy">
                  <c:v>45699</c:v>
                </c:pt>
                <c:pt idx="1067" formatCode="m/d/yy">
                  <c:v>45700</c:v>
                </c:pt>
                <c:pt idx="1068" formatCode="m/d/yy">
                  <c:v>45701</c:v>
                </c:pt>
                <c:pt idx="1069" formatCode="m/d/yy">
                  <c:v>45702</c:v>
                </c:pt>
                <c:pt idx="1070" formatCode="m/d/yy">
                  <c:v>45706</c:v>
                </c:pt>
                <c:pt idx="1071" formatCode="m/d/yy">
                  <c:v>45707</c:v>
                </c:pt>
                <c:pt idx="1072" formatCode="m/d/yy">
                  <c:v>45708</c:v>
                </c:pt>
                <c:pt idx="1073" formatCode="m/d/yy">
                  <c:v>45709</c:v>
                </c:pt>
                <c:pt idx="1074" formatCode="m/d/yy">
                  <c:v>45712</c:v>
                </c:pt>
                <c:pt idx="1075" formatCode="m/d/yy">
                  <c:v>45713</c:v>
                </c:pt>
                <c:pt idx="1076" formatCode="m/d/yy">
                  <c:v>45714</c:v>
                </c:pt>
                <c:pt idx="1077" formatCode="m/d/yy">
                  <c:v>45715</c:v>
                </c:pt>
                <c:pt idx="1078" formatCode="m/d/yy">
                  <c:v>45716</c:v>
                </c:pt>
                <c:pt idx="1079" formatCode="m/d/yy">
                  <c:v>45719</c:v>
                </c:pt>
                <c:pt idx="1080" formatCode="m/d/yy">
                  <c:v>45720</c:v>
                </c:pt>
                <c:pt idx="1081" formatCode="m/d/yy">
                  <c:v>45721</c:v>
                </c:pt>
                <c:pt idx="1082" formatCode="m/d/yy">
                  <c:v>45722</c:v>
                </c:pt>
                <c:pt idx="1083" formatCode="m/d/yy">
                  <c:v>45723</c:v>
                </c:pt>
                <c:pt idx="1084" formatCode="m/d/yy">
                  <c:v>45726</c:v>
                </c:pt>
                <c:pt idx="1085" formatCode="m/d/yy">
                  <c:v>45727</c:v>
                </c:pt>
                <c:pt idx="1086" formatCode="m/d/yy">
                  <c:v>45728</c:v>
                </c:pt>
                <c:pt idx="1087" formatCode="m/d/yy">
                  <c:v>45729</c:v>
                </c:pt>
                <c:pt idx="1088" formatCode="m/d/yy">
                  <c:v>45730</c:v>
                </c:pt>
                <c:pt idx="1089" formatCode="m/d/yy">
                  <c:v>45733</c:v>
                </c:pt>
                <c:pt idx="1090" formatCode="m/d/yy">
                  <c:v>45734</c:v>
                </c:pt>
                <c:pt idx="1091" formatCode="m/d/yy">
                  <c:v>45735</c:v>
                </c:pt>
                <c:pt idx="1092" formatCode="m/d/yy">
                  <c:v>45736</c:v>
                </c:pt>
                <c:pt idx="1093" formatCode="m/d/yy">
                  <c:v>45737</c:v>
                </c:pt>
                <c:pt idx="1094" formatCode="m/d/yy">
                  <c:v>45740</c:v>
                </c:pt>
                <c:pt idx="1095" formatCode="m/d/yy">
                  <c:v>45741</c:v>
                </c:pt>
                <c:pt idx="1096" formatCode="m/d/yy">
                  <c:v>45742</c:v>
                </c:pt>
                <c:pt idx="1097" formatCode="m/d/yy">
                  <c:v>45743</c:v>
                </c:pt>
                <c:pt idx="1098" formatCode="m/d/yy">
                  <c:v>45744</c:v>
                </c:pt>
                <c:pt idx="1099" formatCode="m/d/yy">
                  <c:v>45747</c:v>
                </c:pt>
                <c:pt idx="1100" formatCode="m/d/yy">
                  <c:v>45748</c:v>
                </c:pt>
                <c:pt idx="1101" formatCode="m/d/yy">
                  <c:v>45749</c:v>
                </c:pt>
                <c:pt idx="1102" formatCode="m/d/yy">
                  <c:v>45750</c:v>
                </c:pt>
                <c:pt idx="1103" formatCode="m/d/yy">
                  <c:v>45751</c:v>
                </c:pt>
                <c:pt idx="1104" formatCode="m/d/yy">
                  <c:v>45754</c:v>
                </c:pt>
                <c:pt idx="1105" formatCode="m/d/yy">
                  <c:v>45755</c:v>
                </c:pt>
                <c:pt idx="1106" formatCode="m/d/yy">
                  <c:v>45756</c:v>
                </c:pt>
                <c:pt idx="1107" formatCode="m/d/yy">
                  <c:v>45757</c:v>
                </c:pt>
                <c:pt idx="1108" formatCode="m/d/yy">
                  <c:v>45758</c:v>
                </c:pt>
                <c:pt idx="1109" formatCode="m/d/yy">
                  <c:v>45761</c:v>
                </c:pt>
                <c:pt idx="1110" formatCode="m/d/yy">
                  <c:v>45762</c:v>
                </c:pt>
                <c:pt idx="1111" formatCode="m/d/yy">
                  <c:v>45763</c:v>
                </c:pt>
                <c:pt idx="1112" formatCode="m/d/yy">
                  <c:v>45764</c:v>
                </c:pt>
                <c:pt idx="1113" formatCode="m/d/yy">
                  <c:v>45768</c:v>
                </c:pt>
                <c:pt idx="1114" formatCode="m/d/yy">
                  <c:v>45769</c:v>
                </c:pt>
                <c:pt idx="1115" formatCode="m/d/yy">
                  <c:v>45770</c:v>
                </c:pt>
                <c:pt idx="1116" formatCode="m/d/yy">
                  <c:v>45771</c:v>
                </c:pt>
                <c:pt idx="1117" formatCode="m/d/yy">
                  <c:v>45772</c:v>
                </c:pt>
                <c:pt idx="1118" formatCode="m/d/yy">
                  <c:v>45775</c:v>
                </c:pt>
                <c:pt idx="1119" formatCode="m/d/yy">
                  <c:v>45776</c:v>
                </c:pt>
                <c:pt idx="1120" formatCode="m/d/yy">
                  <c:v>45777</c:v>
                </c:pt>
                <c:pt idx="1121" formatCode="m/d/yy">
                  <c:v>45778</c:v>
                </c:pt>
                <c:pt idx="1122" formatCode="m/d/yy">
                  <c:v>45779</c:v>
                </c:pt>
                <c:pt idx="1123" formatCode="m/d/yy">
                  <c:v>45782</c:v>
                </c:pt>
                <c:pt idx="1124" formatCode="m/d/yy">
                  <c:v>45783</c:v>
                </c:pt>
                <c:pt idx="1125" formatCode="m/d/yy">
                  <c:v>45784</c:v>
                </c:pt>
                <c:pt idx="1126" formatCode="m/d/yy">
                  <c:v>45785</c:v>
                </c:pt>
                <c:pt idx="1127" formatCode="m/d/yy">
                  <c:v>45786</c:v>
                </c:pt>
                <c:pt idx="1128" formatCode="m/d/yy">
                  <c:v>45789</c:v>
                </c:pt>
                <c:pt idx="1129" formatCode="m/d/yy">
                  <c:v>45790</c:v>
                </c:pt>
                <c:pt idx="1130" formatCode="m/d/yy">
                  <c:v>45791</c:v>
                </c:pt>
                <c:pt idx="1131" formatCode="m/d/yy">
                  <c:v>45792</c:v>
                </c:pt>
                <c:pt idx="1132" formatCode="m/d/yy">
                  <c:v>45793</c:v>
                </c:pt>
                <c:pt idx="1133" formatCode="m/d/yy">
                  <c:v>45796</c:v>
                </c:pt>
                <c:pt idx="1134" formatCode="m/d/yy">
                  <c:v>45797</c:v>
                </c:pt>
                <c:pt idx="1135" formatCode="m/d/yy">
                  <c:v>45798</c:v>
                </c:pt>
                <c:pt idx="1136" formatCode="m/d/yy">
                  <c:v>45799</c:v>
                </c:pt>
                <c:pt idx="1137" formatCode="m/d/yy">
                  <c:v>45800</c:v>
                </c:pt>
                <c:pt idx="1138" formatCode="m/d/yy">
                  <c:v>45804</c:v>
                </c:pt>
                <c:pt idx="1139" formatCode="m/d/yy">
                  <c:v>45805</c:v>
                </c:pt>
                <c:pt idx="1140" formatCode="m/d/yy">
                  <c:v>45806</c:v>
                </c:pt>
                <c:pt idx="1141" formatCode="m/d/yy">
                  <c:v>45807</c:v>
                </c:pt>
                <c:pt idx="1142" formatCode="m/d/yy">
                  <c:v>45810</c:v>
                </c:pt>
                <c:pt idx="1143" formatCode="m/d/yy">
                  <c:v>45811</c:v>
                </c:pt>
                <c:pt idx="1144" formatCode="m/d/yy">
                  <c:v>45812</c:v>
                </c:pt>
                <c:pt idx="1145" formatCode="m/d/yy">
                  <c:v>45813</c:v>
                </c:pt>
                <c:pt idx="1146" formatCode="m/d/yy">
                  <c:v>45814</c:v>
                </c:pt>
                <c:pt idx="1147" formatCode="m/d/yy">
                  <c:v>45817</c:v>
                </c:pt>
                <c:pt idx="1148" formatCode="m/d/yy">
                  <c:v>45818</c:v>
                </c:pt>
                <c:pt idx="1149" formatCode="m/d/yy">
                  <c:v>45819</c:v>
                </c:pt>
                <c:pt idx="1150" formatCode="m/d/yy">
                  <c:v>45820</c:v>
                </c:pt>
                <c:pt idx="1151" formatCode="m/d/yy">
                  <c:v>45821</c:v>
                </c:pt>
                <c:pt idx="1152" formatCode="m/d/yy">
                  <c:v>45824</c:v>
                </c:pt>
                <c:pt idx="1153" formatCode="m/d/yy">
                  <c:v>45825</c:v>
                </c:pt>
                <c:pt idx="1154" formatCode="m/d/yy">
                  <c:v>45826</c:v>
                </c:pt>
                <c:pt idx="1155" formatCode="m/d/yy">
                  <c:v>45828</c:v>
                </c:pt>
                <c:pt idx="1156" formatCode="m/d/yy">
                  <c:v>45831</c:v>
                </c:pt>
                <c:pt idx="1157" formatCode="m/d/yy">
                  <c:v>45832</c:v>
                </c:pt>
                <c:pt idx="1158" formatCode="m/d/yy">
                  <c:v>45833</c:v>
                </c:pt>
                <c:pt idx="1159" formatCode="m/d/yy">
                  <c:v>45834</c:v>
                </c:pt>
                <c:pt idx="1160" formatCode="m/d/yy">
                  <c:v>45835</c:v>
                </c:pt>
                <c:pt idx="1161" formatCode="m/d/yy">
                  <c:v>45838</c:v>
                </c:pt>
                <c:pt idx="1162" formatCode="m/d/yy">
                  <c:v>45839</c:v>
                </c:pt>
                <c:pt idx="1163" formatCode="m/d/yy">
                  <c:v>45840</c:v>
                </c:pt>
                <c:pt idx="1164" formatCode="m/d/yy">
                  <c:v>45841</c:v>
                </c:pt>
                <c:pt idx="1165" formatCode="m/d/yy">
                  <c:v>45845</c:v>
                </c:pt>
                <c:pt idx="1166" formatCode="m/d/yy">
                  <c:v>45846</c:v>
                </c:pt>
                <c:pt idx="1167" formatCode="m/d/yy">
                  <c:v>45847</c:v>
                </c:pt>
                <c:pt idx="1168" formatCode="m/d/yy">
                  <c:v>45848</c:v>
                </c:pt>
                <c:pt idx="1169" formatCode="m/d/yy">
                  <c:v>45849</c:v>
                </c:pt>
                <c:pt idx="1170" formatCode="m/d/yy">
                  <c:v>45852</c:v>
                </c:pt>
                <c:pt idx="1171" formatCode="m/d/yy">
                  <c:v>45853</c:v>
                </c:pt>
                <c:pt idx="1172" formatCode="m/d/yy">
                  <c:v>45854</c:v>
                </c:pt>
                <c:pt idx="1173" formatCode="m/d/yy">
                  <c:v>45855</c:v>
                </c:pt>
                <c:pt idx="1174" formatCode="m/d/yy">
                  <c:v>45856</c:v>
                </c:pt>
                <c:pt idx="1175" formatCode="m/d/yy">
                  <c:v>45859</c:v>
                </c:pt>
                <c:pt idx="1176" formatCode="m/d/yy">
                  <c:v>45860</c:v>
                </c:pt>
                <c:pt idx="1177" formatCode="m/d/yy">
                  <c:v>45861</c:v>
                </c:pt>
                <c:pt idx="1178" formatCode="m/d/yy">
                  <c:v>45862</c:v>
                </c:pt>
                <c:pt idx="1179" formatCode="m/d/yy">
                  <c:v>45863</c:v>
                </c:pt>
                <c:pt idx="1180" formatCode="m/d/yy">
                  <c:v>45866</c:v>
                </c:pt>
                <c:pt idx="1181" formatCode="m/d/yy">
                  <c:v>45867</c:v>
                </c:pt>
                <c:pt idx="1182" formatCode="m/d/yy">
                  <c:v>45868</c:v>
                </c:pt>
                <c:pt idx="1183" formatCode="m/d/yy">
                  <c:v>45869</c:v>
                </c:pt>
                <c:pt idx="1184" formatCode="m/d/yy">
                  <c:v>45870</c:v>
                </c:pt>
                <c:pt idx="1185" formatCode="m/d/yy">
                  <c:v>45873</c:v>
                </c:pt>
                <c:pt idx="1186" formatCode="m/d/yy">
                  <c:v>45874</c:v>
                </c:pt>
                <c:pt idx="1187" formatCode="m/d/yy">
                  <c:v>45875</c:v>
                </c:pt>
                <c:pt idx="1188" formatCode="m/d/yy">
                  <c:v>45876</c:v>
                </c:pt>
                <c:pt idx="1189" formatCode="m/d/yy">
                  <c:v>45877</c:v>
                </c:pt>
                <c:pt idx="1190" formatCode="m/d/yy">
                  <c:v>45880</c:v>
                </c:pt>
                <c:pt idx="1191" formatCode="m/d/yy">
                  <c:v>45881</c:v>
                </c:pt>
                <c:pt idx="1192" formatCode="m/d/yy">
                  <c:v>45882</c:v>
                </c:pt>
                <c:pt idx="1193" formatCode="m/d/yy">
                  <c:v>45883</c:v>
                </c:pt>
                <c:pt idx="1194" formatCode="m/d/yy">
                  <c:v>45884</c:v>
                </c:pt>
                <c:pt idx="1195" formatCode="m/d/yy">
                  <c:v>45887</c:v>
                </c:pt>
                <c:pt idx="1196" formatCode="m/d/yy">
                  <c:v>45888</c:v>
                </c:pt>
                <c:pt idx="1197" formatCode="m/d/yy">
                  <c:v>45889</c:v>
                </c:pt>
                <c:pt idx="1198" formatCode="m/d/yy">
                  <c:v>45890</c:v>
                </c:pt>
                <c:pt idx="1199" formatCode="m/d/yy">
                  <c:v>45891</c:v>
                </c:pt>
                <c:pt idx="1200" formatCode="m/d/yy">
                  <c:v>45894</c:v>
                </c:pt>
                <c:pt idx="1201" formatCode="m/d/yy">
                  <c:v>45895</c:v>
                </c:pt>
                <c:pt idx="1202" formatCode="m/d/yy">
                  <c:v>45896</c:v>
                </c:pt>
                <c:pt idx="1203" formatCode="m/d/yy">
                  <c:v>45897</c:v>
                </c:pt>
                <c:pt idx="1204" formatCode="m/d/yy">
                  <c:v>45898</c:v>
                </c:pt>
                <c:pt idx="1205" formatCode="m/d/yy">
                  <c:v>45902</c:v>
                </c:pt>
                <c:pt idx="1206" formatCode="m/d/yy">
                  <c:v>45903</c:v>
                </c:pt>
                <c:pt idx="1207" formatCode="m/d/yy">
                  <c:v>45904</c:v>
                </c:pt>
                <c:pt idx="1208" formatCode="m/d/yy">
                  <c:v>45905</c:v>
                </c:pt>
                <c:pt idx="1209" formatCode="m/d/yy">
                  <c:v>45908</c:v>
                </c:pt>
                <c:pt idx="1210" formatCode="m/d/yy">
                  <c:v>45909</c:v>
                </c:pt>
                <c:pt idx="1211" formatCode="m/d/yy">
                  <c:v>45910</c:v>
                </c:pt>
                <c:pt idx="1212" formatCode="m/d/yy">
                  <c:v>45911</c:v>
                </c:pt>
                <c:pt idx="1213" formatCode="m/d/yy">
                  <c:v>45912</c:v>
                </c:pt>
                <c:pt idx="1214" formatCode="m/d/yy">
                  <c:v>45915</c:v>
                </c:pt>
                <c:pt idx="1215" formatCode="m/d/yy">
                  <c:v>45916</c:v>
                </c:pt>
                <c:pt idx="1216" formatCode="m/d/yy">
                  <c:v>45917</c:v>
                </c:pt>
                <c:pt idx="1217" formatCode="m/d/yy">
                  <c:v>45918</c:v>
                </c:pt>
                <c:pt idx="1218" formatCode="m/d/yy">
                  <c:v>45919</c:v>
                </c:pt>
                <c:pt idx="1219" formatCode="m/d/yy">
                  <c:v>45922</c:v>
                </c:pt>
                <c:pt idx="1220" formatCode="m/d/yy">
                  <c:v>45923</c:v>
                </c:pt>
                <c:pt idx="1221" formatCode="m/d/yy">
                  <c:v>45924</c:v>
                </c:pt>
                <c:pt idx="1222" formatCode="m/d/yy">
                  <c:v>45925</c:v>
                </c:pt>
                <c:pt idx="1223" formatCode="m/d/yy">
                  <c:v>45926</c:v>
                </c:pt>
                <c:pt idx="1224" formatCode="m/d/yy">
                  <c:v>45929</c:v>
                </c:pt>
                <c:pt idx="1225" formatCode="m/d/yy">
                  <c:v>45930</c:v>
                </c:pt>
                <c:pt idx="1226" formatCode="m/d/yy">
                  <c:v>45931</c:v>
                </c:pt>
                <c:pt idx="1227" formatCode="m/d/yy">
                  <c:v>45932</c:v>
                </c:pt>
                <c:pt idx="1228" formatCode="m/d/yy">
                  <c:v>45933</c:v>
                </c:pt>
                <c:pt idx="1229" formatCode="m/d/yy">
                  <c:v>45936</c:v>
                </c:pt>
                <c:pt idx="1230" formatCode="m/d/yy">
                  <c:v>45937</c:v>
                </c:pt>
                <c:pt idx="1231" formatCode="m/d/yy">
                  <c:v>45938</c:v>
                </c:pt>
                <c:pt idx="1232" formatCode="m/d/yy">
                  <c:v>45939</c:v>
                </c:pt>
                <c:pt idx="1233" formatCode="m/d/yy">
                  <c:v>45940</c:v>
                </c:pt>
                <c:pt idx="1234" formatCode="m/d/yy">
                  <c:v>45943</c:v>
                </c:pt>
                <c:pt idx="1235" formatCode="m/d/yy">
                  <c:v>45944</c:v>
                </c:pt>
                <c:pt idx="1236" formatCode="m/d/yy">
                  <c:v>45945</c:v>
                </c:pt>
                <c:pt idx="1237" formatCode="m/d/yy">
                  <c:v>45946</c:v>
                </c:pt>
                <c:pt idx="1238" formatCode="m/d/yy">
                  <c:v>45947</c:v>
                </c:pt>
                <c:pt idx="1239" formatCode="m/d/yy">
                  <c:v>45950</c:v>
                </c:pt>
                <c:pt idx="1240" formatCode="m/d/yy">
                  <c:v>45951</c:v>
                </c:pt>
                <c:pt idx="1241" formatCode="m/d/yy">
                  <c:v>45952</c:v>
                </c:pt>
                <c:pt idx="1242" formatCode="m/d/yy">
                  <c:v>45953</c:v>
                </c:pt>
                <c:pt idx="1243" formatCode="m/d/yy">
                  <c:v>45954</c:v>
                </c:pt>
                <c:pt idx="1244" formatCode="m/d/yy">
                  <c:v>45957</c:v>
                </c:pt>
                <c:pt idx="1245" formatCode="m/d/yy">
                  <c:v>45958</c:v>
                </c:pt>
                <c:pt idx="1246" formatCode="m/d/yy">
                  <c:v>45959</c:v>
                </c:pt>
                <c:pt idx="1247" formatCode="m/d/yy">
                  <c:v>45960</c:v>
                </c:pt>
                <c:pt idx="1248" formatCode="m/d/yy">
                  <c:v>45961</c:v>
                </c:pt>
                <c:pt idx="1249" formatCode="m/d/yy">
                  <c:v>45964</c:v>
                </c:pt>
                <c:pt idx="1250" formatCode="m/d/yy">
                  <c:v>45965</c:v>
                </c:pt>
                <c:pt idx="1251" formatCode="m/d/yy">
                  <c:v>45966</c:v>
                </c:pt>
                <c:pt idx="1252" formatCode="m/d/yy">
                  <c:v>45967</c:v>
                </c:pt>
                <c:pt idx="1253" formatCode="m/d/yy">
                  <c:v>45968</c:v>
                </c:pt>
                <c:pt idx="1254" formatCode="m/d/yy">
                  <c:v>45971</c:v>
                </c:pt>
              </c:numCache>
            </c:numRef>
          </c:cat>
          <c:val>
            <c:numRef>
              <c:f>'One Pager'!$J$21:$J$1275</c:f>
              <c:numCache>
                <c:formatCode>_([$$-409]* #,##0_);_([$$-409]* \(#,##0\);_([$$-409]* "-"??_);_(@_)</c:formatCode>
                <c:ptCount val="1255"/>
                <c:pt idx="11">
                  <c:v>112.63</c:v>
                </c:pt>
                <c:pt idx="12">
                  <c:v>108.8</c:v>
                </c:pt>
                <c:pt idx="13">
                  <c:v>108.86</c:v>
                </c:pt>
                <c:pt idx="14">
                  <c:v>107.47</c:v>
                </c:pt>
                <c:pt idx="15">
                  <c:v>106.54</c:v>
                </c:pt>
                <c:pt idx="16">
                  <c:v>105.57</c:v>
                </c:pt>
                <c:pt idx="17">
                  <c:v>102.73</c:v>
                </c:pt>
                <c:pt idx="18">
                  <c:v>102.99</c:v>
                </c:pt>
                <c:pt idx="19">
                  <c:v>104.76</c:v>
                </c:pt>
                <c:pt idx="20">
                  <c:v>103.03</c:v>
                </c:pt>
                <c:pt idx="21">
                  <c:v>100.6</c:v>
                </c:pt>
                <c:pt idx="22">
                  <c:v>101.28</c:v>
                </c:pt>
                <c:pt idx="23">
                  <c:v>102.99</c:v>
                </c:pt>
                <c:pt idx="24">
                  <c:v>103.5</c:v>
                </c:pt>
                <c:pt idx="25">
                  <c:v>102.34</c:v>
                </c:pt>
                <c:pt idx="26">
                  <c:v>101.95</c:v>
                </c:pt>
                <c:pt idx="27">
                  <c:v>103.3</c:v>
                </c:pt>
                <c:pt idx="28">
                  <c:v>104.13</c:v>
                </c:pt>
                <c:pt idx="29">
                  <c:v>102.34</c:v>
                </c:pt>
                <c:pt idx="30">
                  <c:v>102.55</c:v>
                </c:pt>
                <c:pt idx="31">
                  <c:v>102.58</c:v>
                </c:pt>
                <c:pt idx="32">
                  <c:v>100.76</c:v>
                </c:pt>
                <c:pt idx="33">
                  <c:v>101.38</c:v>
                </c:pt>
                <c:pt idx="34">
                  <c:v>99.79</c:v>
                </c:pt>
                <c:pt idx="35">
                  <c:v>100.49</c:v>
                </c:pt>
                <c:pt idx="36">
                  <c:v>101</c:v>
                </c:pt>
                <c:pt idx="37">
                  <c:v>105.91</c:v>
                </c:pt>
                <c:pt idx="38">
                  <c:v>107.71</c:v>
                </c:pt>
                <c:pt idx="39">
                  <c:v>107.57</c:v>
                </c:pt>
                <c:pt idx="40">
                  <c:v>110.78</c:v>
                </c:pt>
                <c:pt idx="41">
                  <c:v>114.71</c:v>
                </c:pt>
                <c:pt idx="42">
                  <c:v>113.22</c:v>
                </c:pt>
                <c:pt idx="43">
                  <c:v>113.92</c:v>
                </c:pt>
                <c:pt idx="44">
                  <c:v>114</c:v>
                </c:pt>
                <c:pt idx="45">
                  <c:v>111.62</c:v>
                </c:pt>
                <c:pt idx="46">
                  <c:v>112.23</c:v>
                </c:pt>
                <c:pt idx="47">
                  <c:v>114.5</c:v>
                </c:pt>
                <c:pt idx="48">
                  <c:v>114.93</c:v>
                </c:pt>
                <c:pt idx="49">
                  <c:v>113.74</c:v>
                </c:pt>
                <c:pt idx="50">
                  <c:v>114.7</c:v>
                </c:pt>
                <c:pt idx="51">
                  <c:v>113.57</c:v>
                </c:pt>
                <c:pt idx="52">
                  <c:v>112.31</c:v>
                </c:pt>
                <c:pt idx="53">
                  <c:v>108.82</c:v>
                </c:pt>
                <c:pt idx="54">
                  <c:v>107.69</c:v>
                </c:pt>
                <c:pt idx="55">
                  <c:v>108.78</c:v>
                </c:pt>
                <c:pt idx="56">
                  <c:v>110.32</c:v>
                </c:pt>
                <c:pt idx="57">
                  <c:v>113.84</c:v>
                </c:pt>
                <c:pt idx="58">
                  <c:v>114.53</c:v>
                </c:pt>
                <c:pt idx="59">
                  <c:v>117.9</c:v>
                </c:pt>
                <c:pt idx="60">
                  <c:v>118.46</c:v>
                </c:pt>
                <c:pt idx="61">
                  <c:v>118.81</c:v>
                </c:pt>
                <c:pt idx="62">
                  <c:v>119.59</c:v>
                </c:pt>
                <c:pt idx="63">
                  <c:v>120.51</c:v>
                </c:pt>
                <c:pt idx="64">
                  <c:v>120.75</c:v>
                </c:pt>
                <c:pt idx="65">
                  <c:v>118.34</c:v>
                </c:pt>
                <c:pt idx="66">
                  <c:v>116.76</c:v>
                </c:pt>
                <c:pt idx="67">
                  <c:v>118</c:v>
                </c:pt>
                <c:pt idx="68">
                  <c:v>116.73</c:v>
                </c:pt>
                <c:pt idx="69">
                  <c:v>115.5</c:v>
                </c:pt>
                <c:pt idx="70">
                  <c:v>113.46</c:v>
                </c:pt>
                <c:pt idx="71">
                  <c:v>102.94</c:v>
                </c:pt>
                <c:pt idx="72">
                  <c:v>100.35</c:v>
                </c:pt>
                <c:pt idx="73">
                  <c:v>101.69</c:v>
                </c:pt>
                <c:pt idx="74">
                  <c:v>102.52</c:v>
                </c:pt>
                <c:pt idx="75">
                  <c:v>100.37</c:v>
                </c:pt>
                <c:pt idx="76">
                  <c:v>98.24</c:v>
                </c:pt>
                <c:pt idx="77">
                  <c:v>102.85</c:v>
                </c:pt>
                <c:pt idx="78">
                  <c:v>106.57</c:v>
                </c:pt>
                <c:pt idx="79">
                  <c:v>105.82</c:v>
                </c:pt>
                <c:pt idx="80">
                  <c:v>108.15</c:v>
                </c:pt>
                <c:pt idx="81">
                  <c:v>108.58</c:v>
                </c:pt>
                <c:pt idx="82">
                  <c:v>110.99</c:v>
                </c:pt>
                <c:pt idx="83">
                  <c:v>113.92</c:v>
                </c:pt>
                <c:pt idx="84">
                  <c:v>113.45</c:v>
                </c:pt>
                <c:pt idx="85">
                  <c:v>112.25</c:v>
                </c:pt>
                <c:pt idx="86">
                  <c:v>113.38</c:v>
                </c:pt>
                <c:pt idx="87">
                  <c:v>118.19</c:v>
                </c:pt>
                <c:pt idx="88">
                  <c:v>120.96</c:v>
                </c:pt>
                <c:pt idx="89">
                  <c:v>118.81</c:v>
                </c:pt>
                <c:pt idx="90">
                  <c:v>114.32</c:v>
                </c:pt>
                <c:pt idx="91">
                  <c:v>116.18</c:v>
                </c:pt>
                <c:pt idx="92">
                  <c:v>119.26</c:v>
                </c:pt>
                <c:pt idx="93">
                  <c:v>114.8</c:v>
                </c:pt>
                <c:pt idx="94">
                  <c:v>115.72</c:v>
                </c:pt>
                <c:pt idx="95">
                  <c:v>114.81</c:v>
                </c:pt>
                <c:pt idx="96">
                  <c:v>115.76</c:v>
                </c:pt>
                <c:pt idx="97">
                  <c:v>117.99</c:v>
                </c:pt>
                <c:pt idx="98">
                  <c:v>120.74</c:v>
                </c:pt>
                <c:pt idx="99">
                  <c:v>120.59</c:v>
                </c:pt>
                <c:pt idx="100">
                  <c:v>119.62</c:v>
                </c:pt>
                <c:pt idx="101">
                  <c:v>122.48</c:v>
                </c:pt>
                <c:pt idx="102">
                  <c:v>121.56</c:v>
                </c:pt>
                <c:pt idx="103">
                  <c:v>120.82</c:v>
                </c:pt>
                <c:pt idx="104">
                  <c:v>120.17</c:v>
                </c:pt>
                <c:pt idx="105">
                  <c:v>119.3</c:v>
                </c:pt>
                <c:pt idx="106">
                  <c:v>119.87</c:v>
                </c:pt>
                <c:pt idx="107">
                  <c:v>118.84</c:v>
                </c:pt>
                <c:pt idx="108">
                  <c:v>118.45</c:v>
                </c:pt>
                <c:pt idx="109">
                  <c:v>118.97</c:v>
                </c:pt>
                <c:pt idx="110">
                  <c:v>118.04</c:v>
                </c:pt>
                <c:pt idx="111">
                  <c:v>117.74</c:v>
                </c:pt>
                <c:pt idx="112">
                  <c:v>117.02</c:v>
                </c:pt>
                <c:pt idx="113">
                  <c:v>118.35</c:v>
                </c:pt>
                <c:pt idx="114">
                  <c:v>117.19</c:v>
                </c:pt>
                <c:pt idx="115">
                  <c:v>118.29</c:v>
                </c:pt>
                <c:pt idx="116">
                  <c:v>116.27</c:v>
                </c:pt>
                <c:pt idx="117">
                  <c:v>117.47</c:v>
                </c:pt>
                <c:pt idx="118">
                  <c:v>117.73</c:v>
                </c:pt>
                <c:pt idx="119">
                  <c:v>116.38</c:v>
                </c:pt>
                <c:pt idx="120">
                  <c:v>120.04</c:v>
                </c:pt>
                <c:pt idx="121">
                  <c:v>122.34</c:v>
                </c:pt>
                <c:pt idx="122">
                  <c:v>125.79</c:v>
                </c:pt>
                <c:pt idx="123">
                  <c:v>121.67</c:v>
                </c:pt>
                <c:pt idx="124">
                  <c:v>116.15</c:v>
                </c:pt>
                <c:pt idx="125">
                  <c:v>119</c:v>
                </c:pt>
                <c:pt idx="126">
                  <c:v>120.39</c:v>
                </c:pt>
                <c:pt idx="127">
                  <c:v>120.11</c:v>
                </c:pt>
                <c:pt idx="128">
                  <c:v>116.92</c:v>
                </c:pt>
                <c:pt idx="129">
                  <c:v>113.69</c:v>
                </c:pt>
                <c:pt idx="130">
                  <c:v>114.52</c:v>
                </c:pt>
                <c:pt idx="131">
                  <c:v>114.93</c:v>
                </c:pt>
                <c:pt idx="132">
                  <c:v>114.7</c:v>
                </c:pt>
                <c:pt idx="133">
                  <c:v>114.42</c:v>
                </c:pt>
                <c:pt idx="134">
                  <c:v>116.96</c:v>
                </c:pt>
                <c:pt idx="135">
                  <c:v>118.14</c:v>
                </c:pt>
                <c:pt idx="136">
                  <c:v>116.24</c:v>
                </c:pt>
                <c:pt idx="137">
                  <c:v>114.9</c:v>
                </c:pt>
                <c:pt idx="138">
                  <c:v>118.35</c:v>
                </c:pt>
                <c:pt idx="139">
                  <c:v>115.56</c:v>
                </c:pt>
                <c:pt idx="140">
                  <c:v>115.99</c:v>
                </c:pt>
                <c:pt idx="141">
                  <c:v>117.1</c:v>
                </c:pt>
                <c:pt idx="142">
                  <c:v>118.22</c:v>
                </c:pt>
                <c:pt idx="143">
                  <c:v>114.99</c:v>
                </c:pt>
                <c:pt idx="144">
                  <c:v>112.54</c:v>
                </c:pt>
                <c:pt idx="145">
                  <c:v>114.45</c:v>
                </c:pt>
                <c:pt idx="146">
                  <c:v>114.03</c:v>
                </c:pt>
                <c:pt idx="147">
                  <c:v>113.26</c:v>
                </c:pt>
                <c:pt idx="148">
                  <c:v>109.9</c:v>
                </c:pt>
                <c:pt idx="149">
                  <c:v>109.5</c:v>
                </c:pt>
                <c:pt idx="150">
                  <c:v>107.63</c:v>
                </c:pt>
                <c:pt idx="151">
                  <c:v>108.68</c:v>
                </c:pt>
                <c:pt idx="152">
                  <c:v>111.04</c:v>
                </c:pt>
                <c:pt idx="153">
                  <c:v>111.25</c:v>
                </c:pt>
                <c:pt idx="154">
                  <c:v>111.38</c:v>
                </c:pt>
                <c:pt idx="155">
                  <c:v>113.05</c:v>
                </c:pt>
                <c:pt idx="156">
                  <c:v>114.83</c:v>
                </c:pt>
                <c:pt idx="157">
                  <c:v>114.97</c:v>
                </c:pt>
                <c:pt idx="158">
                  <c:v>114.98</c:v>
                </c:pt>
                <c:pt idx="159">
                  <c:v>116.37</c:v>
                </c:pt>
                <c:pt idx="160">
                  <c:v>115.65</c:v>
                </c:pt>
                <c:pt idx="161">
                  <c:v>110.55</c:v>
                </c:pt>
                <c:pt idx="162">
                  <c:v>109.75</c:v>
                </c:pt>
                <c:pt idx="163">
                  <c:v>108.16</c:v>
                </c:pt>
                <c:pt idx="164">
                  <c:v>110.86</c:v>
                </c:pt>
                <c:pt idx="165">
                  <c:v>111.25</c:v>
                </c:pt>
                <c:pt idx="166">
                  <c:v>109.87</c:v>
                </c:pt>
                <c:pt idx="167">
                  <c:v>109.91</c:v>
                </c:pt>
                <c:pt idx="168">
                  <c:v>112</c:v>
                </c:pt>
                <c:pt idx="169">
                  <c:v>110.59</c:v>
                </c:pt>
                <c:pt idx="170">
                  <c:v>108.48</c:v>
                </c:pt>
                <c:pt idx="171">
                  <c:v>110.61</c:v>
                </c:pt>
                <c:pt idx="172">
                  <c:v>110.78</c:v>
                </c:pt>
                <c:pt idx="173">
                  <c:v>109.98</c:v>
                </c:pt>
                <c:pt idx="174">
                  <c:v>113.28</c:v>
                </c:pt>
                <c:pt idx="175">
                  <c:v>114.83</c:v>
                </c:pt>
                <c:pt idx="176">
                  <c:v>114.36</c:v>
                </c:pt>
                <c:pt idx="177">
                  <c:v>113.06</c:v>
                </c:pt>
                <c:pt idx="178">
                  <c:v>114.26</c:v>
                </c:pt>
                <c:pt idx="179">
                  <c:v>112.35</c:v>
                </c:pt>
                <c:pt idx="180">
                  <c:v>112.49</c:v>
                </c:pt>
                <c:pt idx="181">
                  <c:v>114.65</c:v>
                </c:pt>
                <c:pt idx="182">
                  <c:v>113.27</c:v>
                </c:pt>
                <c:pt idx="183">
                  <c:v>115.37</c:v>
                </c:pt>
                <c:pt idx="184">
                  <c:v>114.84</c:v>
                </c:pt>
                <c:pt idx="185">
                  <c:v>112.54</c:v>
                </c:pt>
                <c:pt idx="186">
                  <c:v>115.02</c:v>
                </c:pt>
                <c:pt idx="187">
                  <c:v>118.06</c:v>
                </c:pt>
                <c:pt idx="188">
                  <c:v>118.13</c:v>
                </c:pt>
                <c:pt idx="189">
                  <c:v>113.78</c:v>
                </c:pt>
                <c:pt idx="190">
                  <c:v>115.36</c:v>
                </c:pt>
                <c:pt idx="191">
                  <c:v>110.75</c:v>
                </c:pt>
                <c:pt idx="192">
                  <c:v>110.1</c:v>
                </c:pt>
                <c:pt idx="193">
                  <c:v>109.76</c:v>
                </c:pt>
                <c:pt idx="194">
                  <c:v>112.63</c:v>
                </c:pt>
                <c:pt idx="195">
                  <c:v>112.16</c:v>
                </c:pt>
                <c:pt idx="196">
                  <c:v>121.49</c:v>
                </c:pt>
                <c:pt idx="197">
                  <c:v>121.89</c:v>
                </c:pt>
                <c:pt idx="198">
                  <c:v>118.09</c:v>
                </c:pt>
                <c:pt idx="199">
                  <c:v>117.5</c:v>
                </c:pt>
                <c:pt idx="200">
                  <c:v>118.35</c:v>
                </c:pt>
                <c:pt idx="201">
                  <c:v>116.51</c:v>
                </c:pt>
                <c:pt idx="202">
                  <c:v>116.78</c:v>
                </c:pt>
                <c:pt idx="203">
                  <c:v>116.26</c:v>
                </c:pt>
                <c:pt idx="204">
                  <c:v>114.02</c:v>
                </c:pt>
                <c:pt idx="205">
                  <c:v>111.5</c:v>
                </c:pt>
                <c:pt idx="206">
                  <c:v>110.99</c:v>
                </c:pt>
                <c:pt idx="207">
                  <c:v>112.39</c:v>
                </c:pt>
                <c:pt idx="208">
                  <c:v>111.35</c:v>
                </c:pt>
                <c:pt idx="209">
                  <c:v>112.07</c:v>
                </c:pt>
                <c:pt idx="210">
                  <c:v>110.17</c:v>
                </c:pt>
                <c:pt idx="211">
                  <c:v>109.27</c:v>
                </c:pt>
                <c:pt idx="212">
                  <c:v>109.56</c:v>
                </c:pt>
                <c:pt idx="213">
                  <c:v>109.62</c:v>
                </c:pt>
                <c:pt idx="214">
                  <c:v>106.67</c:v>
                </c:pt>
                <c:pt idx="215">
                  <c:v>106.89</c:v>
                </c:pt>
                <c:pt idx="216">
                  <c:v>106.8</c:v>
                </c:pt>
                <c:pt idx="217">
                  <c:v>106.17</c:v>
                </c:pt>
                <c:pt idx="218">
                  <c:v>104.74</c:v>
                </c:pt>
                <c:pt idx="219">
                  <c:v>110.18</c:v>
                </c:pt>
                <c:pt idx="220">
                  <c:v>109.39</c:v>
                </c:pt>
                <c:pt idx="221">
                  <c:v>109.43</c:v>
                </c:pt>
                <c:pt idx="222">
                  <c:v>105.71</c:v>
                </c:pt>
                <c:pt idx="223">
                  <c:v>105.31</c:v>
                </c:pt>
                <c:pt idx="224">
                  <c:v>105.49</c:v>
                </c:pt>
                <c:pt idx="225">
                  <c:v>106.37</c:v>
                </c:pt>
                <c:pt idx="226">
                  <c:v>105.77</c:v>
                </c:pt>
                <c:pt idx="227">
                  <c:v>107.59</c:v>
                </c:pt>
                <c:pt idx="228">
                  <c:v>107.25</c:v>
                </c:pt>
                <c:pt idx="229">
                  <c:v>108.88</c:v>
                </c:pt>
                <c:pt idx="230">
                  <c:v>109.32</c:v>
                </c:pt>
                <c:pt idx="231">
                  <c:v>110.78</c:v>
                </c:pt>
                <c:pt idx="232">
                  <c:v>112.66</c:v>
                </c:pt>
                <c:pt idx="233">
                  <c:v>113.64</c:v>
                </c:pt>
                <c:pt idx="234">
                  <c:v>115.61</c:v>
                </c:pt>
                <c:pt idx="235">
                  <c:v>113.94</c:v>
                </c:pt>
                <c:pt idx="236">
                  <c:v>114.53</c:v>
                </c:pt>
                <c:pt idx="237">
                  <c:v>117.6</c:v>
                </c:pt>
                <c:pt idx="238">
                  <c:v>118.39</c:v>
                </c:pt>
                <c:pt idx="239">
                  <c:v>120.48</c:v>
                </c:pt>
                <c:pt idx="240">
                  <c:v>121.23</c:v>
                </c:pt>
                <c:pt idx="241">
                  <c:v>118.75</c:v>
                </c:pt>
                <c:pt idx="242">
                  <c:v>121.12</c:v>
                </c:pt>
                <c:pt idx="243">
                  <c:v>122.24</c:v>
                </c:pt>
                <c:pt idx="244">
                  <c:v>123.91</c:v>
                </c:pt>
                <c:pt idx="245">
                  <c:v>123.83</c:v>
                </c:pt>
                <c:pt idx="246">
                  <c:v>125.1</c:v>
                </c:pt>
                <c:pt idx="247">
                  <c:v>128.61000000000001</c:v>
                </c:pt>
                <c:pt idx="248">
                  <c:v>129.07</c:v>
                </c:pt>
                <c:pt idx="249">
                  <c:v>130.09</c:v>
                </c:pt>
                <c:pt idx="250">
                  <c:v>132.94</c:v>
                </c:pt>
                <c:pt idx="251">
                  <c:v>131.25</c:v>
                </c:pt>
                <c:pt idx="252">
                  <c:v>132.9</c:v>
                </c:pt>
                <c:pt idx="253">
                  <c:v>135.63</c:v>
                </c:pt>
                <c:pt idx="254">
                  <c:v>132.36000000000001</c:v>
                </c:pt>
                <c:pt idx="255">
                  <c:v>134.93</c:v>
                </c:pt>
                <c:pt idx="256">
                  <c:v>132.86000000000001</c:v>
                </c:pt>
                <c:pt idx="257">
                  <c:v>135.61000000000001</c:v>
                </c:pt>
                <c:pt idx="258">
                  <c:v>136.13</c:v>
                </c:pt>
                <c:pt idx="259">
                  <c:v>138</c:v>
                </c:pt>
                <c:pt idx="260">
                  <c:v>121.01</c:v>
                </c:pt>
                <c:pt idx="261">
                  <c:v>116.69</c:v>
                </c:pt>
                <c:pt idx="262">
                  <c:v>114.77</c:v>
                </c:pt>
                <c:pt idx="263">
                  <c:v>110.95</c:v>
                </c:pt>
                <c:pt idx="264">
                  <c:v>106.86</c:v>
                </c:pt>
                <c:pt idx="265">
                  <c:v>102.25</c:v>
                </c:pt>
                <c:pt idx="266">
                  <c:v>103.92</c:v>
                </c:pt>
                <c:pt idx="267">
                  <c:v>105.87</c:v>
                </c:pt>
                <c:pt idx="268">
                  <c:v>104.66</c:v>
                </c:pt>
                <c:pt idx="269">
                  <c:v>106.68</c:v>
                </c:pt>
                <c:pt idx="270">
                  <c:v>106.93</c:v>
                </c:pt>
                <c:pt idx="271">
                  <c:v>104.38</c:v>
                </c:pt>
                <c:pt idx="272">
                  <c:v>103.82</c:v>
                </c:pt>
                <c:pt idx="273">
                  <c:v>100.24</c:v>
                </c:pt>
                <c:pt idx="274">
                  <c:v>101.37</c:v>
                </c:pt>
                <c:pt idx="275">
                  <c:v>102.49</c:v>
                </c:pt>
                <c:pt idx="276">
                  <c:v>100.22</c:v>
                </c:pt>
                <c:pt idx="277">
                  <c:v>100.03</c:v>
                </c:pt>
                <c:pt idx="278">
                  <c:v>95.77</c:v>
                </c:pt>
                <c:pt idx="279">
                  <c:v>97.48</c:v>
                </c:pt>
                <c:pt idx="280">
                  <c:v>97.37</c:v>
                </c:pt>
                <c:pt idx="281">
                  <c:v>98.08</c:v>
                </c:pt>
                <c:pt idx="282">
                  <c:v>99.08</c:v>
                </c:pt>
                <c:pt idx="283">
                  <c:v>99.52</c:v>
                </c:pt>
                <c:pt idx="284">
                  <c:v>100.86</c:v>
                </c:pt>
                <c:pt idx="285">
                  <c:v>101.55</c:v>
                </c:pt>
                <c:pt idx="286">
                  <c:v>101.6</c:v>
                </c:pt>
                <c:pt idx="287">
                  <c:v>102.12</c:v>
                </c:pt>
                <c:pt idx="288">
                  <c:v>105.14</c:v>
                </c:pt>
                <c:pt idx="289">
                  <c:v>103</c:v>
                </c:pt>
                <c:pt idx="290">
                  <c:v>102.88</c:v>
                </c:pt>
                <c:pt idx="291">
                  <c:v>102.5</c:v>
                </c:pt>
                <c:pt idx="292">
                  <c:v>102.75</c:v>
                </c:pt>
                <c:pt idx="293">
                  <c:v>104.09</c:v>
                </c:pt>
                <c:pt idx="294">
                  <c:v>102.68</c:v>
                </c:pt>
                <c:pt idx="295">
                  <c:v>102.6</c:v>
                </c:pt>
                <c:pt idx="296">
                  <c:v>100.04</c:v>
                </c:pt>
                <c:pt idx="297">
                  <c:v>98.64</c:v>
                </c:pt>
                <c:pt idx="298">
                  <c:v>99.35</c:v>
                </c:pt>
                <c:pt idx="299">
                  <c:v>94.9</c:v>
                </c:pt>
                <c:pt idx="300">
                  <c:v>96.45</c:v>
                </c:pt>
                <c:pt idx="301">
                  <c:v>101.38</c:v>
                </c:pt>
                <c:pt idx="302">
                  <c:v>98.03</c:v>
                </c:pt>
                <c:pt idx="303">
                  <c:v>96.92</c:v>
                </c:pt>
                <c:pt idx="304">
                  <c:v>96.1</c:v>
                </c:pt>
                <c:pt idx="305">
                  <c:v>97.64</c:v>
                </c:pt>
                <c:pt idx="306">
                  <c:v>99.28</c:v>
                </c:pt>
                <c:pt idx="307">
                  <c:v>100.45</c:v>
                </c:pt>
                <c:pt idx="308">
                  <c:v>99.05</c:v>
                </c:pt>
                <c:pt idx="309">
                  <c:v>97.1</c:v>
                </c:pt>
                <c:pt idx="310">
                  <c:v>96.83</c:v>
                </c:pt>
                <c:pt idx="311">
                  <c:v>97.58</c:v>
                </c:pt>
                <c:pt idx="312">
                  <c:v>99.46</c:v>
                </c:pt>
                <c:pt idx="313">
                  <c:v>102.22</c:v>
                </c:pt>
                <c:pt idx="314">
                  <c:v>100.47</c:v>
                </c:pt>
                <c:pt idx="315">
                  <c:v>100.57</c:v>
                </c:pt>
                <c:pt idx="316">
                  <c:v>100.64</c:v>
                </c:pt>
                <c:pt idx="317">
                  <c:v>102.19</c:v>
                </c:pt>
                <c:pt idx="318">
                  <c:v>99.63</c:v>
                </c:pt>
                <c:pt idx="319">
                  <c:v>98.63</c:v>
                </c:pt>
                <c:pt idx="320">
                  <c:v>97.71</c:v>
                </c:pt>
                <c:pt idx="321">
                  <c:v>90.55</c:v>
                </c:pt>
                <c:pt idx="322">
                  <c:v>88.63</c:v>
                </c:pt>
                <c:pt idx="323">
                  <c:v>91.58</c:v>
                </c:pt>
                <c:pt idx="324">
                  <c:v>95.83</c:v>
                </c:pt>
                <c:pt idx="325">
                  <c:v>96.64</c:v>
                </c:pt>
                <c:pt idx="326">
                  <c:v>97.18</c:v>
                </c:pt>
                <c:pt idx="327">
                  <c:v>100.84</c:v>
                </c:pt>
                <c:pt idx="328">
                  <c:v>110.14</c:v>
                </c:pt>
                <c:pt idx="329">
                  <c:v>106.1</c:v>
                </c:pt>
                <c:pt idx="330">
                  <c:v>104.71</c:v>
                </c:pt>
                <c:pt idx="331">
                  <c:v>101.13</c:v>
                </c:pt>
                <c:pt idx="332">
                  <c:v>101.74</c:v>
                </c:pt>
                <c:pt idx="333">
                  <c:v>98.66</c:v>
                </c:pt>
                <c:pt idx="334">
                  <c:v>94.59</c:v>
                </c:pt>
                <c:pt idx="335">
                  <c:v>94.64</c:v>
                </c:pt>
                <c:pt idx="336">
                  <c:v>99.06</c:v>
                </c:pt>
                <c:pt idx="337">
                  <c:v>98.84</c:v>
                </c:pt>
                <c:pt idx="338">
                  <c:v>99.29</c:v>
                </c:pt>
                <c:pt idx="339">
                  <c:v>101.84</c:v>
                </c:pt>
                <c:pt idx="340">
                  <c:v>99.04</c:v>
                </c:pt>
                <c:pt idx="341">
                  <c:v>99.3</c:v>
                </c:pt>
                <c:pt idx="342">
                  <c:v>96.59</c:v>
                </c:pt>
                <c:pt idx="343">
                  <c:v>96.71</c:v>
                </c:pt>
                <c:pt idx="344">
                  <c:v>96.3</c:v>
                </c:pt>
                <c:pt idx="345">
                  <c:v>96.73</c:v>
                </c:pt>
                <c:pt idx="346">
                  <c:v>100.75</c:v>
                </c:pt>
                <c:pt idx="347">
                  <c:v>96.43</c:v>
                </c:pt>
                <c:pt idx="348">
                  <c:v>90.9</c:v>
                </c:pt>
                <c:pt idx="349">
                  <c:v>90.38</c:v>
                </c:pt>
                <c:pt idx="350">
                  <c:v>94.34</c:v>
                </c:pt>
                <c:pt idx="351">
                  <c:v>92.52</c:v>
                </c:pt>
                <c:pt idx="352">
                  <c:v>91.06</c:v>
                </c:pt>
                <c:pt idx="353">
                  <c:v>92.07</c:v>
                </c:pt>
                <c:pt idx="354">
                  <c:v>93.36</c:v>
                </c:pt>
                <c:pt idx="355">
                  <c:v>94.16</c:v>
                </c:pt>
                <c:pt idx="356">
                  <c:v>93.23</c:v>
                </c:pt>
                <c:pt idx="357">
                  <c:v>95.23</c:v>
                </c:pt>
                <c:pt idx="358">
                  <c:v>93.84</c:v>
                </c:pt>
                <c:pt idx="359">
                  <c:v>93.48</c:v>
                </c:pt>
                <c:pt idx="360">
                  <c:v>95.57</c:v>
                </c:pt>
                <c:pt idx="361">
                  <c:v>94.4</c:v>
                </c:pt>
                <c:pt idx="362">
                  <c:v>93.64</c:v>
                </c:pt>
                <c:pt idx="363">
                  <c:v>91.28</c:v>
                </c:pt>
                <c:pt idx="364">
                  <c:v>93.07</c:v>
                </c:pt>
                <c:pt idx="365">
                  <c:v>92.83</c:v>
                </c:pt>
                <c:pt idx="366">
                  <c:v>93.03</c:v>
                </c:pt>
                <c:pt idx="367">
                  <c:v>93.58</c:v>
                </c:pt>
                <c:pt idx="368">
                  <c:v>89.93</c:v>
                </c:pt>
                <c:pt idx="369">
                  <c:v>93.81</c:v>
                </c:pt>
                <c:pt idx="370">
                  <c:v>94.65</c:v>
                </c:pt>
                <c:pt idx="371">
                  <c:v>97.79</c:v>
                </c:pt>
                <c:pt idx="372">
                  <c:v>92.21</c:v>
                </c:pt>
                <c:pt idx="373">
                  <c:v>91.41</c:v>
                </c:pt>
                <c:pt idx="374">
                  <c:v>91.08</c:v>
                </c:pt>
                <c:pt idx="375">
                  <c:v>88.74</c:v>
                </c:pt>
                <c:pt idx="376">
                  <c:v>83.79</c:v>
                </c:pt>
                <c:pt idx="377">
                  <c:v>87.36</c:v>
                </c:pt>
                <c:pt idx="378">
                  <c:v>86.36</c:v>
                </c:pt>
                <c:pt idx="379">
                  <c:v>84.77</c:v>
                </c:pt>
                <c:pt idx="380">
                  <c:v>84.5</c:v>
                </c:pt>
                <c:pt idx="381">
                  <c:v>75.62</c:v>
                </c:pt>
                <c:pt idx="382">
                  <c:v>73.319999999999993</c:v>
                </c:pt>
                <c:pt idx="383">
                  <c:v>72.36</c:v>
                </c:pt>
                <c:pt idx="384">
                  <c:v>72.59</c:v>
                </c:pt>
                <c:pt idx="385">
                  <c:v>73.47</c:v>
                </c:pt>
                <c:pt idx="386">
                  <c:v>80.06</c:v>
                </c:pt>
                <c:pt idx="387">
                  <c:v>82.05</c:v>
                </c:pt>
                <c:pt idx="388">
                  <c:v>83.99</c:v>
                </c:pt>
                <c:pt idx="389">
                  <c:v>82.06</c:v>
                </c:pt>
                <c:pt idx="390">
                  <c:v>80.08</c:v>
                </c:pt>
                <c:pt idx="391">
                  <c:v>81.260000000000005</c:v>
                </c:pt>
                <c:pt idx="392">
                  <c:v>80.39</c:v>
                </c:pt>
                <c:pt idx="393">
                  <c:v>79.27</c:v>
                </c:pt>
                <c:pt idx="394">
                  <c:v>78.349999999999994</c:v>
                </c:pt>
                <c:pt idx="395">
                  <c:v>77.12</c:v>
                </c:pt>
                <c:pt idx="396">
                  <c:v>74.930000000000007</c:v>
                </c:pt>
                <c:pt idx="397">
                  <c:v>72.599999999999994</c:v>
                </c:pt>
                <c:pt idx="398">
                  <c:v>69.45</c:v>
                </c:pt>
                <c:pt idx="399">
                  <c:v>70.59</c:v>
                </c:pt>
                <c:pt idx="400">
                  <c:v>71.760000000000005</c:v>
                </c:pt>
                <c:pt idx="401">
                  <c:v>68.48</c:v>
                </c:pt>
                <c:pt idx="402">
                  <c:v>70.510000000000005</c:v>
                </c:pt>
                <c:pt idx="403">
                  <c:v>70.47</c:v>
                </c:pt>
                <c:pt idx="404">
                  <c:v>69.88</c:v>
                </c:pt>
                <c:pt idx="405">
                  <c:v>71.290000000000006</c:v>
                </c:pt>
                <c:pt idx="406">
                  <c:v>74.69</c:v>
                </c:pt>
                <c:pt idx="407">
                  <c:v>72.14</c:v>
                </c:pt>
                <c:pt idx="408">
                  <c:v>68.849999999999994</c:v>
                </c:pt>
                <c:pt idx="409">
                  <c:v>67.150000000000006</c:v>
                </c:pt>
                <c:pt idx="410">
                  <c:v>65.19</c:v>
                </c:pt>
                <c:pt idx="411">
                  <c:v>66.77</c:v>
                </c:pt>
                <c:pt idx="412">
                  <c:v>69.98</c:v>
                </c:pt>
                <c:pt idx="413">
                  <c:v>68.52</c:v>
                </c:pt>
                <c:pt idx="414">
                  <c:v>70.89</c:v>
                </c:pt>
                <c:pt idx="415">
                  <c:v>71.17</c:v>
                </c:pt>
                <c:pt idx="416">
                  <c:v>69.91</c:v>
                </c:pt>
                <c:pt idx="417">
                  <c:v>70.42</c:v>
                </c:pt>
                <c:pt idx="418">
                  <c:v>71.290000000000006</c:v>
                </c:pt>
                <c:pt idx="419">
                  <c:v>71.14</c:v>
                </c:pt>
                <c:pt idx="420">
                  <c:v>72.47</c:v>
                </c:pt>
                <c:pt idx="421">
                  <c:v>73.34</c:v>
                </c:pt>
                <c:pt idx="422">
                  <c:v>75.97</c:v>
                </c:pt>
                <c:pt idx="423">
                  <c:v>78.12</c:v>
                </c:pt>
                <c:pt idx="424">
                  <c:v>78.2</c:v>
                </c:pt>
                <c:pt idx="425">
                  <c:v>76.8</c:v>
                </c:pt>
                <c:pt idx="426">
                  <c:v>75.84</c:v>
                </c:pt>
                <c:pt idx="427">
                  <c:v>72.010000000000005</c:v>
                </c:pt>
                <c:pt idx="428">
                  <c:v>74.489999999999995</c:v>
                </c:pt>
                <c:pt idx="429">
                  <c:v>77.989999999999995</c:v>
                </c:pt>
                <c:pt idx="430">
                  <c:v>76.989999999999995</c:v>
                </c:pt>
                <c:pt idx="431">
                  <c:v>76.98</c:v>
                </c:pt>
                <c:pt idx="432">
                  <c:v>74.61</c:v>
                </c:pt>
                <c:pt idx="433">
                  <c:v>75.69</c:v>
                </c:pt>
                <c:pt idx="434">
                  <c:v>76.290000000000006</c:v>
                </c:pt>
                <c:pt idx="435">
                  <c:v>76.38</c:v>
                </c:pt>
                <c:pt idx="436">
                  <c:v>78.540000000000006</c:v>
                </c:pt>
                <c:pt idx="437">
                  <c:v>76.34</c:v>
                </c:pt>
                <c:pt idx="438">
                  <c:v>78.510000000000005</c:v>
                </c:pt>
                <c:pt idx="439">
                  <c:v>80.42</c:v>
                </c:pt>
                <c:pt idx="440">
                  <c:v>80.3</c:v>
                </c:pt>
                <c:pt idx="441">
                  <c:v>81.33</c:v>
                </c:pt>
                <c:pt idx="442">
                  <c:v>84.95</c:v>
                </c:pt>
                <c:pt idx="443">
                  <c:v>82.26</c:v>
                </c:pt>
                <c:pt idx="444">
                  <c:v>82.42</c:v>
                </c:pt>
                <c:pt idx="445">
                  <c:v>79.53</c:v>
                </c:pt>
                <c:pt idx="446">
                  <c:v>77.42</c:v>
                </c:pt>
                <c:pt idx="447">
                  <c:v>78.84</c:v>
                </c:pt>
                <c:pt idx="448">
                  <c:v>77.63</c:v>
                </c:pt>
                <c:pt idx="449">
                  <c:v>78.19</c:v>
                </c:pt>
                <c:pt idx="450">
                  <c:v>74.150000000000006</c:v>
                </c:pt>
                <c:pt idx="451">
                  <c:v>73.7</c:v>
                </c:pt>
                <c:pt idx="452">
                  <c:v>74.89</c:v>
                </c:pt>
                <c:pt idx="453">
                  <c:v>70.69</c:v>
                </c:pt>
                <c:pt idx="454">
                  <c:v>71.849999999999994</c:v>
                </c:pt>
                <c:pt idx="455">
                  <c:v>71.14</c:v>
                </c:pt>
                <c:pt idx="456">
                  <c:v>71.38</c:v>
                </c:pt>
                <c:pt idx="457">
                  <c:v>73.239999999999995</c:v>
                </c:pt>
                <c:pt idx="458">
                  <c:v>74.7</c:v>
                </c:pt>
                <c:pt idx="459">
                  <c:v>76.239999999999995</c:v>
                </c:pt>
                <c:pt idx="460">
                  <c:v>77.819999999999993</c:v>
                </c:pt>
                <c:pt idx="461">
                  <c:v>73.69</c:v>
                </c:pt>
                <c:pt idx="462">
                  <c:v>73.55</c:v>
                </c:pt>
                <c:pt idx="463">
                  <c:v>72.42</c:v>
                </c:pt>
                <c:pt idx="464">
                  <c:v>72.63</c:v>
                </c:pt>
                <c:pt idx="465">
                  <c:v>73.97</c:v>
                </c:pt>
                <c:pt idx="466">
                  <c:v>70.92</c:v>
                </c:pt>
                <c:pt idx="467">
                  <c:v>69.98</c:v>
                </c:pt>
                <c:pt idx="468">
                  <c:v>68.569999999999993</c:v>
                </c:pt>
                <c:pt idx="469">
                  <c:v>68.78</c:v>
                </c:pt>
                <c:pt idx="470">
                  <c:v>65.319999999999993</c:v>
                </c:pt>
                <c:pt idx="471">
                  <c:v>65.41</c:v>
                </c:pt>
                <c:pt idx="472">
                  <c:v>67.44</c:v>
                </c:pt>
                <c:pt idx="473">
                  <c:v>65.08</c:v>
                </c:pt>
                <c:pt idx="474">
                  <c:v>63.34</c:v>
                </c:pt>
                <c:pt idx="475">
                  <c:v>63.67</c:v>
                </c:pt>
                <c:pt idx="476">
                  <c:v>67.400000000000006</c:v>
                </c:pt>
                <c:pt idx="477">
                  <c:v>67.900000000000006</c:v>
                </c:pt>
                <c:pt idx="478">
                  <c:v>66.81</c:v>
                </c:pt>
                <c:pt idx="479">
                  <c:v>64.53</c:v>
                </c:pt>
                <c:pt idx="480">
                  <c:v>63.34</c:v>
                </c:pt>
                <c:pt idx="481">
                  <c:v>63.85</c:v>
                </c:pt>
                <c:pt idx="482">
                  <c:v>63.2</c:v>
                </c:pt>
                <c:pt idx="483">
                  <c:v>64.510000000000005</c:v>
                </c:pt>
                <c:pt idx="484">
                  <c:v>63.35</c:v>
                </c:pt>
                <c:pt idx="485">
                  <c:v>65.59</c:v>
                </c:pt>
                <c:pt idx="486">
                  <c:v>66.56</c:v>
                </c:pt>
                <c:pt idx="487">
                  <c:v>63.74</c:v>
                </c:pt>
                <c:pt idx="488">
                  <c:v>62.85</c:v>
                </c:pt>
                <c:pt idx="489">
                  <c:v>63.77</c:v>
                </c:pt>
                <c:pt idx="490">
                  <c:v>63.8</c:v>
                </c:pt>
                <c:pt idx="491">
                  <c:v>65.69</c:v>
                </c:pt>
                <c:pt idx="492">
                  <c:v>65.989999999999995</c:v>
                </c:pt>
                <c:pt idx="493">
                  <c:v>65.84</c:v>
                </c:pt>
                <c:pt idx="494">
                  <c:v>68.349999999999994</c:v>
                </c:pt>
                <c:pt idx="495">
                  <c:v>68.41</c:v>
                </c:pt>
                <c:pt idx="496">
                  <c:v>68.88</c:v>
                </c:pt>
                <c:pt idx="497">
                  <c:v>66.010000000000005</c:v>
                </c:pt>
                <c:pt idx="498">
                  <c:v>67.069999999999993</c:v>
                </c:pt>
                <c:pt idx="499">
                  <c:v>68.2</c:v>
                </c:pt>
                <c:pt idx="500">
                  <c:v>68.66</c:v>
                </c:pt>
                <c:pt idx="501">
                  <c:v>68.819999999999993</c:v>
                </c:pt>
                <c:pt idx="502">
                  <c:v>67.3</c:v>
                </c:pt>
                <c:pt idx="503">
                  <c:v>72.03</c:v>
                </c:pt>
                <c:pt idx="504">
                  <c:v>74.55</c:v>
                </c:pt>
                <c:pt idx="505">
                  <c:v>74.260000000000005</c:v>
                </c:pt>
                <c:pt idx="506">
                  <c:v>75.599999999999994</c:v>
                </c:pt>
                <c:pt idx="507">
                  <c:v>69.12</c:v>
                </c:pt>
                <c:pt idx="508">
                  <c:v>70.03</c:v>
                </c:pt>
                <c:pt idx="509">
                  <c:v>72.05</c:v>
                </c:pt>
                <c:pt idx="510">
                  <c:v>70.83</c:v>
                </c:pt>
                <c:pt idx="511">
                  <c:v>79.88</c:v>
                </c:pt>
                <c:pt idx="512">
                  <c:v>82.39</c:v>
                </c:pt>
                <c:pt idx="513">
                  <c:v>81.23</c:v>
                </c:pt>
                <c:pt idx="514">
                  <c:v>82.09</c:v>
                </c:pt>
                <c:pt idx="515">
                  <c:v>84.16</c:v>
                </c:pt>
                <c:pt idx="516">
                  <c:v>85.3</c:v>
                </c:pt>
                <c:pt idx="517">
                  <c:v>86.47</c:v>
                </c:pt>
                <c:pt idx="518">
                  <c:v>86.6</c:v>
                </c:pt>
                <c:pt idx="519">
                  <c:v>84.32</c:v>
                </c:pt>
                <c:pt idx="520">
                  <c:v>83.28</c:v>
                </c:pt>
                <c:pt idx="521">
                  <c:v>81.37</c:v>
                </c:pt>
                <c:pt idx="522">
                  <c:v>83.4</c:v>
                </c:pt>
                <c:pt idx="523">
                  <c:v>81.81</c:v>
                </c:pt>
                <c:pt idx="524">
                  <c:v>82.47</c:v>
                </c:pt>
                <c:pt idx="525">
                  <c:v>84.07</c:v>
                </c:pt>
                <c:pt idx="526">
                  <c:v>80.819999999999993</c:v>
                </c:pt>
                <c:pt idx="527">
                  <c:v>80.78</c:v>
                </c:pt>
                <c:pt idx="528">
                  <c:v>79.48</c:v>
                </c:pt>
                <c:pt idx="529">
                  <c:v>79.8</c:v>
                </c:pt>
                <c:pt idx="530">
                  <c:v>79.239999999999995</c:v>
                </c:pt>
                <c:pt idx="531">
                  <c:v>80.63</c:v>
                </c:pt>
                <c:pt idx="532">
                  <c:v>80.459999999999994</c:v>
                </c:pt>
                <c:pt idx="533">
                  <c:v>81.349999999999994</c:v>
                </c:pt>
                <c:pt idx="534">
                  <c:v>81.86</c:v>
                </c:pt>
                <c:pt idx="535">
                  <c:v>80.17</c:v>
                </c:pt>
                <c:pt idx="536">
                  <c:v>81.239999999999995</c:v>
                </c:pt>
                <c:pt idx="537">
                  <c:v>80.209999999999994</c:v>
                </c:pt>
                <c:pt idx="538">
                  <c:v>80.41</c:v>
                </c:pt>
                <c:pt idx="539">
                  <c:v>81.94</c:v>
                </c:pt>
                <c:pt idx="540">
                  <c:v>81.510000000000005</c:v>
                </c:pt>
                <c:pt idx="541">
                  <c:v>83.04</c:v>
                </c:pt>
                <c:pt idx="542">
                  <c:v>82.06</c:v>
                </c:pt>
                <c:pt idx="543">
                  <c:v>84.27</c:v>
                </c:pt>
                <c:pt idx="544">
                  <c:v>85.85</c:v>
                </c:pt>
                <c:pt idx="545">
                  <c:v>86.4</c:v>
                </c:pt>
                <c:pt idx="546">
                  <c:v>85.78</c:v>
                </c:pt>
                <c:pt idx="547">
                  <c:v>84.42</c:v>
                </c:pt>
                <c:pt idx="548">
                  <c:v>82.96</c:v>
                </c:pt>
                <c:pt idx="549">
                  <c:v>81.52</c:v>
                </c:pt>
                <c:pt idx="550">
                  <c:v>82.67</c:v>
                </c:pt>
                <c:pt idx="551">
                  <c:v>84.24</c:v>
                </c:pt>
                <c:pt idx="552">
                  <c:v>83.63</c:v>
                </c:pt>
                <c:pt idx="553">
                  <c:v>84</c:v>
                </c:pt>
                <c:pt idx="554">
                  <c:v>83.95</c:v>
                </c:pt>
                <c:pt idx="555">
                  <c:v>85.18</c:v>
                </c:pt>
                <c:pt idx="556">
                  <c:v>86.38</c:v>
                </c:pt>
                <c:pt idx="557">
                  <c:v>88.72</c:v>
                </c:pt>
                <c:pt idx="558">
                  <c:v>89.65</c:v>
                </c:pt>
                <c:pt idx="559">
                  <c:v>91.42</c:v>
                </c:pt>
                <c:pt idx="560">
                  <c:v>90.32</c:v>
                </c:pt>
                <c:pt idx="561">
                  <c:v>87.97</c:v>
                </c:pt>
                <c:pt idx="562">
                  <c:v>87.79</c:v>
                </c:pt>
                <c:pt idx="563">
                  <c:v>86.4</c:v>
                </c:pt>
                <c:pt idx="564">
                  <c:v>84.96</c:v>
                </c:pt>
                <c:pt idx="565">
                  <c:v>85.52</c:v>
                </c:pt>
                <c:pt idx="566">
                  <c:v>87.26</c:v>
                </c:pt>
                <c:pt idx="567">
                  <c:v>88.31</c:v>
                </c:pt>
                <c:pt idx="568">
                  <c:v>88.95</c:v>
                </c:pt>
                <c:pt idx="569">
                  <c:v>88.2</c:v>
                </c:pt>
                <c:pt idx="570">
                  <c:v>86.94</c:v>
                </c:pt>
                <c:pt idx="571">
                  <c:v>83.13</c:v>
                </c:pt>
                <c:pt idx="572">
                  <c:v>83.18</c:v>
                </c:pt>
                <c:pt idx="573">
                  <c:v>83</c:v>
                </c:pt>
                <c:pt idx="574">
                  <c:v>83.82</c:v>
                </c:pt>
                <c:pt idx="575">
                  <c:v>82.63</c:v>
                </c:pt>
                <c:pt idx="576">
                  <c:v>83.11</c:v>
                </c:pt>
                <c:pt idx="577">
                  <c:v>82.54</c:v>
                </c:pt>
                <c:pt idx="578">
                  <c:v>80.790000000000006</c:v>
                </c:pt>
                <c:pt idx="579">
                  <c:v>83.26</c:v>
                </c:pt>
                <c:pt idx="580">
                  <c:v>82.3</c:v>
                </c:pt>
                <c:pt idx="581">
                  <c:v>82.26</c:v>
                </c:pt>
                <c:pt idx="582">
                  <c:v>81.150000000000006</c:v>
                </c:pt>
                <c:pt idx="583">
                  <c:v>79</c:v>
                </c:pt>
                <c:pt idx="584">
                  <c:v>78.61</c:v>
                </c:pt>
                <c:pt idx="585">
                  <c:v>75.77</c:v>
                </c:pt>
                <c:pt idx="586">
                  <c:v>74.84</c:v>
                </c:pt>
                <c:pt idx="587">
                  <c:v>75.55</c:v>
                </c:pt>
                <c:pt idx="588">
                  <c:v>77.09</c:v>
                </c:pt>
                <c:pt idx="589">
                  <c:v>76.73</c:v>
                </c:pt>
                <c:pt idx="590">
                  <c:v>78.13</c:v>
                </c:pt>
                <c:pt idx="591">
                  <c:v>77.77</c:v>
                </c:pt>
                <c:pt idx="592">
                  <c:v>75.94</c:v>
                </c:pt>
                <c:pt idx="593">
                  <c:v>74.59</c:v>
                </c:pt>
                <c:pt idx="594">
                  <c:v>74.319999999999993</c:v>
                </c:pt>
                <c:pt idx="595">
                  <c:v>73.849999999999994</c:v>
                </c:pt>
                <c:pt idx="596">
                  <c:v>73.319999999999993</c:v>
                </c:pt>
                <c:pt idx="597">
                  <c:v>74.86</c:v>
                </c:pt>
                <c:pt idx="598">
                  <c:v>75.319999999999993</c:v>
                </c:pt>
                <c:pt idx="599">
                  <c:v>78.27</c:v>
                </c:pt>
                <c:pt idx="600">
                  <c:v>78.510000000000005</c:v>
                </c:pt>
                <c:pt idx="601">
                  <c:v>77.84</c:v>
                </c:pt>
                <c:pt idx="602">
                  <c:v>76.28</c:v>
                </c:pt>
                <c:pt idx="603">
                  <c:v>75.08</c:v>
                </c:pt>
                <c:pt idx="604">
                  <c:v>74.959999999999994</c:v>
                </c:pt>
                <c:pt idx="605">
                  <c:v>75.25</c:v>
                </c:pt>
                <c:pt idx="606">
                  <c:v>73.17</c:v>
                </c:pt>
                <c:pt idx="607">
                  <c:v>73.19</c:v>
                </c:pt>
                <c:pt idx="608">
                  <c:v>73.38</c:v>
                </c:pt>
                <c:pt idx="609">
                  <c:v>73.31</c:v>
                </c:pt>
                <c:pt idx="610">
                  <c:v>73.98</c:v>
                </c:pt>
                <c:pt idx="611">
                  <c:v>72.709999999999994</c:v>
                </c:pt>
                <c:pt idx="612">
                  <c:v>72.58</c:v>
                </c:pt>
                <c:pt idx="613">
                  <c:v>72.760000000000005</c:v>
                </c:pt>
                <c:pt idx="614">
                  <c:v>73.55</c:v>
                </c:pt>
                <c:pt idx="615">
                  <c:v>71.37</c:v>
                </c:pt>
                <c:pt idx="616">
                  <c:v>71.510000000000005</c:v>
                </c:pt>
                <c:pt idx="617">
                  <c:v>73.53</c:v>
                </c:pt>
                <c:pt idx="618">
                  <c:v>74.52</c:v>
                </c:pt>
                <c:pt idx="619">
                  <c:v>73.650000000000006</c:v>
                </c:pt>
                <c:pt idx="620">
                  <c:v>73.2</c:v>
                </c:pt>
                <c:pt idx="621">
                  <c:v>72.78</c:v>
                </c:pt>
                <c:pt idx="622">
                  <c:v>71.599999999999994</c:v>
                </c:pt>
                <c:pt idx="623">
                  <c:v>73.569999999999993</c:v>
                </c:pt>
                <c:pt idx="624">
                  <c:v>72.459999999999994</c:v>
                </c:pt>
                <c:pt idx="625">
                  <c:v>72.650000000000006</c:v>
                </c:pt>
                <c:pt idx="626">
                  <c:v>72.22</c:v>
                </c:pt>
                <c:pt idx="627">
                  <c:v>71.62</c:v>
                </c:pt>
                <c:pt idx="628">
                  <c:v>71.73</c:v>
                </c:pt>
                <c:pt idx="629">
                  <c:v>72.7</c:v>
                </c:pt>
                <c:pt idx="630">
                  <c:v>70.739999999999995</c:v>
                </c:pt>
                <c:pt idx="631">
                  <c:v>73.94</c:v>
                </c:pt>
                <c:pt idx="632">
                  <c:v>73.040000000000006</c:v>
                </c:pt>
                <c:pt idx="633">
                  <c:v>70.53</c:v>
                </c:pt>
                <c:pt idx="634">
                  <c:v>70.319999999999993</c:v>
                </c:pt>
                <c:pt idx="635">
                  <c:v>69.489999999999995</c:v>
                </c:pt>
                <c:pt idx="636">
                  <c:v>69.150000000000006</c:v>
                </c:pt>
                <c:pt idx="637">
                  <c:v>71.28</c:v>
                </c:pt>
                <c:pt idx="638">
                  <c:v>74.33</c:v>
                </c:pt>
                <c:pt idx="639">
                  <c:v>73.400000000000006</c:v>
                </c:pt>
                <c:pt idx="640">
                  <c:v>72.67</c:v>
                </c:pt>
                <c:pt idx="641">
                  <c:v>72.900000000000006</c:v>
                </c:pt>
                <c:pt idx="642">
                  <c:v>73.209999999999994</c:v>
                </c:pt>
                <c:pt idx="643">
                  <c:v>72.83</c:v>
                </c:pt>
                <c:pt idx="644">
                  <c:v>74.349999999999994</c:v>
                </c:pt>
                <c:pt idx="645">
                  <c:v>75.680000000000007</c:v>
                </c:pt>
                <c:pt idx="646">
                  <c:v>75.36</c:v>
                </c:pt>
                <c:pt idx="647">
                  <c:v>75.239999999999995</c:v>
                </c:pt>
                <c:pt idx="648">
                  <c:v>76.400000000000006</c:v>
                </c:pt>
                <c:pt idx="649">
                  <c:v>77.36</c:v>
                </c:pt>
                <c:pt idx="650">
                  <c:v>76.64</c:v>
                </c:pt>
                <c:pt idx="651">
                  <c:v>78.98</c:v>
                </c:pt>
                <c:pt idx="652">
                  <c:v>79.790000000000006</c:v>
                </c:pt>
                <c:pt idx="653">
                  <c:v>78.819999999999993</c:v>
                </c:pt>
                <c:pt idx="654">
                  <c:v>79.02</c:v>
                </c:pt>
                <c:pt idx="655">
                  <c:v>79.05</c:v>
                </c:pt>
                <c:pt idx="656">
                  <c:v>79.13</c:v>
                </c:pt>
                <c:pt idx="657">
                  <c:v>81.400000000000006</c:v>
                </c:pt>
                <c:pt idx="658">
                  <c:v>82.91</c:v>
                </c:pt>
                <c:pt idx="659">
                  <c:v>82.28</c:v>
                </c:pt>
                <c:pt idx="660">
                  <c:v>83.21</c:v>
                </c:pt>
                <c:pt idx="661">
                  <c:v>81.95</c:v>
                </c:pt>
                <c:pt idx="662">
                  <c:v>82.17</c:v>
                </c:pt>
                <c:pt idx="663">
                  <c:v>81.05</c:v>
                </c:pt>
                <c:pt idx="664">
                  <c:v>80.59</c:v>
                </c:pt>
                <c:pt idx="665">
                  <c:v>79.3</c:v>
                </c:pt>
                <c:pt idx="666">
                  <c:v>79.88</c:v>
                </c:pt>
                <c:pt idx="667">
                  <c:v>81.760000000000005</c:v>
                </c:pt>
                <c:pt idx="668">
                  <c:v>81.08</c:v>
                </c:pt>
                <c:pt idx="669">
                  <c:v>81.3</c:v>
                </c:pt>
                <c:pt idx="670">
                  <c:v>80.23</c:v>
                </c:pt>
                <c:pt idx="671">
                  <c:v>82.27</c:v>
                </c:pt>
                <c:pt idx="672">
                  <c:v>83.57</c:v>
                </c:pt>
                <c:pt idx="673">
                  <c:v>84.22</c:v>
                </c:pt>
                <c:pt idx="674">
                  <c:v>83.62</c:v>
                </c:pt>
                <c:pt idx="675">
                  <c:v>82.76</c:v>
                </c:pt>
                <c:pt idx="676">
                  <c:v>84.79</c:v>
                </c:pt>
                <c:pt idx="677">
                  <c:v>84.95</c:v>
                </c:pt>
                <c:pt idx="678">
                  <c:v>84.22</c:v>
                </c:pt>
                <c:pt idx="679">
                  <c:v>83.54</c:v>
                </c:pt>
                <c:pt idx="680">
                  <c:v>82.9</c:v>
                </c:pt>
                <c:pt idx="681">
                  <c:v>83.05</c:v>
                </c:pt>
                <c:pt idx="682">
                  <c:v>82.77</c:v>
                </c:pt>
                <c:pt idx="683">
                  <c:v>81.239999999999995</c:v>
                </c:pt>
                <c:pt idx="684">
                  <c:v>81.31</c:v>
                </c:pt>
                <c:pt idx="685">
                  <c:v>79.83</c:v>
                </c:pt>
                <c:pt idx="686">
                  <c:v>80.069999999999993</c:v>
                </c:pt>
                <c:pt idx="687">
                  <c:v>79.16</c:v>
                </c:pt>
                <c:pt idx="688">
                  <c:v>79.05</c:v>
                </c:pt>
                <c:pt idx="689">
                  <c:v>80.41</c:v>
                </c:pt>
                <c:pt idx="690">
                  <c:v>79.290000000000006</c:v>
                </c:pt>
                <c:pt idx="691">
                  <c:v>79.180000000000007</c:v>
                </c:pt>
                <c:pt idx="692">
                  <c:v>78.48</c:v>
                </c:pt>
                <c:pt idx="693">
                  <c:v>78.44</c:v>
                </c:pt>
                <c:pt idx="694">
                  <c:v>77.72</c:v>
                </c:pt>
                <c:pt idx="695">
                  <c:v>78.59</c:v>
                </c:pt>
                <c:pt idx="696">
                  <c:v>78.88</c:v>
                </c:pt>
                <c:pt idx="697">
                  <c:v>74.23</c:v>
                </c:pt>
                <c:pt idx="698">
                  <c:v>74.7</c:v>
                </c:pt>
                <c:pt idx="699">
                  <c:v>73.13</c:v>
                </c:pt>
                <c:pt idx="700">
                  <c:v>72.67</c:v>
                </c:pt>
                <c:pt idx="701">
                  <c:v>74.069999999999993</c:v>
                </c:pt>
                <c:pt idx="702">
                  <c:v>76.930000000000007</c:v>
                </c:pt>
                <c:pt idx="703">
                  <c:v>75.930000000000007</c:v>
                </c:pt>
                <c:pt idx="704">
                  <c:v>76.45</c:v>
                </c:pt>
                <c:pt idx="705">
                  <c:v>75.27</c:v>
                </c:pt>
                <c:pt idx="706">
                  <c:v>73.95</c:v>
                </c:pt>
                <c:pt idx="707">
                  <c:v>73.739999999999995</c:v>
                </c:pt>
                <c:pt idx="708">
                  <c:v>72.67</c:v>
                </c:pt>
                <c:pt idx="709">
                  <c:v>73.23</c:v>
                </c:pt>
                <c:pt idx="710">
                  <c:v>72.650000000000006</c:v>
                </c:pt>
                <c:pt idx="711">
                  <c:v>72.78</c:v>
                </c:pt>
                <c:pt idx="712">
                  <c:v>72.27</c:v>
                </c:pt>
                <c:pt idx="713">
                  <c:v>73.45</c:v>
                </c:pt>
                <c:pt idx="714">
                  <c:v>72.39</c:v>
                </c:pt>
                <c:pt idx="715">
                  <c:v>70.64</c:v>
                </c:pt>
                <c:pt idx="716">
                  <c:v>71.44</c:v>
                </c:pt>
                <c:pt idx="717">
                  <c:v>70.75</c:v>
                </c:pt>
                <c:pt idx="718">
                  <c:v>70.45</c:v>
                </c:pt>
                <c:pt idx="719">
                  <c:v>69.25</c:v>
                </c:pt>
                <c:pt idx="720">
                  <c:v>69.790000000000006</c:v>
                </c:pt>
                <c:pt idx="721">
                  <c:v>68.03</c:v>
                </c:pt>
                <c:pt idx="722">
                  <c:v>68.37</c:v>
                </c:pt>
                <c:pt idx="723">
                  <c:v>68.900000000000006</c:v>
                </c:pt>
                <c:pt idx="724">
                  <c:v>69.47</c:v>
                </c:pt>
                <c:pt idx="725">
                  <c:v>69.09</c:v>
                </c:pt>
                <c:pt idx="726">
                  <c:v>67.61</c:v>
                </c:pt>
                <c:pt idx="727">
                  <c:v>68.56</c:v>
                </c:pt>
                <c:pt idx="728">
                  <c:v>67.63</c:v>
                </c:pt>
                <c:pt idx="729">
                  <c:v>68.760000000000005</c:v>
                </c:pt>
                <c:pt idx="730">
                  <c:v>70.25</c:v>
                </c:pt>
                <c:pt idx="731">
                  <c:v>70.38</c:v>
                </c:pt>
                <c:pt idx="732">
                  <c:v>70.95</c:v>
                </c:pt>
                <c:pt idx="733">
                  <c:v>70.38</c:v>
                </c:pt>
                <c:pt idx="734">
                  <c:v>69.489999999999995</c:v>
                </c:pt>
                <c:pt idx="735">
                  <c:v>70.760000000000005</c:v>
                </c:pt>
                <c:pt idx="736">
                  <c:v>71.03</c:v>
                </c:pt>
                <c:pt idx="737">
                  <c:v>70.2</c:v>
                </c:pt>
                <c:pt idx="738">
                  <c:v>69.5</c:v>
                </c:pt>
                <c:pt idx="739">
                  <c:v>68.680000000000007</c:v>
                </c:pt>
                <c:pt idx="740">
                  <c:v>68.2</c:v>
                </c:pt>
                <c:pt idx="741">
                  <c:v>67.989999999999995</c:v>
                </c:pt>
                <c:pt idx="742">
                  <c:v>67.59</c:v>
                </c:pt>
                <c:pt idx="743">
                  <c:v>66.11</c:v>
                </c:pt>
                <c:pt idx="744">
                  <c:v>64.41</c:v>
                </c:pt>
                <c:pt idx="745">
                  <c:v>64.489999999999995</c:v>
                </c:pt>
                <c:pt idx="746">
                  <c:v>66.819999999999993</c:v>
                </c:pt>
                <c:pt idx="747">
                  <c:v>65.97</c:v>
                </c:pt>
                <c:pt idx="748">
                  <c:v>66.349999999999994</c:v>
                </c:pt>
                <c:pt idx="749">
                  <c:v>67.19</c:v>
                </c:pt>
                <c:pt idx="750">
                  <c:v>66.959999999999994</c:v>
                </c:pt>
                <c:pt idx="751">
                  <c:v>65.569999999999993</c:v>
                </c:pt>
                <c:pt idx="752">
                  <c:v>63.94</c:v>
                </c:pt>
                <c:pt idx="753">
                  <c:v>62.88</c:v>
                </c:pt>
                <c:pt idx="754">
                  <c:v>64.12</c:v>
                </c:pt>
                <c:pt idx="755">
                  <c:v>63.84</c:v>
                </c:pt>
                <c:pt idx="756">
                  <c:v>66.48</c:v>
                </c:pt>
                <c:pt idx="757">
                  <c:v>68.88</c:v>
                </c:pt>
                <c:pt idx="758">
                  <c:v>66.75</c:v>
                </c:pt>
                <c:pt idx="759">
                  <c:v>68.22</c:v>
                </c:pt>
                <c:pt idx="760">
                  <c:v>68.11</c:v>
                </c:pt>
                <c:pt idx="761">
                  <c:v>67.62</c:v>
                </c:pt>
                <c:pt idx="762">
                  <c:v>68.03</c:v>
                </c:pt>
                <c:pt idx="763">
                  <c:v>69.510000000000005</c:v>
                </c:pt>
                <c:pt idx="764">
                  <c:v>69.36</c:v>
                </c:pt>
                <c:pt idx="765">
                  <c:v>71.02</c:v>
                </c:pt>
                <c:pt idx="766">
                  <c:v>70.78</c:v>
                </c:pt>
                <c:pt idx="767">
                  <c:v>70.94</c:v>
                </c:pt>
                <c:pt idx="768">
                  <c:v>73.42</c:v>
                </c:pt>
                <c:pt idx="769">
                  <c:v>74.69</c:v>
                </c:pt>
                <c:pt idx="770">
                  <c:v>74</c:v>
                </c:pt>
                <c:pt idx="771">
                  <c:v>75.09</c:v>
                </c:pt>
                <c:pt idx="772">
                  <c:v>74.56</c:v>
                </c:pt>
                <c:pt idx="773">
                  <c:v>73.989999999999995</c:v>
                </c:pt>
                <c:pt idx="774">
                  <c:v>74.14</c:v>
                </c:pt>
                <c:pt idx="775">
                  <c:v>73.209999999999994</c:v>
                </c:pt>
                <c:pt idx="776">
                  <c:v>72.37</c:v>
                </c:pt>
                <c:pt idx="777">
                  <c:v>77.5</c:v>
                </c:pt>
                <c:pt idx="778">
                  <c:v>77.319999999999993</c:v>
                </c:pt>
                <c:pt idx="779">
                  <c:v>77.319999999999993</c:v>
                </c:pt>
                <c:pt idx="780">
                  <c:v>77.44</c:v>
                </c:pt>
                <c:pt idx="781">
                  <c:v>75.61</c:v>
                </c:pt>
                <c:pt idx="782">
                  <c:v>75.819999999999993</c:v>
                </c:pt>
                <c:pt idx="783">
                  <c:v>76.14</c:v>
                </c:pt>
                <c:pt idx="784">
                  <c:v>77.88</c:v>
                </c:pt>
                <c:pt idx="785">
                  <c:v>77.95</c:v>
                </c:pt>
                <c:pt idx="786">
                  <c:v>78.459999999999994</c:v>
                </c:pt>
                <c:pt idx="787">
                  <c:v>78.28</c:v>
                </c:pt>
                <c:pt idx="788">
                  <c:v>77.260000000000005</c:v>
                </c:pt>
                <c:pt idx="789">
                  <c:v>75.430000000000007</c:v>
                </c:pt>
                <c:pt idx="790">
                  <c:v>75.3</c:v>
                </c:pt>
                <c:pt idx="791">
                  <c:v>75.83</c:v>
                </c:pt>
                <c:pt idx="792">
                  <c:v>75.540000000000006</c:v>
                </c:pt>
                <c:pt idx="793">
                  <c:v>75.16</c:v>
                </c:pt>
                <c:pt idx="794">
                  <c:v>75.77</c:v>
                </c:pt>
                <c:pt idx="795">
                  <c:v>74.650000000000006</c:v>
                </c:pt>
                <c:pt idx="796">
                  <c:v>73.86</c:v>
                </c:pt>
                <c:pt idx="797">
                  <c:v>71.86</c:v>
                </c:pt>
                <c:pt idx="798">
                  <c:v>71.14</c:v>
                </c:pt>
                <c:pt idx="799">
                  <c:v>70.94</c:v>
                </c:pt>
                <c:pt idx="800">
                  <c:v>71</c:v>
                </c:pt>
                <c:pt idx="801">
                  <c:v>73.489999999999995</c:v>
                </c:pt>
                <c:pt idx="802">
                  <c:v>73.069999999999993</c:v>
                </c:pt>
                <c:pt idx="803">
                  <c:v>73.33</c:v>
                </c:pt>
                <c:pt idx="804">
                  <c:v>75.209999999999994</c:v>
                </c:pt>
                <c:pt idx="805">
                  <c:v>74.819999999999993</c:v>
                </c:pt>
                <c:pt idx="806">
                  <c:v>73.34</c:v>
                </c:pt>
                <c:pt idx="807">
                  <c:v>73.319999999999993</c:v>
                </c:pt>
                <c:pt idx="808">
                  <c:v>72.489999999999995</c:v>
                </c:pt>
                <c:pt idx="809">
                  <c:v>75.239999999999995</c:v>
                </c:pt>
                <c:pt idx="810">
                  <c:v>75.69</c:v>
                </c:pt>
                <c:pt idx="811">
                  <c:v>74.209999999999994</c:v>
                </c:pt>
                <c:pt idx="812">
                  <c:v>74.84</c:v>
                </c:pt>
                <c:pt idx="813">
                  <c:v>75.48</c:v>
                </c:pt>
                <c:pt idx="814">
                  <c:v>75.489999999999995</c:v>
                </c:pt>
                <c:pt idx="815">
                  <c:v>75.599999999999994</c:v>
                </c:pt>
                <c:pt idx="816">
                  <c:v>75.92</c:v>
                </c:pt>
                <c:pt idx="817">
                  <c:v>72.900000000000006</c:v>
                </c:pt>
                <c:pt idx="818">
                  <c:v>74.599999999999994</c:v>
                </c:pt>
                <c:pt idx="819">
                  <c:v>74.650000000000006</c:v>
                </c:pt>
                <c:pt idx="820">
                  <c:v>73.75</c:v>
                </c:pt>
                <c:pt idx="821">
                  <c:v>73.27</c:v>
                </c:pt>
                <c:pt idx="822">
                  <c:v>74.12</c:v>
                </c:pt>
                <c:pt idx="823">
                  <c:v>75.209999999999994</c:v>
                </c:pt>
                <c:pt idx="824">
                  <c:v>76.28</c:v>
                </c:pt>
                <c:pt idx="825">
                  <c:v>76.45</c:v>
                </c:pt>
                <c:pt idx="826">
                  <c:v>79.06</c:v>
                </c:pt>
                <c:pt idx="827">
                  <c:v>79.680000000000007</c:v>
                </c:pt>
                <c:pt idx="828">
                  <c:v>80.88</c:v>
                </c:pt>
                <c:pt idx="829">
                  <c:v>77.92</c:v>
                </c:pt>
                <c:pt idx="830">
                  <c:v>77.540000000000006</c:v>
                </c:pt>
                <c:pt idx="831">
                  <c:v>75.959999999999994</c:v>
                </c:pt>
                <c:pt idx="832">
                  <c:v>78.209999999999994</c:v>
                </c:pt>
                <c:pt idx="833">
                  <c:v>79.52</c:v>
                </c:pt>
                <c:pt idx="834">
                  <c:v>78.58</c:v>
                </c:pt>
                <c:pt idx="835">
                  <c:v>76.400000000000006</c:v>
                </c:pt>
                <c:pt idx="836">
                  <c:v>77.34</c:v>
                </c:pt>
                <c:pt idx="837">
                  <c:v>77.52</c:v>
                </c:pt>
                <c:pt idx="838">
                  <c:v>77.459999999999994</c:v>
                </c:pt>
                <c:pt idx="839">
                  <c:v>78.02</c:v>
                </c:pt>
                <c:pt idx="840">
                  <c:v>77.13</c:v>
                </c:pt>
                <c:pt idx="841">
                  <c:v>78.23</c:v>
                </c:pt>
                <c:pt idx="842">
                  <c:v>78.59</c:v>
                </c:pt>
                <c:pt idx="843">
                  <c:v>80.44</c:v>
                </c:pt>
                <c:pt idx="844">
                  <c:v>81.66</c:v>
                </c:pt>
                <c:pt idx="845">
                  <c:v>80.72</c:v>
                </c:pt>
                <c:pt idx="846">
                  <c:v>80.06</c:v>
                </c:pt>
                <c:pt idx="847">
                  <c:v>81.87</c:v>
                </c:pt>
                <c:pt idx="848">
                  <c:v>82.03</c:v>
                </c:pt>
                <c:pt idx="849">
                  <c:v>81.64</c:v>
                </c:pt>
                <c:pt idx="850">
                  <c:v>80.17</c:v>
                </c:pt>
                <c:pt idx="851">
                  <c:v>79.31</c:v>
                </c:pt>
                <c:pt idx="852">
                  <c:v>79</c:v>
                </c:pt>
                <c:pt idx="853">
                  <c:v>79.61</c:v>
                </c:pt>
                <c:pt idx="854">
                  <c:v>80.14</c:v>
                </c:pt>
                <c:pt idx="855">
                  <c:v>82.55</c:v>
                </c:pt>
                <c:pt idx="856">
                  <c:v>79.89</c:v>
                </c:pt>
                <c:pt idx="857">
                  <c:v>80.010000000000005</c:v>
                </c:pt>
                <c:pt idx="858">
                  <c:v>78</c:v>
                </c:pt>
                <c:pt idx="859">
                  <c:v>76.290000000000006</c:v>
                </c:pt>
                <c:pt idx="860">
                  <c:v>75.17</c:v>
                </c:pt>
                <c:pt idx="861">
                  <c:v>76.23</c:v>
                </c:pt>
                <c:pt idx="862">
                  <c:v>76</c:v>
                </c:pt>
                <c:pt idx="863">
                  <c:v>76.150000000000006</c:v>
                </c:pt>
                <c:pt idx="864">
                  <c:v>75.12</c:v>
                </c:pt>
                <c:pt idx="865">
                  <c:v>75.040000000000006</c:v>
                </c:pt>
                <c:pt idx="866">
                  <c:v>74.430000000000007</c:v>
                </c:pt>
                <c:pt idx="867">
                  <c:v>75.239999999999995</c:v>
                </c:pt>
                <c:pt idx="868">
                  <c:v>75.05</c:v>
                </c:pt>
                <c:pt idx="869">
                  <c:v>75</c:v>
                </c:pt>
                <c:pt idx="870">
                  <c:v>73.64</c:v>
                </c:pt>
                <c:pt idx="871">
                  <c:v>72.03</c:v>
                </c:pt>
                <c:pt idx="872">
                  <c:v>72.44</c:v>
                </c:pt>
                <c:pt idx="873">
                  <c:v>74.47</c:v>
                </c:pt>
                <c:pt idx="874">
                  <c:v>74.400000000000006</c:v>
                </c:pt>
                <c:pt idx="875">
                  <c:v>73.06</c:v>
                </c:pt>
                <c:pt idx="876">
                  <c:v>73.23</c:v>
                </c:pt>
                <c:pt idx="877">
                  <c:v>74.16</c:v>
                </c:pt>
                <c:pt idx="878">
                  <c:v>74.17</c:v>
                </c:pt>
                <c:pt idx="879">
                  <c:v>74.7</c:v>
                </c:pt>
                <c:pt idx="880">
                  <c:v>74.349999999999994</c:v>
                </c:pt>
                <c:pt idx="881">
                  <c:v>73.34</c:v>
                </c:pt>
                <c:pt idx="882">
                  <c:v>73.64</c:v>
                </c:pt>
                <c:pt idx="883">
                  <c:v>73.349999999999994</c:v>
                </c:pt>
                <c:pt idx="884">
                  <c:v>73.91</c:v>
                </c:pt>
                <c:pt idx="885">
                  <c:v>72.67</c:v>
                </c:pt>
                <c:pt idx="886">
                  <c:v>70.5</c:v>
                </c:pt>
                <c:pt idx="887">
                  <c:v>69.63</c:v>
                </c:pt>
                <c:pt idx="888">
                  <c:v>71.5</c:v>
                </c:pt>
                <c:pt idx="889">
                  <c:v>72.55</c:v>
                </c:pt>
                <c:pt idx="890">
                  <c:v>71.900000000000006</c:v>
                </c:pt>
                <c:pt idx="891">
                  <c:v>81.55</c:v>
                </c:pt>
                <c:pt idx="892">
                  <c:v>84.82</c:v>
                </c:pt>
                <c:pt idx="893">
                  <c:v>86.94</c:v>
                </c:pt>
                <c:pt idx="894">
                  <c:v>87.85</c:v>
                </c:pt>
                <c:pt idx="895">
                  <c:v>88.94</c:v>
                </c:pt>
                <c:pt idx="896">
                  <c:v>88.16</c:v>
                </c:pt>
                <c:pt idx="897">
                  <c:v>87.92</c:v>
                </c:pt>
                <c:pt idx="898">
                  <c:v>87.15</c:v>
                </c:pt>
                <c:pt idx="899">
                  <c:v>87.11</c:v>
                </c:pt>
                <c:pt idx="900">
                  <c:v>86.38</c:v>
                </c:pt>
                <c:pt idx="901">
                  <c:v>87.73</c:v>
                </c:pt>
                <c:pt idx="902">
                  <c:v>87.21</c:v>
                </c:pt>
                <c:pt idx="903">
                  <c:v>91.26</c:v>
                </c:pt>
                <c:pt idx="904">
                  <c:v>93.63</c:v>
                </c:pt>
                <c:pt idx="905">
                  <c:v>92.37</c:v>
                </c:pt>
                <c:pt idx="906">
                  <c:v>90.4</c:v>
                </c:pt>
                <c:pt idx="907">
                  <c:v>89.33</c:v>
                </c:pt>
                <c:pt idx="908">
                  <c:v>86.52</c:v>
                </c:pt>
                <c:pt idx="909">
                  <c:v>84.26</c:v>
                </c:pt>
                <c:pt idx="910">
                  <c:v>84.32</c:v>
                </c:pt>
                <c:pt idx="911">
                  <c:v>84.29</c:v>
                </c:pt>
                <c:pt idx="912">
                  <c:v>82.29</c:v>
                </c:pt>
                <c:pt idx="913">
                  <c:v>82.17</c:v>
                </c:pt>
                <c:pt idx="914">
                  <c:v>82.33</c:v>
                </c:pt>
                <c:pt idx="915">
                  <c:v>82.45</c:v>
                </c:pt>
                <c:pt idx="916">
                  <c:v>85.51</c:v>
                </c:pt>
                <c:pt idx="917">
                  <c:v>86.42</c:v>
                </c:pt>
                <c:pt idx="918">
                  <c:v>85.57</c:v>
                </c:pt>
                <c:pt idx="919">
                  <c:v>86.01</c:v>
                </c:pt>
                <c:pt idx="920">
                  <c:v>86.27</c:v>
                </c:pt>
                <c:pt idx="921">
                  <c:v>85.5</c:v>
                </c:pt>
                <c:pt idx="922">
                  <c:v>87.25</c:v>
                </c:pt>
                <c:pt idx="923">
                  <c:v>89.16</c:v>
                </c:pt>
                <c:pt idx="924">
                  <c:v>88.1</c:v>
                </c:pt>
                <c:pt idx="925">
                  <c:v>88.6</c:v>
                </c:pt>
                <c:pt idx="926">
                  <c:v>88.96</c:v>
                </c:pt>
                <c:pt idx="927">
                  <c:v>88.95</c:v>
                </c:pt>
                <c:pt idx="928">
                  <c:v>87.73</c:v>
                </c:pt>
                <c:pt idx="929">
                  <c:v>87.35</c:v>
                </c:pt>
                <c:pt idx="930">
                  <c:v>87.35</c:v>
                </c:pt>
                <c:pt idx="931">
                  <c:v>85.48</c:v>
                </c:pt>
                <c:pt idx="932">
                  <c:v>85.35</c:v>
                </c:pt>
                <c:pt idx="933">
                  <c:v>86.52</c:v>
                </c:pt>
                <c:pt idx="934">
                  <c:v>85.67</c:v>
                </c:pt>
                <c:pt idx="935">
                  <c:v>82.36</c:v>
                </c:pt>
                <c:pt idx="936">
                  <c:v>80.23</c:v>
                </c:pt>
                <c:pt idx="937">
                  <c:v>82</c:v>
                </c:pt>
                <c:pt idx="938">
                  <c:v>80.7</c:v>
                </c:pt>
                <c:pt idx="939">
                  <c:v>82.56</c:v>
                </c:pt>
                <c:pt idx="940">
                  <c:v>83.73</c:v>
                </c:pt>
                <c:pt idx="941">
                  <c:v>81.2</c:v>
                </c:pt>
                <c:pt idx="942">
                  <c:v>83.14</c:v>
                </c:pt>
                <c:pt idx="943">
                  <c:v>82.91</c:v>
                </c:pt>
                <c:pt idx="944">
                  <c:v>84.06</c:v>
                </c:pt>
                <c:pt idx="945">
                  <c:v>85.24</c:v>
                </c:pt>
                <c:pt idx="946">
                  <c:v>85.04</c:v>
                </c:pt>
                <c:pt idx="947">
                  <c:v>84.74</c:v>
                </c:pt>
                <c:pt idx="948">
                  <c:v>87.04</c:v>
                </c:pt>
                <c:pt idx="949">
                  <c:v>85.75</c:v>
                </c:pt>
                <c:pt idx="950">
                  <c:v>88.15</c:v>
                </c:pt>
                <c:pt idx="951">
                  <c:v>88.89</c:v>
                </c:pt>
                <c:pt idx="952">
                  <c:v>88.88</c:v>
                </c:pt>
                <c:pt idx="953">
                  <c:v>87.79</c:v>
                </c:pt>
                <c:pt idx="954">
                  <c:v>100.18</c:v>
                </c:pt>
                <c:pt idx="955">
                  <c:v>100.4</c:v>
                </c:pt>
                <c:pt idx="956">
                  <c:v>100.94</c:v>
                </c:pt>
                <c:pt idx="957">
                  <c:v>99.96</c:v>
                </c:pt>
                <c:pt idx="958">
                  <c:v>99.41</c:v>
                </c:pt>
                <c:pt idx="959">
                  <c:v>98.5</c:v>
                </c:pt>
                <c:pt idx="960">
                  <c:v>98.09</c:v>
                </c:pt>
                <c:pt idx="961">
                  <c:v>96.37</c:v>
                </c:pt>
                <c:pt idx="962">
                  <c:v>97.6</c:v>
                </c:pt>
                <c:pt idx="963">
                  <c:v>97.75</c:v>
                </c:pt>
                <c:pt idx="964">
                  <c:v>98.45</c:v>
                </c:pt>
                <c:pt idx="965">
                  <c:v>98.79</c:v>
                </c:pt>
                <c:pt idx="966">
                  <c:v>99.48</c:v>
                </c:pt>
                <c:pt idx="967">
                  <c:v>99.07</c:v>
                </c:pt>
                <c:pt idx="968">
                  <c:v>98.46</c:v>
                </c:pt>
                <c:pt idx="969">
                  <c:v>97.3</c:v>
                </c:pt>
                <c:pt idx="970">
                  <c:v>97.86</c:v>
                </c:pt>
                <c:pt idx="971">
                  <c:v>98.98</c:v>
                </c:pt>
                <c:pt idx="972">
                  <c:v>97.84</c:v>
                </c:pt>
                <c:pt idx="973">
                  <c:v>100</c:v>
                </c:pt>
                <c:pt idx="974">
                  <c:v>102.26</c:v>
                </c:pt>
                <c:pt idx="975">
                  <c:v>103.3</c:v>
                </c:pt>
                <c:pt idx="976">
                  <c:v>101.35</c:v>
                </c:pt>
                <c:pt idx="977">
                  <c:v>99.71</c:v>
                </c:pt>
                <c:pt idx="978">
                  <c:v>98.19</c:v>
                </c:pt>
                <c:pt idx="979">
                  <c:v>99.61</c:v>
                </c:pt>
                <c:pt idx="980">
                  <c:v>97.82</c:v>
                </c:pt>
                <c:pt idx="981">
                  <c:v>98.33</c:v>
                </c:pt>
                <c:pt idx="982">
                  <c:v>98.64</c:v>
                </c:pt>
                <c:pt idx="983">
                  <c:v>97.52</c:v>
                </c:pt>
                <c:pt idx="984">
                  <c:v>97.44</c:v>
                </c:pt>
                <c:pt idx="985">
                  <c:v>96.91</c:v>
                </c:pt>
                <c:pt idx="986">
                  <c:v>97.57</c:v>
                </c:pt>
                <c:pt idx="987">
                  <c:v>98.68</c:v>
                </c:pt>
                <c:pt idx="988">
                  <c:v>96.28</c:v>
                </c:pt>
                <c:pt idx="989">
                  <c:v>96.14</c:v>
                </c:pt>
                <c:pt idx="990">
                  <c:v>93.17</c:v>
                </c:pt>
                <c:pt idx="991">
                  <c:v>93.77</c:v>
                </c:pt>
                <c:pt idx="992">
                  <c:v>93.35</c:v>
                </c:pt>
                <c:pt idx="993">
                  <c:v>94.12</c:v>
                </c:pt>
                <c:pt idx="994">
                  <c:v>92.68</c:v>
                </c:pt>
                <c:pt idx="995">
                  <c:v>91.54</c:v>
                </c:pt>
                <c:pt idx="996">
                  <c:v>89.97</c:v>
                </c:pt>
                <c:pt idx="997">
                  <c:v>90.41</c:v>
                </c:pt>
                <c:pt idx="998">
                  <c:v>90.43</c:v>
                </c:pt>
                <c:pt idx="999">
                  <c:v>90.9</c:v>
                </c:pt>
                <c:pt idx="1000">
                  <c:v>92.82</c:v>
                </c:pt>
                <c:pt idx="1001">
                  <c:v>92.84</c:v>
                </c:pt>
                <c:pt idx="1002">
                  <c:v>89.4</c:v>
                </c:pt>
                <c:pt idx="1003">
                  <c:v>90.11</c:v>
                </c:pt>
                <c:pt idx="1004">
                  <c:v>89.2</c:v>
                </c:pt>
                <c:pt idx="1005">
                  <c:v>89.29</c:v>
                </c:pt>
                <c:pt idx="1006">
                  <c:v>90.2</c:v>
                </c:pt>
                <c:pt idx="1007">
                  <c:v>90.7</c:v>
                </c:pt>
                <c:pt idx="1008">
                  <c:v>91.58</c:v>
                </c:pt>
                <c:pt idx="1009">
                  <c:v>92.66</c:v>
                </c:pt>
                <c:pt idx="1010">
                  <c:v>89</c:v>
                </c:pt>
                <c:pt idx="1011">
                  <c:v>87.02</c:v>
                </c:pt>
                <c:pt idx="1012">
                  <c:v>86.77</c:v>
                </c:pt>
                <c:pt idx="1013">
                  <c:v>86.51</c:v>
                </c:pt>
                <c:pt idx="1014">
                  <c:v>89.54</c:v>
                </c:pt>
                <c:pt idx="1015">
                  <c:v>93.03</c:v>
                </c:pt>
                <c:pt idx="1016">
                  <c:v>88.48</c:v>
                </c:pt>
                <c:pt idx="1017">
                  <c:v>88.17</c:v>
                </c:pt>
                <c:pt idx="1018">
                  <c:v>90</c:v>
                </c:pt>
                <c:pt idx="1019">
                  <c:v>90.93</c:v>
                </c:pt>
                <c:pt idx="1020">
                  <c:v>88.97</c:v>
                </c:pt>
                <c:pt idx="1021">
                  <c:v>90.49</c:v>
                </c:pt>
                <c:pt idx="1022">
                  <c:v>89.8</c:v>
                </c:pt>
                <c:pt idx="1023">
                  <c:v>88.17</c:v>
                </c:pt>
                <c:pt idx="1024">
                  <c:v>87.32</c:v>
                </c:pt>
                <c:pt idx="1025">
                  <c:v>86.71</c:v>
                </c:pt>
                <c:pt idx="1026">
                  <c:v>87.07</c:v>
                </c:pt>
                <c:pt idx="1027">
                  <c:v>88.4</c:v>
                </c:pt>
                <c:pt idx="1028">
                  <c:v>87.6</c:v>
                </c:pt>
                <c:pt idx="1029">
                  <c:v>88.56</c:v>
                </c:pt>
                <c:pt idx="1030">
                  <c:v>87.48</c:v>
                </c:pt>
                <c:pt idx="1031">
                  <c:v>86.01</c:v>
                </c:pt>
                <c:pt idx="1032">
                  <c:v>85.2</c:v>
                </c:pt>
                <c:pt idx="1033">
                  <c:v>85.55</c:v>
                </c:pt>
                <c:pt idx="1034">
                  <c:v>85.32</c:v>
                </c:pt>
                <c:pt idx="1035">
                  <c:v>86.85</c:v>
                </c:pt>
                <c:pt idx="1036">
                  <c:v>89.37</c:v>
                </c:pt>
                <c:pt idx="1037">
                  <c:v>88.03</c:v>
                </c:pt>
                <c:pt idx="1038">
                  <c:v>85.85</c:v>
                </c:pt>
                <c:pt idx="1039">
                  <c:v>85.8</c:v>
                </c:pt>
                <c:pt idx="1040">
                  <c:v>86.17</c:v>
                </c:pt>
                <c:pt idx="1041">
                  <c:v>83.62</c:v>
                </c:pt>
                <c:pt idx="1042">
                  <c:v>84.77</c:v>
                </c:pt>
                <c:pt idx="1043">
                  <c:v>84.28</c:v>
                </c:pt>
                <c:pt idx="1044">
                  <c:v>84.19</c:v>
                </c:pt>
                <c:pt idx="1045">
                  <c:v>83.27</c:v>
                </c:pt>
                <c:pt idx="1046">
                  <c:v>84.31</c:v>
                </c:pt>
                <c:pt idx="1047">
                  <c:v>82.8</c:v>
                </c:pt>
                <c:pt idx="1048">
                  <c:v>83.21</c:v>
                </c:pt>
                <c:pt idx="1049">
                  <c:v>82.21</c:v>
                </c:pt>
                <c:pt idx="1050">
                  <c:v>81.900000000000006</c:v>
                </c:pt>
                <c:pt idx="1051">
                  <c:v>84.53</c:v>
                </c:pt>
                <c:pt idx="1052">
                  <c:v>83.92</c:v>
                </c:pt>
                <c:pt idx="1053">
                  <c:v>85.63</c:v>
                </c:pt>
                <c:pt idx="1054">
                  <c:v>84.73</c:v>
                </c:pt>
                <c:pt idx="1055">
                  <c:v>85.24</c:v>
                </c:pt>
                <c:pt idx="1056">
                  <c:v>86.78</c:v>
                </c:pt>
                <c:pt idx="1057">
                  <c:v>85.09</c:v>
                </c:pt>
                <c:pt idx="1058">
                  <c:v>86.86</c:v>
                </c:pt>
                <c:pt idx="1059">
                  <c:v>85.86</c:v>
                </c:pt>
                <c:pt idx="1060">
                  <c:v>83.78</c:v>
                </c:pt>
                <c:pt idx="1061">
                  <c:v>85.05</c:v>
                </c:pt>
                <c:pt idx="1062">
                  <c:v>86.48</c:v>
                </c:pt>
                <c:pt idx="1063">
                  <c:v>85.94</c:v>
                </c:pt>
                <c:pt idx="1064">
                  <c:v>84.89</c:v>
                </c:pt>
                <c:pt idx="1065">
                  <c:v>88.07</c:v>
                </c:pt>
                <c:pt idx="1066">
                  <c:v>88.01</c:v>
                </c:pt>
                <c:pt idx="1067">
                  <c:v>86.79</c:v>
                </c:pt>
                <c:pt idx="1068">
                  <c:v>89.17</c:v>
                </c:pt>
                <c:pt idx="1069">
                  <c:v>91.1</c:v>
                </c:pt>
                <c:pt idx="1070">
                  <c:v>91.07</c:v>
                </c:pt>
                <c:pt idx="1071">
                  <c:v>91.1</c:v>
                </c:pt>
                <c:pt idx="1072">
                  <c:v>90.94</c:v>
                </c:pt>
                <c:pt idx="1073">
                  <c:v>89.78</c:v>
                </c:pt>
                <c:pt idx="1074">
                  <c:v>88.7</c:v>
                </c:pt>
                <c:pt idx="1075">
                  <c:v>90.09</c:v>
                </c:pt>
                <c:pt idx="1076">
                  <c:v>90.41</c:v>
                </c:pt>
                <c:pt idx="1077">
                  <c:v>88.62</c:v>
                </c:pt>
                <c:pt idx="1078">
                  <c:v>89.91</c:v>
                </c:pt>
                <c:pt idx="1079">
                  <c:v>86.74</c:v>
                </c:pt>
                <c:pt idx="1080">
                  <c:v>75.2</c:v>
                </c:pt>
                <c:pt idx="1081">
                  <c:v>75.53</c:v>
                </c:pt>
                <c:pt idx="1082">
                  <c:v>78.599999999999994</c:v>
                </c:pt>
                <c:pt idx="1083">
                  <c:v>79.41</c:v>
                </c:pt>
                <c:pt idx="1084">
                  <c:v>78.86</c:v>
                </c:pt>
                <c:pt idx="1085">
                  <c:v>74.819999999999993</c:v>
                </c:pt>
                <c:pt idx="1086">
                  <c:v>72.64</c:v>
                </c:pt>
                <c:pt idx="1087">
                  <c:v>70.3</c:v>
                </c:pt>
                <c:pt idx="1088">
                  <c:v>71.489999999999995</c:v>
                </c:pt>
                <c:pt idx="1089">
                  <c:v>73.77</c:v>
                </c:pt>
                <c:pt idx="1090">
                  <c:v>73.13</c:v>
                </c:pt>
                <c:pt idx="1091">
                  <c:v>73.790000000000006</c:v>
                </c:pt>
                <c:pt idx="1092">
                  <c:v>73.48</c:v>
                </c:pt>
                <c:pt idx="1093">
                  <c:v>73.56</c:v>
                </c:pt>
                <c:pt idx="1094">
                  <c:v>75.67</c:v>
                </c:pt>
                <c:pt idx="1095">
                  <c:v>74.62</c:v>
                </c:pt>
                <c:pt idx="1096">
                  <c:v>74.83</c:v>
                </c:pt>
                <c:pt idx="1097">
                  <c:v>74.87</c:v>
                </c:pt>
                <c:pt idx="1098">
                  <c:v>72.45</c:v>
                </c:pt>
                <c:pt idx="1099">
                  <c:v>73.61</c:v>
                </c:pt>
                <c:pt idx="1100">
                  <c:v>74.37</c:v>
                </c:pt>
                <c:pt idx="1101">
                  <c:v>75.73</c:v>
                </c:pt>
                <c:pt idx="1102">
                  <c:v>62.22</c:v>
                </c:pt>
                <c:pt idx="1103">
                  <c:v>60.44</c:v>
                </c:pt>
                <c:pt idx="1104">
                  <c:v>61.23</c:v>
                </c:pt>
                <c:pt idx="1105">
                  <c:v>56.17</c:v>
                </c:pt>
                <c:pt idx="1106">
                  <c:v>63.65</c:v>
                </c:pt>
                <c:pt idx="1107">
                  <c:v>59.75</c:v>
                </c:pt>
                <c:pt idx="1108">
                  <c:v>60.43</c:v>
                </c:pt>
                <c:pt idx="1109">
                  <c:v>61.76</c:v>
                </c:pt>
                <c:pt idx="1110">
                  <c:v>61.14</c:v>
                </c:pt>
                <c:pt idx="1111">
                  <c:v>59.63</c:v>
                </c:pt>
                <c:pt idx="1112">
                  <c:v>61.97</c:v>
                </c:pt>
                <c:pt idx="1113">
                  <c:v>62.11</c:v>
                </c:pt>
                <c:pt idx="1114">
                  <c:v>63.38</c:v>
                </c:pt>
                <c:pt idx="1115">
                  <c:v>63.47</c:v>
                </c:pt>
                <c:pt idx="1116">
                  <c:v>66</c:v>
                </c:pt>
                <c:pt idx="1117">
                  <c:v>67.709999999999994</c:v>
                </c:pt>
                <c:pt idx="1118">
                  <c:v>67.48</c:v>
                </c:pt>
                <c:pt idx="1119">
                  <c:v>66.680000000000007</c:v>
                </c:pt>
                <c:pt idx="1120">
                  <c:v>66.69</c:v>
                </c:pt>
                <c:pt idx="1121">
                  <c:v>67.040000000000006</c:v>
                </c:pt>
                <c:pt idx="1122">
                  <c:v>68.069999999999993</c:v>
                </c:pt>
                <c:pt idx="1123">
                  <c:v>67.66</c:v>
                </c:pt>
                <c:pt idx="1124">
                  <c:v>66.680000000000007</c:v>
                </c:pt>
                <c:pt idx="1125">
                  <c:v>68.38</c:v>
                </c:pt>
                <c:pt idx="1126">
                  <c:v>69.42</c:v>
                </c:pt>
                <c:pt idx="1127">
                  <c:v>68.849999999999994</c:v>
                </c:pt>
                <c:pt idx="1128">
                  <c:v>73.37</c:v>
                </c:pt>
                <c:pt idx="1129">
                  <c:v>73.77</c:v>
                </c:pt>
                <c:pt idx="1130">
                  <c:v>73.39</c:v>
                </c:pt>
                <c:pt idx="1131">
                  <c:v>72.84</c:v>
                </c:pt>
                <c:pt idx="1132">
                  <c:v>73.8</c:v>
                </c:pt>
                <c:pt idx="1133">
                  <c:v>71.599999999999994</c:v>
                </c:pt>
                <c:pt idx="1134">
                  <c:v>71.150000000000006</c:v>
                </c:pt>
                <c:pt idx="1135">
                  <c:v>70.150000000000006</c:v>
                </c:pt>
                <c:pt idx="1136">
                  <c:v>70.760000000000005</c:v>
                </c:pt>
                <c:pt idx="1137">
                  <c:v>69.92</c:v>
                </c:pt>
                <c:pt idx="1138">
                  <c:v>72.22</c:v>
                </c:pt>
                <c:pt idx="1139">
                  <c:v>71.52</c:v>
                </c:pt>
                <c:pt idx="1140">
                  <c:v>66.319999999999993</c:v>
                </c:pt>
                <c:pt idx="1141">
                  <c:v>66.28</c:v>
                </c:pt>
                <c:pt idx="1142">
                  <c:v>68.27</c:v>
                </c:pt>
                <c:pt idx="1143">
                  <c:v>69.84</c:v>
                </c:pt>
                <c:pt idx="1144">
                  <c:v>69.67</c:v>
                </c:pt>
                <c:pt idx="1145">
                  <c:v>70.459999999999994</c:v>
                </c:pt>
                <c:pt idx="1146">
                  <c:v>73.02</c:v>
                </c:pt>
                <c:pt idx="1147">
                  <c:v>72.75</c:v>
                </c:pt>
                <c:pt idx="1148">
                  <c:v>74.91</c:v>
                </c:pt>
                <c:pt idx="1149">
                  <c:v>72.650000000000006</c:v>
                </c:pt>
                <c:pt idx="1150">
                  <c:v>72.540000000000006</c:v>
                </c:pt>
                <c:pt idx="1151">
                  <c:v>69.599999999999994</c:v>
                </c:pt>
                <c:pt idx="1152">
                  <c:v>71.23</c:v>
                </c:pt>
                <c:pt idx="1153">
                  <c:v>69.39</c:v>
                </c:pt>
                <c:pt idx="1154">
                  <c:v>67.760000000000005</c:v>
                </c:pt>
                <c:pt idx="1155">
                  <c:v>67.52</c:v>
                </c:pt>
                <c:pt idx="1156">
                  <c:v>66.37</c:v>
                </c:pt>
                <c:pt idx="1157">
                  <c:v>68.84</c:v>
                </c:pt>
                <c:pt idx="1158">
                  <c:v>68</c:v>
                </c:pt>
                <c:pt idx="1159">
                  <c:v>68.430000000000007</c:v>
                </c:pt>
                <c:pt idx="1160">
                  <c:v>68.22</c:v>
                </c:pt>
                <c:pt idx="1161">
                  <c:v>67.13</c:v>
                </c:pt>
                <c:pt idx="1162">
                  <c:v>70.650000000000006</c:v>
                </c:pt>
                <c:pt idx="1163">
                  <c:v>71.59</c:v>
                </c:pt>
                <c:pt idx="1164">
                  <c:v>72.099999999999994</c:v>
                </c:pt>
                <c:pt idx="1165">
                  <c:v>70.510000000000005</c:v>
                </c:pt>
                <c:pt idx="1166">
                  <c:v>72.239999999999995</c:v>
                </c:pt>
                <c:pt idx="1167">
                  <c:v>72.459999999999994</c:v>
                </c:pt>
                <c:pt idx="1168">
                  <c:v>73.72</c:v>
                </c:pt>
                <c:pt idx="1169">
                  <c:v>71.790000000000006</c:v>
                </c:pt>
                <c:pt idx="1170">
                  <c:v>70.95</c:v>
                </c:pt>
                <c:pt idx="1171">
                  <c:v>68.87</c:v>
                </c:pt>
                <c:pt idx="1172">
                  <c:v>66.849999999999994</c:v>
                </c:pt>
                <c:pt idx="1173">
                  <c:v>67.67</c:v>
                </c:pt>
                <c:pt idx="1174">
                  <c:v>67.55</c:v>
                </c:pt>
                <c:pt idx="1175">
                  <c:v>66.19</c:v>
                </c:pt>
                <c:pt idx="1176">
                  <c:v>68.150000000000006</c:v>
                </c:pt>
                <c:pt idx="1177">
                  <c:v>68.459999999999994</c:v>
                </c:pt>
                <c:pt idx="1178">
                  <c:v>67.290000000000006</c:v>
                </c:pt>
                <c:pt idx="1179">
                  <c:v>67.44</c:v>
                </c:pt>
                <c:pt idx="1180">
                  <c:v>67.790000000000006</c:v>
                </c:pt>
                <c:pt idx="1181">
                  <c:v>66.44</c:v>
                </c:pt>
                <c:pt idx="1182">
                  <c:v>65.790000000000006</c:v>
                </c:pt>
                <c:pt idx="1183">
                  <c:v>65.06</c:v>
                </c:pt>
                <c:pt idx="1184">
                  <c:v>64.12</c:v>
                </c:pt>
                <c:pt idx="1185">
                  <c:v>66.22</c:v>
                </c:pt>
                <c:pt idx="1186">
                  <c:v>66.98</c:v>
                </c:pt>
                <c:pt idx="1187">
                  <c:v>67.430000000000007</c:v>
                </c:pt>
                <c:pt idx="1188">
                  <c:v>67.55</c:v>
                </c:pt>
                <c:pt idx="1189">
                  <c:v>68.97</c:v>
                </c:pt>
                <c:pt idx="1190">
                  <c:v>68.59</c:v>
                </c:pt>
                <c:pt idx="1191">
                  <c:v>70.239999999999995</c:v>
                </c:pt>
                <c:pt idx="1192">
                  <c:v>72.73</c:v>
                </c:pt>
                <c:pt idx="1193">
                  <c:v>71.739999999999995</c:v>
                </c:pt>
                <c:pt idx="1194">
                  <c:v>71.63</c:v>
                </c:pt>
                <c:pt idx="1195">
                  <c:v>71.8</c:v>
                </c:pt>
                <c:pt idx="1196">
                  <c:v>74.099999999999994</c:v>
                </c:pt>
                <c:pt idx="1197">
                  <c:v>72.27</c:v>
                </c:pt>
                <c:pt idx="1198">
                  <c:v>72.39</c:v>
                </c:pt>
                <c:pt idx="1199">
                  <c:v>75.39</c:v>
                </c:pt>
                <c:pt idx="1200">
                  <c:v>74.319999999999993</c:v>
                </c:pt>
                <c:pt idx="1201">
                  <c:v>73.67</c:v>
                </c:pt>
                <c:pt idx="1202">
                  <c:v>75.45</c:v>
                </c:pt>
                <c:pt idx="1203">
                  <c:v>72.66</c:v>
                </c:pt>
                <c:pt idx="1204">
                  <c:v>73.64</c:v>
                </c:pt>
                <c:pt idx="1205">
                  <c:v>74.459999999999994</c:v>
                </c:pt>
                <c:pt idx="1206">
                  <c:v>74.89</c:v>
                </c:pt>
                <c:pt idx="1207">
                  <c:v>77.05</c:v>
                </c:pt>
                <c:pt idx="1208">
                  <c:v>76.17</c:v>
                </c:pt>
                <c:pt idx="1209">
                  <c:v>77.59</c:v>
                </c:pt>
                <c:pt idx="1210">
                  <c:v>77.02</c:v>
                </c:pt>
                <c:pt idx="1211">
                  <c:v>76.61</c:v>
                </c:pt>
                <c:pt idx="1212">
                  <c:v>78.459999999999994</c:v>
                </c:pt>
                <c:pt idx="1213">
                  <c:v>75.87</c:v>
                </c:pt>
                <c:pt idx="1214">
                  <c:v>74.55</c:v>
                </c:pt>
                <c:pt idx="1215">
                  <c:v>74.040000000000006</c:v>
                </c:pt>
                <c:pt idx="1216">
                  <c:v>74.52</c:v>
                </c:pt>
                <c:pt idx="1217">
                  <c:v>73.73</c:v>
                </c:pt>
                <c:pt idx="1218">
                  <c:v>72.23</c:v>
                </c:pt>
                <c:pt idx="1219">
                  <c:v>72.33</c:v>
                </c:pt>
                <c:pt idx="1220">
                  <c:v>73.010000000000005</c:v>
                </c:pt>
                <c:pt idx="1221">
                  <c:v>74.17</c:v>
                </c:pt>
                <c:pt idx="1222">
                  <c:v>74.19</c:v>
                </c:pt>
                <c:pt idx="1223">
                  <c:v>76.150000000000006</c:v>
                </c:pt>
                <c:pt idx="1224">
                  <c:v>75.66</c:v>
                </c:pt>
                <c:pt idx="1225">
                  <c:v>75.62</c:v>
                </c:pt>
                <c:pt idx="1226">
                  <c:v>77.349999999999994</c:v>
                </c:pt>
                <c:pt idx="1227">
                  <c:v>76.62</c:v>
                </c:pt>
                <c:pt idx="1228">
                  <c:v>76.86</c:v>
                </c:pt>
                <c:pt idx="1229">
                  <c:v>75.599999999999994</c:v>
                </c:pt>
                <c:pt idx="1230">
                  <c:v>75.23</c:v>
                </c:pt>
                <c:pt idx="1231">
                  <c:v>76.95</c:v>
                </c:pt>
                <c:pt idx="1232">
                  <c:v>75.23</c:v>
                </c:pt>
                <c:pt idx="1233">
                  <c:v>70.430000000000007</c:v>
                </c:pt>
                <c:pt idx="1234">
                  <c:v>77.45</c:v>
                </c:pt>
                <c:pt idx="1235">
                  <c:v>77.209999999999994</c:v>
                </c:pt>
                <c:pt idx="1236">
                  <c:v>78.41</c:v>
                </c:pt>
                <c:pt idx="1237">
                  <c:v>78.540000000000006</c:v>
                </c:pt>
                <c:pt idx="1238">
                  <c:v>79.709999999999994</c:v>
                </c:pt>
                <c:pt idx="1239">
                  <c:v>81.010000000000005</c:v>
                </c:pt>
                <c:pt idx="1240">
                  <c:v>82.66</c:v>
                </c:pt>
                <c:pt idx="1241">
                  <c:v>81.37</c:v>
                </c:pt>
                <c:pt idx="1242">
                  <c:v>82.43</c:v>
                </c:pt>
                <c:pt idx="1243">
                  <c:v>83.26</c:v>
                </c:pt>
                <c:pt idx="1244" formatCode="_([$$-409]* #,##0.00_);_([$$-409]* \(#,##0.00\);_([$$-409]* &quot;-&quot;??_);_(@_)">
                  <c:v>82.88</c:v>
                </c:pt>
                <c:pt idx="1245" formatCode="_([$$-409]* #,##0.00_);_([$$-409]* \(#,##0.00\);_([$$-409]* &quot;-&quot;??_);_(@_)">
                  <c:v>83.86</c:v>
                </c:pt>
                <c:pt idx="1246" formatCode="_([$$-409]* #,##0.00_);_([$$-409]* \(#,##0.00\);_([$$-409]* &quot;-&quot;??_);_(@_)">
                  <c:v>84</c:v>
                </c:pt>
                <c:pt idx="1247" formatCode="_([$$-409]* #,##0.00_);_([$$-409]* \(#,##0.00\);_([$$-409]* &quot;-&quot;??_);_(@_)">
                  <c:v>83.18</c:v>
                </c:pt>
                <c:pt idx="1248" formatCode="_([$$-409]* #,##0.00_);_([$$-409]* \(#,##0.00\);_([$$-409]* &quot;-&quot;??_);_(@_)">
                  <c:v>82.14</c:v>
                </c:pt>
                <c:pt idx="1249" formatCode="_([$$-409]* #,##0.00_);_([$$-409]* \(#,##0.00\);_([$$-409]* &quot;-&quot;??_);_(@_)">
                  <c:v>81.52</c:v>
                </c:pt>
                <c:pt idx="1250" formatCode="_([$$-409]* #,##0.00_);_([$$-409]* \(#,##0.00\);_([$$-409]* &quot;-&quot;??_);_(@_)">
                  <c:v>79.37</c:v>
                </c:pt>
                <c:pt idx="1251" formatCode="_([$$-409]* #,##0.00_);_([$$-409]* \(#,##0.00\);_([$$-409]* &quot;-&quot;??_);_(@_)">
                  <c:v>80.88</c:v>
                </c:pt>
                <c:pt idx="1252" formatCode="_([$$-409]* #,##0.00_);_([$$-409]* \(#,##0.00\);_([$$-409]* &quot;-&quot;??_);_(@_)">
                  <c:v>78.67</c:v>
                </c:pt>
                <c:pt idx="1253" formatCode="_([$$-409]* #,##0.00_);_([$$-409]* \(#,##0.00\);_([$$-409]* &quot;-&quot;??_);_(@_)">
                  <c:v>79.03</c:v>
                </c:pt>
                <c:pt idx="1254" formatCode="_([$$-409]* #,##0.00_);_([$$-409]* \(#,##0.00\);_([$$-409]* &quot;-&quot;??_);_(@_)">
                  <c:v>78.150000000000006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EF-432B-AA14-EE1DDA86E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3606544"/>
        <c:axId val="1623607984"/>
      </c:lineChart>
      <c:lineChart>
        <c:grouping val="standard"/>
        <c:varyColors val="0"/>
        <c:ser>
          <c:idx val="1"/>
          <c:order val="1"/>
          <c:tx>
            <c:v>Vol.</c:v>
          </c:tx>
          <c:spPr>
            <a:ln w="28575" cap="rnd">
              <a:solidFill>
                <a:srgbClr val="F6F10B"/>
              </a:solidFill>
              <a:round/>
            </a:ln>
            <a:effectLst/>
          </c:spPr>
          <c:marker>
            <c:symbol val="none"/>
          </c:marker>
          <c:cat>
            <c:numRef>
              <c:f>'One Pager'!$I$21:$I$1275</c:f>
              <c:numCache>
                <c:formatCode>General</c:formatCode>
                <c:ptCount val="1255"/>
                <c:pt idx="11" formatCode="m/d/yy">
                  <c:v>44162</c:v>
                </c:pt>
                <c:pt idx="12" formatCode="m/d/yy">
                  <c:v>44165</c:v>
                </c:pt>
                <c:pt idx="13" formatCode="m/d/yy">
                  <c:v>44166</c:v>
                </c:pt>
                <c:pt idx="14" formatCode="m/d/yy">
                  <c:v>44167</c:v>
                </c:pt>
                <c:pt idx="15" formatCode="m/d/yy">
                  <c:v>44168</c:v>
                </c:pt>
                <c:pt idx="16" formatCode="m/d/yy">
                  <c:v>44169</c:v>
                </c:pt>
                <c:pt idx="17" formatCode="m/d/yy">
                  <c:v>44172</c:v>
                </c:pt>
                <c:pt idx="18" formatCode="m/d/yy">
                  <c:v>44173</c:v>
                </c:pt>
                <c:pt idx="19" formatCode="m/d/yy">
                  <c:v>44174</c:v>
                </c:pt>
                <c:pt idx="20" formatCode="m/d/yy">
                  <c:v>44175</c:v>
                </c:pt>
                <c:pt idx="21" formatCode="m/d/yy">
                  <c:v>44176</c:v>
                </c:pt>
                <c:pt idx="22" formatCode="m/d/yy">
                  <c:v>44179</c:v>
                </c:pt>
                <c:pt idx="23" formatCode="m/d/yy">
                  <c:v>44180</c:v>
                </c:pt>
                <c:pt idx="24" formatCode="m/d/yy">
                  <c:v>44181</c:v>
                </c:pt>
                <c:pt idx="25" formatCode="m/d/yy">
                  <c:v>44182</c:v>
                </c:pt>
                <c:pt idx="26" formatCode="m/d/yy">
                  <c:v>44183</c:v>
                </c:pt>
                <c:pt idx="27" formatCode="m/d/yy">
                  <c:v>44186</c:v>
                </c:pt>
                <c:pt idx="28" formatCode="m/d/yy">
                  <c:v>44187</c:v>
                </c:pt>
                <c:pt idx="29" formatCode="m/d/yy">
                  <c:v>44188</c:v>
                </c:pt>
                <c:pt idx="30" formatCode="m/d/yy">
                  <c:v>44189</c:v>
                </c:pt>
                <c:pt idx="31" formatCode="m/d/yy">
                  <c:v>44193</c:v>
                </c:pt>
                <c:pt idx="32" formatCode="m/d/yy">
                  <c:v>44194</c:v>
                </c:pt>
                <c:pt idx="33" formatCode="m/d/yy">
                  <c:v>44195</c:v>
                </c:pt>
                <c:pt idx="34" formatCode="m/d/yy">
                  <c:v>44196</c:v>
                </c:pt>
                <c:pt idx="35" formatCode="m/d/yy">
                  <c:v>44200</c:v>
                </c:pt>
                <c:pt idx="36" formatCode="m/d/yy">
                  <c:v>44201</c:v>
                </c:pt>
                <c:pt idx="37" formatCode="m/d/yy">
                  <c:v>44202</c:v>
                </c:pt>
                <c:pt idx="38" formatCode="m/d/yy">
                  <c:v>44203</c:v>
                </c:pt>
                <c:pt idx="39" formatCode="m/d/yy">
                  <c:v>44204</c:v>
                </c:pt>
                <c:pt idx="40" formatCode="m/d/yy">
                  <c:v>44207</c:v>
                </c:pt>
                <c:pt idx="41" formatCode="m/d/yy">
                  <c:v>44208</c:v>
                </c:pt>
                <c:pt idx="42" formatCode="m/d/yy">
                  <c:v>44209</c:v>
                </c:pt>
                <c:pt idx="43" formatCode="m/d/yy">
                  <c:v>44210</c:v>
                </c:pt>
                <c:pt idx="44" formatCode="m/d/yy">
                  <c:v>44211</c:v>
                </c:pt>
                <c:pt idx="45" formatCode="m/d/yy">
                  <c:v>44215</c:v>
                </c:pt>
                <c:pt idx="46" formatCode="m/d/yy">
                  <c:v>44216</c:v>
                </c:pt>
                <c:pt idx="47" formatCode="m/d/yy">
                  <c:v>44217</c:v>
                </c:pt>
                <c:pt idx="48" formatCode="m/d/yy">
                  <c:v>44218</c:v>
                </c:pt>
                <c:pt idx="49" formatCode="m/d/yy">
                  <c:v>44221</c:v>
                </c:pt>
                <c:pt idx="50" formatCode="m/d/yy">
                  <c:v>44222</c:v>
                </c:pt>
                <c:pt idx="51" formatCode="m/d/yy">
                  <c:v>44223</c:v>
                </c:pt>
                <c:pt idx="52" formatCode="m/d/yy">
                  <c:v>44224</c:v>
                </c:pt>
                <c:pt idx="53" formatCode="m/d/yy">
                  <c:v>44225</c:v>
                </c:pt>
                <c:pt idx="54" formatCode="m/d/yy">
                  <c:v>44228</c:v>
                </c:pt>
                <c:pt idx="55" formatCode="m/d/yy">
                  <c:v>44229</c:v>
                </c:pt>
                <c:pt idx="56" formatCode="m/d/yy">
                  <c:v>44230</c:v>
                </c:pt>
                <c:pt idx="57" formatCode="m/d/yy">
                  <c:v>44231</c:v>
                </c:pt>
                <c:pt idx="58" formatCode="m/d/yy">
                  <c:v>44232</c:v>
                </c:pt>
                <c:pt idx="59" formatCode="m/d/yy">
                  <c:v>44235</c:v>
                </c:pt>
                <c:pt idx="60" formatCode="m/d/yy">
                  <c:v>44236</c:v>
                </c:pt>
                <c:pt idx="61" formatCode="m/d/yy">
                  <c:v>44237</c:v>
                </c:pt>
                <c:pt idx="62" formatCode="m/d/yy">
                  <c:v>44238</c:v>
                </c:pt>
                <c:pt idx="63" formatCode="m/d/yy">
                  <c:v>44239</c:v>
                </c:pt>
                <c:pt idx="64" formatCode="m/d/yy">
                  <c:v>44243</c:v>
                </c:pt>
                <c:pt idx="65" formatCode="m/d/yy">
                  <c:v>44244</c:v>
                </c:pt>
                <c:pt idx="66" formatCode="m/d/yy">
                  <c:v>44245</c:v>
                </c:pt>
                <c:pt idx="67" formatCode="m/d/yy">
                  <c:v>44246</c:v>
                </c:pt>
                <c:pt idx="68" formatCode="m/d/yy">
                  <c:v>44249</c:v>
                </c:pt>
                <c:pt idx="69" formatCode="m/d/yy">
                  <c:v>44250</c:v>
                </c:pt>
                <c:pt idx="70" formatCode="m/d/yy">
                  <c:v>44251</c:v>
                </c:pt>
                <c:pt idx="71" formatCode="m/d/yy">
                  <c:v>44252</c:v>
                </c:pt>
                <c:pt idx="72" formatCode="m/d/yy">
                  <c:v>44253</c:v>
                </c:pt>
                <c:pt idx="73" formatCode="m/d/yy">
                  <c:v>44256</c:v>
                </c:pt>
                <c:pt idx="74" formatCode="m/d/yy">
                  <c:v>44257</c:v>
                </c:pt>
                <c:pt idx="75" formatCode="m/d/yy">
                  <c:v>44258</c:v>
                </c:pt>
                <c:pt idx="76" formatCode="m/d/yy">
                  <c:v>44259</c:v>
                </c:pt>
                <c:pt idx="77" formatCode="m/d/yy">
                  <c:v>44260</c:v>
                </c:pt>
                <c:pt idx="78" formatCode="m/d/yy">
                  <c:v>44263</c:v>
                </c:pt>
                <c:pt idx="79" formatCode="m/d/yy">
                  <c:v>44264</c:v>
                </c:pt>
                <c:pt idx="80" formatCode="m/d/yy">
                  <c:v>44265</c:v>
                </c:pt>
                <c:pt idx="81" formatCode="m/d/yy">
                  <c:v>44266</c:v>
                </c:pt>
                <c:pt idx="82" formatCode="m/d/yy">
                  <c:v>44267</c:v>
                </c:pt>
                <c:pt idx="83" formatCode="m/d/yy">
                  <c:v>44270</c:v>
                </c:pt>
                <c:pt idx="84" formatCode="m/d/yy">
                  <c:v>44271</c:v>
                </c:pt>
                <c:pt idx="85" formatCode="m/d/yy">
                  <c:v>44272</c:v>
                </c:pt>
                <c:pt idx="86" formatCode="m/d/yy">
                  <c:v>44273</c:v>
                </c:pt>
                <c:pt idx="87" formatCode="m/d/yy">
                  <c:v>44274</c:v>
                </c:pt>
                <c:pt idx="88" formatCode="m/d/yy">
                  <c:v>44277</c:v>
                </c:pt>
                <c:pt idx="89" formatCode="m/d/yy">
                  <c:v>44278</c:v>
                </c:pt>
                <c:pt idx="90" formatCode="m/d/yy">
                  <c:v>44279</c:v>
                </c:pt>
                <c:pt idx="91" formatCode="m/d/yy">
                  <c:v>44280</c:v>
                </c:pt>
                <c:pt idx="92" formatCode="m/d/yy">
                  <c:v>44281</c:v>
                </c:pt>
                <c:pt idx="93" formatCode="m/d/yy">
                  <c:v>44284</c:v>
                </c:pt>
                <c:pt idx="94" formatCode="m/d/yy">
                  <c:v>44285</c:v>
                </c:pt>
                <c:pt idx="95" formatCode="m/d/yy">
                  <c:v>44286</c:v>
                </c:pt>
                <c:pt idx="96" formatCode="m/d/yy">
                  <c:v>44287</c:v>
                </c:pt>
                <c:pt idx="97" formatCode="m/d/yy">
                  <c:v>44291</c:v>
                </c:pt>
                <c:pt idx="98" formatCode="m/d/yy">
                  <c:v>44292</c:v>
                </c:pt>
                <c:pt idx="99" formatCode="m/d/yy">
                  <c:v>44293</c:v>
                </c:pt>
                <c:pt idx="100" formatCode="m/d/yy">
                  <c:v>44294</c:v>
                </c:pt>
                <c:pt idx="101" formatCode="m/d/yy">
                  <c:v>44295</c:v>
                </c:pt>
                <c:pt idx="102" formatCode="m/d/yy">
                  <c:v>44298</c:v>
                </c:pt>
                <c:pt idx="103" formatCode="m/d/yy">
                  <c:v>44299</c:v>
                </c:pt>
                <c:pt idx="104" formatCode="m/d/yy">
                  <c:v>44300</c:v>
                </c:pt>
                <c:pt idx="105" formatCode="m/d/yy">
                  <c:v>44301</c:v>
                </c:pt>
                <c:pt idx="106" formatCode="m/d/yy">
                  <c:v>44302</c:v>
                </c:pt>
                <c:pt idx="107" formatCode="m/d/yy">
                  <c:v>44305</c:v>
                </c:pt>
                <c:pt idx="108" formatCode="m/d/yy">
                  <c:v>44306</c:v>
                </c:pt>
                <c:pt idx="109" formatCode="m/d/yy">
                  <c:v>44307</c:v>
                </c:pt>
                <c:pt idx="110" formatCode="m/d/yy">
                  <c:v>44308</c:v>
                </c:pt>
                <c:pt idx="111" formatCode="m/d/yy">
                  <c:v>44309</c:v>
                </c:pt>
                <c:pt idx="112" formatCode="m/d/yy">
                  <c:v>44312</c:v>
                </c:pt>
                <c:pt idx="113" formatCode="m/d/yy">
                  <c:v>44313</c:v>
                </c:pt>
                <c:pt idx="114" formatCode="m/d/yy">
                  <c:v>44314</c:v>
                </c:pt>
                <c:pt idx="115" formatCode="m/d/yy">
                  <c:v>44315</c:v>
                </c:pt>
                <c:pt idx="116" formatCode="m/d/yy">
                  <c:v>44316</c:v>
                </c:pt>
                <c:pt idx="117" formatCode="m/d/yy">
                  <c:v>44319</c:v>
                </c:pt>
                <c:pt idx="118" formatCode="m/d/yy">
                  <c:v>44320</c:v>
                </c:pt>
                <c:pt idx="119" formatCode="m/d/yy">
                  <c:v>44321</c:v>
                </c:pt>
                <c:pt idx="120" formatCode="m/d/yy">
                  <c:v>44322</c:v>
                </c:pt>
                <c:pt idx="121" formatCode="m/d/yy">
                  <c:v>44323</c:v>
                </c:pt>
                <c:pt idx="122" formatCode="m/d/yy">
                  <c:v>44326</c:v>
                </c:pt>
                <c:pt idx="123" formatCode="m/d/yy">
                  <c:v>44327</c:v>
                </c:pt>
                <c:pt idx="124" formatCode="m/d/yy">
                  <c:v>44328</c:v>
                </c:pt>
                <c:pt idx="125" formatCode="m/d/yy">
                  <c:v>44329</c:v>
                </c:pt>
                <c:pt idx="126" formatCode="m/d/yy">
                  <c:v>44330</c:v>
                </c:pt>
                <c:pt idx="127" formatCode="m/d/yy">
                  <c:v>44333</c:v>
                </c:pt>
                <c:pt idx="128" formatCode="m/d/yy">
                  <c:v>44334</c:v>
                </c:pt>
                <c:pt idx="129" formatCode="m/d/yy">
                  <c:v>44335</c:v>
                </c:pt>
                <c:pt idx="130" formatCode="m/d/yy">
                  <c:v>44336</c:v>
                </c:pt>
                <c:pt idx="131" formatCode="m/d/yy">
                  <c:v>44337</c:v>
                </c:pt>
                <c:pt idx="132" formatCode="m/d/yy">
                  <c:v>44340</c:v>
                </c:pt>
                <c:pt idx="133" formatCode="m/d/yy">
                  <c:v>44341</c:v>
                </c:pt>
                <c:pt idx="134" formatCode="m/d/yy">
                  <c:v>44342</c:v>
                </c:pt>
                <c:pt idx="135" formatCode="m/d/yy">
                  <c:v>44343</c:v>
                </c:pt>
                <c:pt idx="136" formatCode="m/d/yy">
                  <c:v>44344</c:v>
                </c:pt>
                <c:pt idx="137" formatCode="m/d/yy">
                  <c:v>44348</c:v>
                </c:pt>
                <c:pt idx="138" formatCode="m/d/yy">
                  <c:v>44349</c:v>
                </c:pt>
                <c:pt idx="139" formatCode="m/d/yy">
                  <c:v>44350</c:v>
                </c:pt>
                <c:pt idx="140" formatCode="m/d/yy">
                  <c:v>44351</c:v>
                </c:pt>
                <c:pt idx="141" formatCode="m/d/yy">
                  <c:v>44354</c:v>
                </c:pt>
                <c:pt idx="142" formatCode="m/d/yy">
                  <c:v>44355</c:v>
                </c:pt>
                <c:pt idx="143" formatCode="m/d/yy">
                  <c:v>44356</c:v>
                </c:pt>
                <c:pt idx="144" formatCode="m/d/yy">
                  <c:v>44357</c:v>
                </c:pt>
                <c:pt idx="145" formatCode="m/d/yy">
                  <c:v>44358</c:v>
                </c:pt>
                <c:pt idx="146" formatCode="m/d/yy">
                  <c:v>44361</c:v>
                </c:pt>
                <c:pt idx="147" formatCode="m/d/yy">
                  <c:v>44362</c:v>
                </c:pt>
                <c:pt idx="148" formatCode="m/d/yy">
                  <c:v>44363</c:v>
                </c:pt>
                <c:pt idx="149" formatCode="m/d/yy">
                  <c:v>44364</c:v>
                </c:pt>
                <c:pt idx="150" formatCode="m/d/yy">
                  <c:v>44365</c:v>
                </c:pt>
                <c:pt idx="151" formatCode="m/d/yy">
                  <c:v>44368</c:v>
                </c:pt>
                <c:pt idx="152" formatCode="m/d/yy">
                  <c:v>44369</c:v>
                </c:pt>
                <c:pt idx="153" formatCode="m/d/yy">
                  <c:v>44370</c:v>
                </c:pt>
                <c:pt idx="154" formatCode="m/d/yy">
                  <c:v>44371</c:v>
                </c:pt>
                <c:pt idx="155" formatCode="m/d/yy">
                  <c:v>44372</c:v>
                </c:pt>
                <c:pt idx="156" formatCode="m/d/yy">
                  <c:v>44375</c:v>
                </c:pt>
                <c:pt idx="157" formatCode="m/d/yy">
                  <c:v>44376</c:v>
                </c:pt>
                <c:pt idx="158" formatCode="m/d/yy">
                  <c:v>44377</c:v>
                </c:pt>
                <c:pt idx="159" formatCode="m/d/yy">
                  <c:v>44378</c:v>
                </c:pt>
                <c:pt idx="160" formatCode="m/d/yy">
                  <c:v>44379</c:v>
                </c:pt>
                <c:pt idx="161" formatCode="m/d/yy">
                  <c:v>44383</c:v>
                </c:pt>
                <c:pt idx="162" formatCode="m/d/yy">
                  <c:v>44384</c:v>
                </c:pt>
                <c:pt idx="163" formatCode="m/d/yy">
                  <c:v>44385</c:v>
                </c:pt>
                <c:pt idx="164" formatCode="m/d/yy">
                  <c:v>44386</c:v>
                </c:pt>
                <c:pt idx="165" formatCode="m/d/yy">
                  <c:v>44389</c:v>
                </c:pt>
                <c:pt idx="166" formatCode="m/d/yy">
                  <c:v>44390</c:v>
                </c:pt>
                <c:pt idx="167" formatCode="m/d/yy">
                  <c:v>44391</c:v>
                </c:pt>
                <c:pt idx="168" formatCode="m/d/yy">
                  <c:v>44392</c:v>
                </c:pt>
                <c:pt idx="169" formatCode="m/d/yy">
                  <c:v>44393</c:v>
                </c:pt>
                <c:pt idx="170" formatCode="m/d/yy">
                  <c:v>44396</c:v>
                </c:pt>
                <c:pt idx="171" formatCode="m/d/yy">
                  <c:v>44397</c:v>
                </c:pt>
                <c:pt idx="172" formatCode="m/d/yy">
                  <c:v>44398</c:v>
                </c:pt>
                <c:pt idx="173" formatCode="m/d/yy">
                  <c:v>44399</c:v>
                </c:pt>
                <c:pt idx="174" formatCode="m/d/yy">
                  <c:v>44400</c:v>
                </c:pt>
                <c:pt idx="175" formatCode="m/d/yy">
                  <c:v>44403</c:v>
                </c:pt>
                <c:pt idx="176" formatCode="m/d/yy">
                  <c:v>44404</c:v>
                </c:pt>
                <c:pt idx="177" formatCode="m/d/yy">
                  <c:v>44405</c:v>
                </c:pt>
                <c:pt idx="178" formatCode="m/d/yy">
                  <c:v>44406</c:v>
                </c:pt>
                <c:pt idx="179" formatCode="m/d/yy">
                  <c:v>44407</c:v>
                </c:pt>
                <c:pt idx="180" formatCode="m/d/yy">
                  <c:v>44410</c:v>
                </c:pt>
                <c:pt idx="181" formatCode="m/d/yy">
                  <c:v>44411</c:v>
                </c:pt>
                <c:pt idx="182" formatCode="m/d/yy">
                  <c:v>44412</c:v>
                </c:pt>
                <c:pt idx="183" formatCode="m/d/yy">
                  <c:v>44413</c:v>
                </c:pt>
                <c:pt idx="184" formatCode="m/d/yy">
                  <c:v>44414</c:v>
                </c:pt>
                <c:pt idx="185" formatCode="m/d/yy">
                  <c:v>44417</c:v>
                </c:pt>
                <c:pt idx="186" formatCode="m/d/yy">
                  <c:v>44418</c:v>
                </c:pt>
                <c:pt idx="187" formatCode="m/d/yy">
                  <c:v>44419</c:v>
                </c:pt>
                <c:pt idx="188" formatCode="m/d/yy">
                  <c:v>44420</c:v>
                </c:pt>
                <c:pt idx="189" formatCode="m/d/yy">
                  <c:v>44421</c:v>
                </c:pt>
                <c:pt idx="190" formatCode="m/d/yy">
                  <c:v>44424</c:v>
                </c:pt>
                <c:pt idx="191" formatCode="m/d/yy">
                  <c:v>44425</c:v>
                </c:pt>
                <c:pt idx="192" formatCode="m/d/yy">
                  <c:v>44426</c:v>
                </c:pt>
                <c:pt idx="193" formatCode="m/d/yy">
                  <c:v>44427</c:v>
                </c:pt>
                <c:pt idx="194" formatCode="m/d/yy">
                  <c:v>44428</c:v>
                </c:pt>
                <c:pt idx="195" formatCode="m/d/yy">
                  <c:v>44431</c:v>
                </c:pt>
                <c:pt idx="196" formatCode="m/d/yy">
                  <c:v>44432</c:v>
                </c:pt>
                <c:pt idx="197" formatCode="m/d/yy">
                  <c:v>44433</c:v>
                </c:pt>
                <c:pt idx="198" formatCode="m/d/yy">
                  <c:v>44434</c:v>
                </c:pt>
                <c:pt idx="199" formatCode="m/d/yy">
                  <c:v>44435</c:v>
                </c:pt>
                <c:pt idx="200" formatCode="m/d/yy">
                  <c:v>44438</c:v>
                </c:pt>
                <c:pt idx="201" formatCode="m/d/yy">
                  <c:v>44439</c:v>
                </c:pt>
                <c:pt idx="202" formatCode="m/d/yy">
                  <c:v>44440</c:v>
                </c:pt>
                <c:pt idx="203" formatCode="m/d/yy">
                  <c:v>44441</c:v>
                </c:pt>
                <c:pt idx="204" formatCode="m/d/yy">
                  <c:v>44442</c:v>
                </c:pt>
                <c:pt idx="205" formatCode="m/d/yy">
                  <c:v>44446</c:v>
                </c:pt>
                <c:pt idx="206" formatCode="m/d/yy">
                  <c:v>44447</c:v>
                </c:pt>
                <c:pt idx="207" formatCode="m/d/yy">
                  <c:v>44448</c:v>
                </c:pt>
                <c:pt idx="208" formatCode="m/d/yy">
                  <c:v>44449</c:v>
                </c:pt>
                <c:pt idx="209" formatCode="m/d/yy">
                  <c:v>44452</c:v>
                </c:pt>
                <c:pt idx="210" formatCode="m/d/yy">
                  <c:v>44453</c:v>
                </c:pt>
                <c:pt idx="211" formatCode="m/d/yy">
                  <c:v>44454</c:v>
                </c:pt>
                <c:pt idx="212" formatCode="m/d/yy">
                  <c:v>44455</c:v>
                </c:pt>
                <c:pt idx="213" formatCode="m/d/yy">
                  <c:v>44456</c:v>
                </c:pt>
                <c:pt idx="214" formatCode="m/d/yy">
                  <c:v>44459</c:v>
                </c:pt>
                <c:pt idx="215" formatCode="m/d/yy">
                  <c:v>44460</c:v>
                </c:pt>
                <c:pt idx="216" formatCode="m/d/yy">
                  <c:v>44461</c:v>
                </c:pt>
                <c:pt idx="217" formatCode="m/d/yy">
                  <c:v>44462</c:v>
                </c:pt>
                <c:pt idx="218" formatCode="m/d/yy">
                  <c:v>44463</c:v>
                </c:pt>
                <c:pt idx="219" formatCode="m/d/yy">
                  <c:v>44466</c:v>
                </c:pt>
                <c:pt idx="220" formatCode="m/d/yy">
                  <c:v>44467</c:v>
                </c:pt>
                <c:pt idx="221" formatCode="m/d/yy">
                  <c:v>44468</c:v>
                </c:pt>
                <c:pt idx="222" formatCode="m/d/yy">
                  <c:v>44469</c:v>
                </c:pt>
                <c:pt idx="223" formatCode="m/d/yy">
                  <c:v>44470</c:v>
                </c:pt>
                <c:pt idx="224" formatCode="m/d/yy">
                  <c:v>44473</c:v>
                </c:pt>
                <c:pt idx="225" formatCode="m/d/yy">
                  <c:v>44474</c:v>
                </c:pt>
                <c:pt idx="226" formatCode="m/d/yy">
                  <c:v>44475</c:v>
                </c:pt>
                <c:pt idx="227" formatCode="m/d/yy">
                  <c:v>44476</c:v>
                </c:pt>
                <c:pt idx="228" formatCode="m/d/yy">
                  <c:v>44477</c:v>
                </c:pt>
                <c:pt idx="229" formatCode="m/d/yy">
                  <c:v>44480</c:v>
                </c:pt>
                <c:pt idx="230" formatCode="m/d/yy">
                  <c:v>44481</c:v>
                </c:pt>
                <c:pt idx="231" formatCode="m/d/yy">
                  <c:v>44482</c:v>
                </c:pt>
                <c:pt idx="232" formatCode="m/d/yy">
                  <c:v>44483</c:v>
                </c:pt>
                <c:pt idx="233" formatCode="m/d/yy">
                  <c:v>44484</c:v>
                </c:pt>
                <c:pt idx="234" formatCode="m/d/yy">
                  <c:v>44487</c:v>
                </c:pt>
                <c:pt idx="235" formatCode="m/d/yy">
                  <c:v>44488</c:v>
                </c:pt>
                <c:pt idx="236" formatCode="m/d/yy">
                  <c:v>44489</c:v>
                </c:pt>
                <c:pt idx="237" formatCode="m/d/yy">
                  <c:v>44490</c:v>
                </c:pt>
                <c:pt idx="238" formatCode="m/d/yy">
                  <c:v>44491</c:v>
                </c:pt>
                <c:pt idx="239" formatCode="m/d/yy">
                  <c:v>44494</c:v>
                </c:pt>
                <c:pt idx="240" formatCode="m/d/yy">
                  <c:v>44495</c:v>
                </c:pt>
                <c:pt idx="241" formatCode="m/d/yy">
                  <c:v>44496</c:v>
                </c:pt>
                <c:pt idx="242" formatCode="m/d/yy">
                  <c:v>44497</c:v>
                </c:pt>
                <c:pt idx="243" formatCode="m/d/yy">
                  <c:v>44498</c:v>
                </c:pt>
                <c:pt idx="244" formatCode="m/d/yy">
                  <c:v>44501</c:v>
                </c:pt>
                <c:pt idx="245" formatCode="m/d/yy">
                  <c:v>44502</c:v>
                </c:pt>
                <c:pt idx="246" formatCode="m/d/yy">
                  <c:v>44503</c:v>
                </c:pt>
                <c:pt idx="247" formatCode="m/d/yy">
                  <c:v>44504</c:v>
                </c:pt>
                <c:pt idx="248" formatCode="m/d/yy">
                  <c:v>44505</c:v>
                </c:pt>
                <c:pt idx="249" formatCode="m/d/yy">
                  <c:v>44508</c:v>
                </c:pt>
                <c:pt idx="250" formatCode="m/d/yy">
                  <c:v>44509</c:v>
                </c:pt>
                <c:pt idx="251" formatCode="m/d/yy">
                  <c:v>44510</c:v>
                </c:pt>
                <c:pt idx="252" formatCode="m/d/yy">
                  <c:v>44511</c:v>
                </c:pt>
                <c:pt idx="253" formatCode="m/d/yy">
                  <c:v>44512</c:v>
                </c:pt>
                <c:pt idx="254" formatCode="m/d/yy">
                  <c:v>44515</c:v>
                </c:pt>
                <c:pt idx="255" formatCode="m/d/yy">
                  <c:v>44516</c:v>
                </c:pt>
                <c:pt idx="256" formatCode="m/d/yy">
                  <c:v>44517</c:v>
                </c:pt>
                <c:pt idx="257" formatCode="m/d/yy">
                  <c:v>44518</c:v>
                </c:pt>
                <c:pt idx="258" formatCode="m/d/yy">
                  <c:v>44519</c:v>
                </c:pt>
                <c:pt idx="259" formatCode="m/d/yy">
                  <c:v>44522</c:v>
                </c:pt>
                <c:pt idx="260" formatCode="m/d/yy">
                  <c:v>44523</c:v>
                </c:pt>
                <c:pt idx="261" formatCode="m/d/yy">
                  <c:v>44524</c:v>
                </c:pt>
                <c:pt idx="262" formatCode="m/d/yy">
                  <c:v>44526</c:v>
                </c:pt>
                <c:pt idx="263" formatCode="m/d/yy">
                  <c:v>44529</c:v>
                </c:pt>
                <c:pt idx="264" formatCode="m/d/yy">
                  <c:v>44530</c:v>
                </c:pt>
                <c:pt idx="265" formatCode="m/d/yy">
                  <c:v>44531</c:v>
                </c:pt>
                <c:pt idx="266" formatCode="m/d/yy">
                  <c:v>44532</c:v>
                </c:pt>
                <c:pt idx="267" formatCode="m/d/yy">
                  <c:v>44533</c:v>
                </c:pt>
                <c:pt idx="268" formatCode="m/d/yy">
                  <c:v>44536</c:v>
                </c:pt>
                <c:pt idx="269" formatCode="m/d/yy">
                  <c:v>44537</c:v>
                </c:pt>
                <c:pt idx="270" formatCode="m/d/yy">
                  <c:v>44538</c:v>
                </c:pt>
                <c:pt idx="271" formatCode="m/d/yy">
                  <c:v>44539</c:v>
                </c:pt>
                <c:pt idx="272" formatCode="m/d/yy">
                  <c:v>44540</c:v>
                </c:pt>
                <c:pt idx="273" formatCode="m/d/yy">
                  <c:v>44543</c:v>
                </c:pt>
                <c:pt idx="274" formatCode="m/d/yy">
                  <c:v>44544</c:v>
                </c:pt>
                <c:pt idx="275" formatCode="m/d/yy">
                  <c:v>44545</c:v>
                </c:pt>
                <c:pt idx="276" formatCode="m/d/yy">
                  <c:v>44546</c:v>
                </c:pt>
                <c:pt idx="277" formatCode="m/d/yy">
                  <c:v>44547</c:v>
                </c:pt>
                <c:pt idx="278" formatCode="m/d/yy">
                  <c:v>44550</c:v>
                </c:pt>
                <c:pt idx="279" formatCode="m/d/yy">
                  <c:v>44551</c:v>
                </c:pt>
                <c:pt idx="280" formatCode="m/d/yy">
                  <c:v>44552</c:v>
                </c:pt>
                <c:pt idx="281" formatCode="m/d/yy">
                  <c:v>44553</c:v>
                </c:pt>
                <c:pt idx="282" formatCode="m/d/yy">
                  <c:v>44557</c:v>
                </c:pt>
                <c:pt idx="283" formatCode="m/d/yy">
                  <c:v>44558</c:v>
                </c:pt>
                <c:pt idx="284" formatCode="m/d/yy">
                  <c:v>44559</c:v>
                </c:pt>
                <c:pt idx="285" formatCode="m/d/yy">
                  <c:v>44560</c:v>
                </c:pt>
                <c:pt idx="286" formatCode="m/d/yy">
                  <c:v>44561</c:v>
                </c:pt>
                <c:pt idx="287" formatCode="m/d/yy">
                  <c:v>44564</c:v>
                </c:pt>
                <c:pt idx="288" formatCode="m/d/yy">
                  <c:v>44565</c:v>
                </c:pt>
                <c:pt idx="289" formatCode="m/d/yy">
                  <c:v>44566</c:v>
                </c:pt>
                <c:pt idx="290" formatCode="m/d/yy">
                  <c:v>44567</c:v>
                </c:pt>
                <c:pt idx="291" formatCode="m/d/yy">
                  <c:v>44568</c:v>
                </c:pt>
                <c:pt idx="292" formatCode="m/d/yy">
                  <c:v>44571</c:v>
                </c:pt>
                <c:pt idx="293" formatCode="m/d/yy">
                  <c:v>44572</c:v>
                </c:pt>
                <c:pt idx="294" formatCode="m/d/yy">
                  <c:v>44573</c:v>
                </c:pt>
                <c:pt idx="295" formatCode="m/d/yy">
                  <c:v>44574</c:v>
                </c:pt>
                <c:pt idx="296" formatCode="m/d/yy">
                  <c:v>44575</c:v>
                </c:pt>
                <c:pt idx="297" formatCode="m/d/yy">
                  <c:v>44579</c:v>
                </c:pt>
                <c:pt idx="298" formatCode="m/d/yy">
                  <c:v>44580</c:v>
                </c:pt>
                <c:pt idx="299" formatCode="m/d/yy">
                  <c:v>44581</c:v>
                </c:pt>
                <c:pt idx="300" formatCode="m/d/yy">
                  <c:v>44582</c:v>
                </c:pt>
                <c:pt idx="301" formatCode="m/d/yy">
                  <c:v>44585</c:v>
                </c:pt>
                <c:pt idx="302" formatCode="m/d/yy">
                  <c:v>44586</c:v>
                </c:pt>
                <c:pt idx="303" formatCode="m/d/yy">
                  <c:v>44587</c:v>
                </c:pt>
                <c:pt idx="304" formatCode="m/d/yy">
                  <c:v>44588</c:v>
                </c:pt>
                <c:pt idx="305" formatCode="m/d/yy">
                  <c:v>44589</c:v>
                </c:pt>
                <c:pt idx="306" formatCode="m/d/yy">
                  <c:v>44592</c:v>
                </c:pt>
                <c:pt idx="307" formatCode="m/d/yy">
                  <c:v>44593</c:v>
                </c:pt>
                <c:pt idx="308" formatCode="m/d/yy">
                  <c:v>44594</c:v>
                </c:pt>
                <c:pt idx="309" formatCode="m/d/yy">
                  <c:v>44595</c:v>
                </c:pt>
                <c:pt idx="310" formatCode="m/d/yy">
                  <c:v>44596</c:v>
                </c:pt>
                <c:pt idx="311" formatCode="m/d/yy">
                  <c:v>44599</c:v>
                </c:pt>
                <c:pt idx="312" formatCode="m/d/yy">
                  <c:v>44600</c:v>
                </c:pt>
                <c:pt idx="313" formatCode="m/d/yy">
                  <c:v>44601</c:v>
                </c:pt>
                <c:pt idx="314" formatCode="m/d/yy">
                  <c:v>44602</c:v>
                </c:pt>
                <c:pt idx="315" formatCode="m/d/yy">
                  <c:v>44603</c:v>
                </c:pt>
                <c:pt idx="316" formatCode="m/d/yy">
                  <c:v>44606</c:v>
                </c:pt>
                <c:pt idx="317" formatCode="m/d/yy">
                  <c:v>44607</c:v>
                </c:pt>
                <c:pt idx="318" formatCode="m/d/yy">
                  <c:v>44608</c:v>
                </c:pt>
                <c:pt idx="319" formatCode="m/d/yy">
                  <c:v>44609</c:v>
                </c:pt>
                <c:pt idx="320" formatCode="m/d/yy">
                  <c:v>44610</c:v>
                </c:pt>
                <c:pt idx="321" formatCode="m/d/yy">
                  <c:v>44614</c:v>
                </c:pt>
                <c:pt idx="322" formatCode="m/d/yy">
                  <c:v>44615</c:v>
                </c:pt>
                <c:pt idx="323" formatCode="m/d/yy">
                  <c:v>44616</c:v>
                </c:pt>
                <c:pt idx="324" formatCode="m/d/yy">
                  <c:v>44617</c:v>
                </c:pt>
                <c:pt idx="325" formatCode="m/d/yy">
                  <c:v>44620</c:v>
                </c:pt>
                <c:pt idx="326" formatCode="m/d/yy">
                  <c:v>44621</c:v>
                </c:pt>
                <c:pt idx="327" formatCode="m/d/yy">
                  <c:v>44622</c:v>
                </c:pt>
                <c:pt idx="328" formatCode="m/d/yy">
                  <c:v>44623</c:v>
                </c:pt>
                <c:pt idx="329" formatCode="m/d/yy">
                  <c:v>44624</c:v>
                </c:pt>
                <c:pt idx="330" formatCode="m/d/yy">
                  <c:v>44627</c:v>
                </c:pt>
                <c:pt idx="331" formatCode="m/d/yy">
                  <c:v>44628</c:v>
                </c:pt>
                <c:pt idx="332" formatCode="m/d/yy">
                  <c:v>44629</c:v>
                </c:pt>
                <c:pt idx="333" formatCode="m/d/yy">
                  <c:v>44630</c:v>
                </c:pt>
                <c:pt idx="334" formatCode="m/d/yy">
                  <c:v>44631</c:v>
                </c:pt>
                <c:pt idx="335" formatCode="m/d/yy">
                  <c:v>44634</c:v>
                </c:pt>
                <c:pt idx="336" formatCode="m/d/yy">
                  <c:v>44635</c:v>
                </c:pt>
                <c:pt idx="337" formatCode="m/d/yy">
                  <c:v>44636</c:v>
                </c:pt>
                <c:pt idx="338" formatCode="m/d/yy">
                  <c:v>44637</c:v>
                </c:pt>
                <c:pt idx="339" formatCode="m/d/yy">
                  <c:v>44638</c:v>
                </c:pt>
                <c:pt idx="340" formatCode="m/d/yy">
                  <c:v>44641</c:v>
                </c:pt>
                <c:pt idx="341" formatCode="m/d/yy">
                  <c:v>44642</c:v>
                </c:pt>
                <c:pt idx="342" formatCode="m/d/yy">
                  <c:v>44643</c:v>
                </c:pt>
                <c:pt idx="343" formatCode="m/d/yy">
                  <c:v>44644</c:v>
                </c:pt>
                <c:pt idx="344" formatCode="m/d/yy">
                  <c:v>44645</c:v>
                </c:pt>
                <c:pt idx="345" formatCode="m/d/yy">
                  <c:v>44648</c:v>
                </c:pt>
                <c:pt idx="346" formatCode="m/d/yy">
                  <c:v>44649</c:v>
                </c:pt>
                <c:pt idx="347" formatCode="m/d/yy">
                  <c:v>44650</c:v>
                </c:pt>
                <c:pt idx="348" formatCode="m/d/yy">
                  <c:v>44651</c:v>
                </c:pt>
                <c:pt idx="349" formatCode="m/d/yy">
                  <c:v>44652</c:v>
                </c:pt>
                <c:pt idx="350" formatCode="m/d/yy">
                  <c:v>44655</c:v>
                </c:pt>
                <c:pt idx="351" formatCode="m/d/yy">
                  <c:v>44656</c:v>
                </c:pt>
                <c:pt idx="352" formatCode="m/d/yy">
                  <c:v>44657</c:v>
                </c:pt>
                <c:pt idx="353" formatCode="m/d/yy">
                  <c:v>44658</c:v>
                </c:pt>
                <c:pt idx="354" formatCode="m/d/yy">
                  <c:v>44659</c:v>
                </c:pt>
                <c:pt idx="355" formatCode="m/d/yy">
                  <c:v>44662</c:v>
                </c:pt>
                <c:pt idx="356" formatCode="m/d/yy">
                  <c:v>44663</c:v>
                </c:pt>
                <c:pt idx="357" formatCode="m/d/yy">
                  <c:v>44664</c:v>
                </c:pt>
                <c:pt idx="358" formatCode="m/d/yy">
                  <c:v>44665</c:v>
                </c:pt>
                <c:pt idx="359" formatCode="m/d/yy">
                  <c:v>44669</c:v>
                </c:pt>
                <c:pt idx="360" formatCode="m/d/yy">
                  <c:v>44670</c:v>
                </c:pt>
                <c:pt idx="361" formatCode="m/d/yy">
                  <c:v>44671</c:v>
                </c:pt>
                <c:pt idx="362" formatCode="m/d/yy">
                  <c:v>44672</c:v>
                </c:pt>
                <c:pt idx="363" formatCode="m/d/yy">
                  <c:v>44673</c:v>
                </c:pt>
                <c:pt idx="364" formatCode="m/d/yy">
                  <c:v>44676</c:v>
                </c:pt>
                <c:pt idx="365" formatCode="m/d/yy">
                  <c:v>44677</c:v>
                </c:pt>
                <c:pt idx="366" formatCode="m/d/yy">
                  <c:v>44678</c:v>
                </c:pt>
                <c:pt idx="367" formatCode="m/d/yy">
                  <c:v>44679</c:v>
                </c:pt>
                <c:pt idx="368" formatCode="m/d/yy">
                  <c:v>44680</c:v>
                </c:pt>
                <c:pt idx="369" formatCode="m/d/yy">
                  <c:v>44683</c:v>
                </c:pt>
                <c:pt idx="370" formatCode="m/d/yy">
                  <c:v>44684</c:v>
                </c:pt>
                <c:pt idx="371" formatCode="m/d/yy">
                  <c:v>44685</c:v>
                </c:pt>
                <c:pt idx="372" formatCode="m/d/yy">
                  <c:v>44686</c:v>
                </c:pt>
                <c:pt idx="373" formatCode="m/d/yy">
                  <c:v>44687</c:v>
                </c:pt>
                <c:pt idx="374" formatCode="m/d/yy">
                  <c:v>44690</c:v>
                </c:pt>
                <c:pt idx="375" formatCode="m/d/yy">
                  <c:v>44691</c:v>
                </c:pt>
                <c:pt idx="376" formatCode="m/d/yy">
                  <c:v>44692</c:v>
                </c:pt>
                <c:pt idx="377" formatCode="m/d/yy">
                  <c:v>44693</c:v>
                </c:pt>
                <c:pt idx="378" formatCode="m/d/yy">
                  <c:v>44694</c:v>
                </c:pt>
                <c:pt idx="379" formatCode="m/d/yy">
                  <c:v>44697</c:v>
                </c:pt>
                <c:pt idx="380" formatCode="m/d/yy">
                  <c:v>44698</c:v>
                </c:pt>
                <c:pt idx="381" formatCode="m/d/yy">
                  <c:v>44699</c:v>
                </c:pt>
                <c:pt idx="382" formatCode="m/d/yy">
                  <c:v>44700</c:v>
                </c:pt>
                <c:pt idx="383" formatCode="m/d/yy">
                  <c:v>44701</c:v>
                </c:pt>
                <c:pt idx="384" formatCode="m/d/yy">
                  <c:v>44704</c:v>
                </c:pt>
                <c:pt idx="385" formatCode="m/d/yy">
                  <c:v>44705</c:v>
                </c:pt>
                <c:pt idx="386" formatCode="m/d/yy">
                  <c:v>44706</c:v>
                </c:pt>
                <c:pt idx="387" formatCode="m/d/yy">
                  <c:v>44707</c:v>
                </c:pt>
                <c:pt idx="388" formatCode="m/d/yy">
                  <c:v>44708</c:v>
                </c:pt>
                <c:pt idx="389" formatCode="m/d/yy">
                  <c:v>44712</c:v>
                </c:pt>
                <c:pt idx="390" formatCode="m/d/yy">
                  <c:v>44713</c:v>
                </c:pt>
                <c:pt idx="391" formatCode="m/d/yy">
                  <c:v>44714</c:v>
                </c:pt>
                <c:pt idx="392" formatCode="m/d/yy">
                  <c:v>44715</c:v>
                </c:pt>
                <c:pt idx="393" formatCode="m/d/yy">
                  <c:v>44718</c:v>
                </c:pt>
                <c:pt idx="394" formatCode="m/d/yy">
                  <c:v>44719</c:v>
                </c:pt>
                <c:pt idx="395" formatCode="m/d/yy">
                  <c:v>44720</c:v>
                </c:pt>
                <c:pt idx="396" formatCode="m/d/yy">
                  <c:v>44721</c:v>
                </c:pt>
                <c:pt idx="397" formatCode="m/d/yy">
                  <c:v>44722</c:v>
                </c:pt>
                <c:pt idx="398" formatCode="m/d/yy">
                  <c:v>44725</c:v>
                </c:pt>
                <c:pt idx="399" formatCode="m/d/yy">
                  <c:v>44726</c:v>
                </c:pt>
                <c:pt idx="400" formatCode="m/d/yy">
                  <c:v>44727</c:v>
                </c:pt>
                <c:pt idx="401" formatCode="m/d/yy">
                  <c:v>44728</c:v>
                </c:pt>
                <c:pt idx="402" formatCode="m/d/yy">
                  <c:v>44729</c:v>
                </c:pt>
                <c:pt idx="403" formatCode="m/d/yy">
                  <c:v>44733</c:v>
                </c:pt>
                <c:pt idx="404" formatCode="m/d/yy">
                  <c:v>44734</c:v>
                </c:pt>
                <c:pt idx="405" formatCode="m/d/yy">
                  <c:v>44735</c:v>
                </c:pt>
                <c:pt idx="406" formatCode="m/d/yy">
                  <c:v>44736</c:v>
                </c:pt>
                <c:pt idx="407" formatCode="m/d/yy">
                  <c:v>44739</c:v>
                </c:pt>
                <c:pt idx="408" formatCode="m/d/yy">
                  <c:v>44740</c:v>
                </c:pt>
                <c:pt idx="409" formatCode="m/d/yy">
                  <c:v>44741</c:v>
                </c:pt>
                <c:pt idx="410" formatCode="m/d/yy">
                  <c:v>44742</c:v>
                </c:pt>
                <c:pt idx="411" formatCode="m/d/yy">
                  <c:v>44743</c:v>
                </c:pt>
                <c:pt idx="412" formatCode="m/d/yy">
                  <c:v>44747</c:v>
                </c:pt>
                <c:pt idx="413" formatCode="m/d/yy">
                  <c:v>44748</c:v>
                </c:pt>
                <c:pt idx="414" formatCode="m/d/yy">
                  <c:v>44749</c:v>
                </c:pt>
                <c:pt idx="415" formatCode="m/d/yy">
                  <c:v>44750</c:v>
                </c:pt>
                <c:pt idx="416" formatCode="m/d/yy">
                  <c:v>44753</c:v>
                </c:pt>
                <c:pt idx="417" formatCode="m/d/yy">
                  <c:v>44754</c:v>
                </c:pt>
                <c:pt idx="418" formatCode="m/d/yy">
                  <c:v>44755</c:v>
                </c:pt>
                <c:pt idx="419" formatCode="m/d/yy">
                  <c:v>44756</c:v>
                </c:pt>
                <c:pt idx="420" formatCode="m/d/yy">
                  <c:v>44757</c:v>
                </c:pt>
                <c:pt idx="421" formatCode="m/d/yy">
                  <c:v>44760</c:v>
                </c:pt>
                <c:pt idx="422" formatCode="m/d/yy">
                  <c:v>44761</c:v>
                </c:pt>
                <c:pt idx="423" formatCode="m/d/yy">
                  <c:v>44762</c:v>
                </c:pt>
                <c:pt idx="424" formatCode="m/d/yy">
                  <c:v>44763</c:v>
                </c:pt>
                <c:pt idx="425" formatCode="m/d/yy">
                  <c:v>44764</c:v>
                </c:pt>
                <c:pt idx="426" formatCode="m/d/yy">
                  <c:v>44767</c:v>
                </c:pt>
                <c:pt idx="427" formatCode="m/d/yy">
                  <c:v>44768</c:v>
                </c:pt>
                <c:pt idx="428" formatCode="m/d/yy">
                  <c:v>44769</c:v>
                </c:pt>
                <c:pt idx="429" formatCode="m/d/yy">
                  <c:v>44770</c:v>
                </c:pt>
                <c:pt idx="430" formatCode="m/d/yy">
                  <c:v>44771</c:v>
                </c:pt>
                <c:pt idx="431" formatCode="m/d/yy">
                  <c:v>44774</c:v>
                </c:pt>
                <c:pt idx="432" formatCode="m/d/yy">
                  <c:v>44775</c:v>
                </c:pt>
                <c:pt idx="433" formatCode="m/d/yy">
                  <c:v>44776</c:v>
                </c:pt>
                <c:pt idx="434" formatCode="m/d/yy">
                  <c:v>44777</c:v>
                </c:pt>
                <c:pt idx="435" formatCode="m/d/yy">
                  <c:v>44778</c:v>
                </c:pt>
                <c:pt idx="436" formatCode="m/d/yy">
                  <c:v>44781</c:v>
                </c:pt>
                <c:pt idx="437" formatCode="m/d/yy">
                  <c:v>44782</c:v>
                </c:pt>
                <c:pt idx="438" formatCode="m/d/yy">
                  <c:v>44783</c:v>
                </c:pt>
                <c:pt idx="439" formatCode="m/d/yy">
                  <c:v>44784</c:v>
                </c:pt>
                <c:pt idx="440" formatCode="m/d/yy">
                  <c:v>44785</c:v>
                </c:pt>
                <c:pt idx="441" formatCode="m/d/yy">
                  <c:v>44788</c:v>
                </c:pt>
                <c:pt idx="442" formatCode="m/d/yy">
                  <c:v>44789</c:v>
                </c:pt>
                <c:pt idx="443" formatCode="m/d/yy">
                  <c:v>44790</c:v>
                </c:pt>
                <c:pt idx="444" formatCode="m/d/yy">
                  <c:v>44791</c:v>
                </c:pt>
                <c:pt idx="445" formatCode="m/d/yy">
                  <c:v>44792</c:v>
                </c:pt>
                <c:pt idx="446" formatCode="m/d/yy">
                  <c:v>44795</c:v>
                </c:pt>
                <c:pt idx="447" formatCode="m/d/yy">
                  <c:v>44796</c:v>
                </c:pt>
                <c:pt idx="448" formatCode="m/d/yy">
                  <c:v>44797</c:v>
                </c:pt>
                <c:pt idx="449" formatCode="m/d/yy">
                  <c:v>44798</c:v>
                </c:pt>
                <c:pt idx="450" formatCode="m/d/yy">
                  <c:v>44799</c:v>
                </c:pt>
                <c:pt idx="451" formatCode="m/d/yy">
                  <c:v>44802</c:v>
                </c:pt>
                <c:pt idx="452" formatCode="m/d/yy">
                  <c:v>44803</c:v>
                </c:pt>
                <c:pt idx="453" formatCode="m/d/yy">
                  <c:v>44804</c:v>
                </c:pt>
                <c:pt idx="454" formatCode="m/d/yy">
                  <c:v>44805</c:v>
                </c:pt>
                <c:pt idx="455" formatCode="m/d/yy">
                  <c:v>44806</c:v>
                </c:pt>
                <c:pt idx="456" formatCode="m/d/yy">
                  <c:v>44810</c:v>
                </c:pt>
                <c:pt idx="457" formatCode="m/d/yy">
                  <c:v>44811</c:v>
                </c:pt>
                <c:pt idx="458" formatCode="m/d/yy">
                  <c:v>44812</c:v>
                </c:pt>
                <c:pt idx="459" formatCode="m/d/yy">
                  <c:v>44813</c:v>
                </c:pt>
                <c:pt idx="460" formatCode="m/d/yy">
                  <c:v>44816</c:v>
                </c:pt>
                <c:pt idx="461" formatCode="m/d/yy">
                  <c:v>44817</c:v>
                </c:pt>
                <c:pt idx="462" formatCode="m/d/yy">
                  <c:v>44818</c:v>
                </c:pt>
                <c:pt idx="463" formatCode="m/d/yy">
                  <c:v>44819</c:v>
                </c:pt>
                <c:pt idx="464" formatCode="m/d/yy">
                  <c:v>44820</c:v>
                </c:pt>
                <c:pt idx="465" formatCode="m/d/yy">
                  <c:v>44823</c:v>
                </c:pt>
                <c:pt idx="466" formatCode="m/d/yy">
                  <c:v>44824</c:v>
                </c:pt>
                <c:pt idx="467" formatCode="m/d/yy">
                  <c:v>44825</c:v>
                </c:pt>
                <c:pt idx="468" formatCode="m/d/yy">
                  <c:v>44826</c:v>
                </c:pt>
                <c:pt idx="469" formatCode="m/d/yy">
                  <c:v>44827</c:v>
                </c:pt>
                <c:pt idx="470" formatCode="m/d/yy">
                  <c:v>44830</c:v>
                </c:pt>
                <c:pt idx="471" formatCode="m/d/yy">
                  <c:v>44831</c:v>
                </c:pt>
                <c:pt idx="472" formatCode="m/d/yy">
                  <c:v>44832</c:v>
                </c:pt>
                <c:pt idx="473" formatCode="m/d/yy">
                  <c:v>44833</c:v>
                </c:pt>
                <c:pt idx="474" formatCode="m/d/yy">
                  <c:v>44834</c:v>
                </c:pt>
                <c:pt idx="475" formatCode="m/d/yy">
                  <c:v>44837</c:v>
                </c:pt>
                <c:pt idx="476" formatCode="m/d/yy">
                  <c:v>44838</c:v>
                </c:pt>
                <c:pt idx="477" formatCode="m/d/yy">
                  <c:v>44839</c:v>
                </c:pt>
                <c:pt idx="478" formatCode="m/d/yy">
                  <c:v>44840</c:v>
                </c:pt>
                <c:pt idx="479" formatCode="m/d/yy">
                  <c:v>44841</c:v>
                </c:pt>
                <c:pt idx="480" formatCode="m/d/yy">
                  <c:v>44844</c:v>
                </c:pt>
                <c:pt idx="481" formatCode="m/d/yy">
                  <c:v>44845</c:v>
                </c:pt>
                <c:pt idx="482" formatCode="m/d/yy">
                  <c:v>44846</c:v>
                </c:pt>
                <c:pt idx="483" formatCode="m/d/yy">
                  <c:v>44847</c:v>
                </c:pt>
                <c:pt idx="484" formatCode="m/d/yy">
                  <c:v>44848</c:v>
                </c:pt>
                <c:pt idx="485" formatCode="m/d/yy">
                  <c:v>44851</c:v>
                </c:pt>
                <c:pt idx="486" formatCode="m/d/yy">
                  <c:v>44852</c:v>
                </c:pt>
                <c:pt idx="487" formatCode="m/d/yy">
                  <c:v>44853</c:v>
                </c:pt>
                <c:pt idx="488" formatCode="m/d/yy">
                  <c:v>44854</c:v>
                </c:pt>
                <c:pt idx="489" formatCode="m/d/yy">
                  <c:v>44855</c:v>
                </c:pt>
                <c:pt idx="490" formatCode="m/d/yy">
                  <c:v>44858</c:v>
                </c:pt>
                <c:pt idx="491" formatCode="m/d/yy">
                  <c:v>44859</c:v>
                </c:pt>
                <c:pt idx="492" formatCode="m/d/yy">
                  <c:v>44860</c:v>
                </c:pt>
                <c:pt idx="493" formatCode="m/d/yy">
                  <c:v>44861</c:v>
                </c:pt>
                <c:pt idx="494" formatCode="m/d/yy">
                  <c:v>44862</c:v>
                </c:pt>
                <c:pt idx="495" formatCode="m/d/yy">
                  <c:v>44865</c:v>
                </c:pt>
                <c:pt idx="496" formatCode="m/d/yy">
                  <c:v>44866</c:v>
                </c:pt>
                <c:pt idx="497" formatCode="m/d/yy">
                  <c:v>44867</c:v>
                </c:pt>
                <c:pt idx="498" formatCode="m/d/yy">
                  <c:v>44868</c:v>
                </c:pt>
                <c:pt idx="499" formatCode="m/d/yy">
                  <c:v>44869</c:v>
                </c:pt>
                <c:pt idx="500" formatCode="m/d/yy">
                  <c:v>44872</c:v>
                </c:pt>
                <c:pt idx="501" formatCode="m/d/yy">
                  <c:v>44873</c:v>
                </c:pt>
                <c:pt idx="502" formatCode="m/d/yy">
                  <c:v>44874</c:v>
                </c:pt>
                <c:pt idx="503" formatCode="m/d/yy">
                  <c:v>44875</c:v>
                </c:pt>
                <c:pt idx="504" formatCode="m/d/yy">
                  <c:v>44876</c:v>
                </c:pt>
                <c:pt idx="505" formatCode="m/d/yy">
                  <c:v>44879</c:v>
                </c:pt>
                <c:pt idx="506" formatCode="m/d/yy">
                  <c:v>44880</c:v>
                </c:pt>
                <c:pt idx="507" formatCode="m/d/yy">
                  <c:v>44881</c:v>
                </c:pt>
                <c:pt idx="508" formatCode="m/d/yy">
                  <c:v>44882</c:v>
                </c:pt>
                <c:pt idx="509" formatCode="m/d/yy">
                  <c:v>44883</c:v>
                </c:pt>
                <c:pt idx="510" formatCode="m/d/yy">
                  <c:v>44886</c:v>
                </c:pt>
                <c:pt idx="511" formatCode="m/d/yy">
                  <c:v>44887</c:v>
                </c:pt>
                <c:pt idx="512" formatCode="m/d/yy">
                  <c:v>44888</c:v>
                </c:pt>
                <c:pt idx="513" formatCode="m/d/yy">
                  <c:v>44890</c:v>
                </c:pt>
                <c:pt idx="514" formatCode="m/d/yy">
                  <c:v>44893</c:v>
                </c:pt>
                <c:pt idx="515" formatCode="m/d/yy">
                  <c:v>44894</c:v>
                </c:pt>
                <c:pt idx="516" formatCode="m/d/yy">
                  <c:v>44895</c:v>
                </c:pt>
                <c:pt idx="517" formatCode="m/d/yy">
                  <c:v>44896</c:v>
                </c:pt>
                <c:pt idx="518" formatCode="m/d/yy">
                  <c:v>44897</c:v>
                </c:pt>
                <c:pt idx="519" formatCode="m/d/yy">
                  <c:v>44900</c:v>
                </c:pt>
                <c:pt idx="520" formatCode="m/d/yy">
                  <c:v>44901</c:v>
                </c:pt>
                <c:pt idx="521" formatCode="m/d/yy">
                  <c:v>44902</c:v>
                </c:pt>
                <c:pt idx="522" formatCode="m/d/yy">
                  <c:v>44903</c:v>
                </c:pt>
                <c:pt idx="523" formatCode="m/d/yy">
                  <c:v>44904</c:v>
                </c:pt>
                <c:pt idx="524" formatCode="m/d/yy">
                  <c:v>44907</c:v>
                </c:pt>
                <c:pt idx="525" formatCode="m/d/yy">
                  <c:v>44908</c:v>
                </c:pt>
                <c:pt idx="526" formatCode="m/d/yy">
                  <c:v>44909</c:v>
                </c:pt>
                <c:pt idx="527" formatCode="m/d/yy">
                  <c:v>44910</c:v>
                </c:pt>
                <c:pt idx="528" formatCode="m/d/yy">
                  <c:v>44911</c:v>
                </c:pt>
                <c:pt idx="529" formatCode="m/d/yy">
                  <c:v>44914</c:v>
                </c:pt>
                <c:pt idx="530" formatCode="m/d/yy">
                  <c:v>44915</c:v>
                </c:pt>
                <c:pt idx="531" formatCode="m/d/yy">
                  <c:v>44916</c:v>
                </c:pt>
                <c:pt idx="532" formatCode="m/d/yy">
                  <c:v>44917</c:v>
                </c:pt>
                <c:pt idx="533" formatCode="m/d/yy">
                  <c:v>44918</c:v>
                </c:pt>
                <c:pt idx="534" formatCode="m/d/yy">
                  <c:v>44922</c:v>
                </c:pt>
                <c:pt idx="535" formatCode="m/d/yy">
                  <c:v>44923</c:v>
                </c:pt>
                <c:pt idx="536" formatCode="m/d/yy">
                  <c:v>44924</c:v>
                </c:pt>
                <c:pt idx="537" formatCode="m/d/yy">
                  <c:v>44925</c:v>
                </c:pt>
                <c:pt idx="538" formatCode="m/d/yy">
                  <c:v>44929</c:v>
                </c:pt>
                <c:pt idx="539" formatCode="m/d/yy">
                  <c:v>44930</c:v>
                </c:pt>
                <c:pt idx="540" formatCode="m/d/yy">
                  <c:v>44931</c:v>
                </c:pt>
                <c:pt idx="541" formatCode="m/d/yy">
                  <c:v>44932</c:v>
                </c:pt>
                <c:pt idx="542" formatCode="m/d/yy">
                  <c:v>44935</c:v>
                </c:pt>
                <c:pt idx="543" formatCode="m/d/yy">
                  <c:v>44936</c:v>
                </c:pt>
                <c:pt idx="544" formatCode="m/d/yy">
                  <c:v>44937</c:v>
                </c:pt>
                <c:pt idx="545" formatCode="m/d/yy">
                  <c:v>44938</c:v>
                </c:pt>
                <c:pt idx="546" formatCode="m/d/yy">
                  <c:v>44939</c:v>
                </c:pt>
                <c:pt idx="547" formatCode="m/d/yy">
                  <c:v>44943</c:v>
                </c:pt>
                <c:pt idx="548" formatCode="m/d/yy">
                  <c:v>44944</c:v>
                </c:pt>
                <c:pt idx="549" formatCode="m/d/yy">
                  <c:v>44945</c:v>
                </c:pt>
                <c:pt idx="550" formatCode="m/d/yy">
                  <c:v>44946</c:v>
                </c:pt>
                <c:pt idx="551" formatCode="m/d/yy">
                  <c:v>44949</c:v>
                </c:pt>
                <c:pt idx="552" formatCode="m/d/yy">
                  <c:v>44950</c:v>
                </c:pt>
                <c:pt idx="553" formatCode="m/d/yy">
                  <c:v>44951</c:v>
                </c:pt>
                <c:pt idx="554" formatCode="m/d/yy">
                  <c:v>44952</c:v>
                </c:pt>
                <c:pt idx="555" formatCode="m/d/yy">
                  <c:v>44953</c:v>
                </c:pt>
                <c:pt idx="556" formatCode="m/d/yy">
                  <c:v>44956</c:v>
                </c:pt>
                <c:pt idx="557" formatCode="m/d/yy">
                  <c:v>44957</c:v>
                </c:pt>
                <c:pt idx="558" formatCode="m/d/yy">
                  <c:v>44958</c:v>
                </c:pt>
                <c:pt idx="559" formatCode="m/d/yy">
                  <c:v>44959</c:v>
                </c:pt>
                <c:pt idx="560" formatCode="m/d/yy">
                  <c:v>44960</c:v>
                </c:pt>
                <c:pt idx="561" formatCode="m/d/yy">
                  <c:v>44963</c:v>
                </c:pt>
                <c:pt idx="562" formatCode="m/d/yy">
                  <c:v>44964</c:v>
                </c:pt>
                <c:pt idx="563" formatCode="m/d/yy">
                  <c:v>44965</c:v>
                </c:pt>
                <c:pt idx="564" formatCode="m/d/yy">
                  <c:v>44966</c:v>
                </c:pt>
                <c:pt idx="565" formatCode="m/d/yy">
                  <c:v>44967</c:v>
                </c:pt>
                <c:pt idx="566" formatCode="m/d/yy">
                  <c:v>44970</c:v>
                </c:pt>
                <c:pt idx="567" formatCode="m/d/yy">
                  <c:v>44971</c:v>
                </c:pt>
                <c:pt idx="568" formatCode="m/d/yy">
                  <c:v>44972</c:v>
                </c:pt>
                <c:pt idx="569" formatCode="m/d/yy">
                  <c:v>44973</c:v>
                </c:pt>
                <c:pt idx="570" formatCode="m/d/yy">
                  <c:v>44974</c:v>
                </c:pt>
                <c:pt idx="571" formatCode="m/d/yy">
                  <c:v>44978</c:v>
                </c:pt>
                <c:pt idx="572" formatCode="m/d/yy">
                  <c:v>44979</c:v>
                </c:pt>
                <c:pt idx="573" formatCode="m/d/yy">
                  <c:v>44980</c:v>
                </c:pt>
                <c:pt idx="574" formatCode="m/d/yy">
                  <c:v>44981</c:v>
                </c:pt>
                <c:pt idx="575" formatCode="m/d/yy">
                  <c:v>44984</c:v>
                </c:pt>
                <c:pt idx="576" formatCode="m/d/yy">
                  <c:v>44985</c:v>
                </c:pt>
                <c:pt idx="577" formatCode="m/d/yy">
                  <c:v>44986</c:v>
                </c:pt>
                <c:pt idx="578" formatCode="m/d/yy">
                  <c:v>44987</c:v>
                </c:pt>
                <c:pt idx="579" formatCode="m/d/yy">
                  <c:v>44988</c:v>
                </c:pt>
                <c:pt idx="580" formatCode="m/d/yy">
                  <c:v>44991</c:v>
                </c:pt>
                <c:pt idx="581" formatCode="m/d/yy">
                  <c:v>44992</c:v>
                </c:pt>
                <c:pt idx="582" formatCode="m/d/yy">
                  <c:v>44993</c:v>
                </c:pt>
                <c:pt idx="583" formatCode="m/d/yy">
                  <c:v>44994</c:v>
                </c:pt>
                <c:pt idx="584" formatCode="m/d/yy">
                  <c:v>44995</c:v>
                </c:pt>
                <c:pt idx="585" formatCode="m/d/yy">
                  <c:v>44998</c:v>
                </c:pt>
                <c:pt idx="586" formatCode="m/d/yy">
                  <c:v>44999</c:v>
                </c:pt>
                <c:pt idx="587" formatCode="m/d/yy">
                  <c:v>45000</c:v>
                </c:pt>
                <c:pt idx="588" formatCode="m/d/yy">
                  <c:v>45001</c:v>
                </c:pt>
                <c:pt idx="589" formatCode="m/d/yy">
                  <c:v>45002</c:v>
                </c:pt>
                <c:pt idx="590" formatCode="m/d/yy">
                  <c:v>45005</c:v>
                </c:pt>
                <c:pt idx="591" formatCode="m/d/yy">
                  <c:v>45006</c:v>
                </c:pt>
                <c:pt idx="592" formatCode="m/d/yy">
                  <c:v>45007</c:v>
                </c:pt>
                <c:pt idx="593" formatCode="m/d/yy">
                  <c:v>45008</c:v>
                </c:pt>
                <c:pt idx="594" formatCode="m/d/yy">
                  <c:v>45009</c:v>
                </c:pt>
                <c:pt idx="595" formatCode="m/d/yy">
                  <c:v>45012</c:v>
                </c:pt>
                <c:pt idx="596" formatCode="m/d/yy">
                  <c:v>45013</c:v>
                </c:pt>
                <c:pt idx="597" formatCode="m/d/yy">
                  <c:v>45014</c:v>
                </c:pt>
                <c:pt idx="598" formatCode="m/d/yy">
                  <c:v>45015</c:v>
                </c:pt>
                <c:pt idx="599" formatCode="m/d/yy">
                  <c:v>45016</c:v>
                </c:pt>
                <c:pt idx="600" formatCode="m/d/yy">
                  <c:v>45019</c:v>
                </c:pt>
                <c:pt idx="601" formatCode="m/d/yy">
                  <c:v>45020</c:v>
                </c:pt>
                <c:pt idx="602" formatCode="m/d/yy">
                  <c:v>45021</c:v>
                </c:pt>
                <c:pt idx="603" formatCode="m/d/yy">
                  <c:v>45022</c:v>
                </c:pt>
                <c:pt idx="604" formatCode="m/d/yy">
                  <c:v>45026</c:v>
                </c:pt>
                <c:pt idx="605" formatCode="m/d/yy">
                  <c:v>45027</c:v>
                </c:pt>
                <c:pt idx="606" formatCode="m/d/yy">
                  <c:v>45028</c:v>
                </c:pt>
                <c:pt idx="607" formatCode="m/d/yy">
                  <c:v>45029</c:v>
                </c:pt>
                <c:pt idx="608" formatCode="m/d/yy">
                  <c:v>45030</c:v>
                </c:pt>
                <c:pt idx="609" formatCode="m/d/yy">
                  <c:v>45033</c:v>
                </c:pt>
                <c:pt idx="610" formatCode="m/d/yy">
                  <c:v>45034</c:v>
                </c:pt>
                <c:pt idx="611" formatCode="m/d/yy">
                  <c:v>45035</c:v>
                </c:pt>
                <c:pt idx="612" formatCode="m/d/yy">
                  <c:v>45036</c:v>
                </c:pt>
                <c:pt idx="613" formatCode="m/d/yy">
                  <c:v>45037</c:v>
                </c:pt>
                <c:pt idx="614" formatCode="m/d/yy">
                  <c:v>45040</c:v>
                </c:pt>
                <c:pt idx="615" formatCode="m/d/yy">
                  <c:v>45041</c:v>
                </c:pt>
                <c:pt idx="616" formatCode="m/d/yy">
                  <c:v>45042</c:v>
                </c:pt>
                <c:pt idx="617" formatCode="m/d/yy">
                  <c:v>45043</c:v>
                </c:pt>
                <c:pt idx="618" formatCode="m/d/yy">
                  <c:v>45044</c:v>
                </c:pt>
                <c:pt idx="619" formatCode="m/d/yy">
                  <c:v>45047</c:v>
                </c:pt>
                <c:pt idx="620" formatCode="m/d/yy">
                  <c:v>45048</c:v>
                </c:pt>
                <c:pt idx="621" formatCode="m/d/yy">
                  <c:v>45049</c:v>
                </c:pt>
                <c:pt idx="622" formatCode="m/d/yy">
                  <c:v>45050</c:v>
                </c:pt>
                <c:pt idx="623" formatCode="m/d/yy">
                  <c:v>45051</c:v>
                </c:pt>
                <c:pt idx="624" formatCode="m/d/yy">
                  <c:v>45054</c:v>
                </c:pt>
                <c:pt idx="625" formatCode="m/d/yy">
                  <c:v>45055</c:v>
                </c:pt>
                <c:pt idx="626" formatCode="m/d/yy">
                  <c:v>45056</c:v>
                </c:pt>
                <c:pt idx="627" formatCode="m/d/yy">
                  <c:v>45057</c:v>
                </c:pt>
                <c:pt idx="628" formatCode="m/d/yy">
                  <c:v>45058</c:v>
                </c:pt>
                <c:pt idx="629" formatCode="m/d/yy">
                  <c:v>45061</c:v>
                </c:pt>
                <c:pt idx="630" formatCode="m/d/yy">
                  <c:v>45062</c:v>
                </c:pt>
                <c:pt idx="631" formatCode="m/d/yy">
                  <c:v>45063</c:v>
                </c:pt>
                <c:pt idx="632" formatCode="m/d/yy">
                  <c:v>45064</c:v>
                </c:pt>
                <c:pt idx="633" formatCode="m/d/yy">
                  <c:v>45065</c:v>
                </c:pt>
                <c:pt idx="634" formatCode="m/d/yy">
                  <c:v>45068</c:v>
                </c:pt>
                <c:pt idx="635" formatCode="m/d/yy">
                  <c:v>45069</c:v>
                </c:pt>
                <c:pt idx="636" formatCode="m/d/yy">
                  <c:v>45070</c:v>
                </c:pt>
                <c:pt idx="637" formatCode="m/d/yy">
                  <c:v>45071</c:v>
                </c:pt>
                <c:pt idx="638" formatCode="m/d/yy">
                  <c:v>45072</c:v>
                </c:pt>
                <c:pt idx="639" formatCode="m/d/yy">
                  <c:v>45076</c:v>
                </c:pt>
                <c:pt idx="640" formatCode="m/d/yy">
                  <c:v>45077</c:v>
                </c:pt>
                <c:pt idx="641" formatCode="m/d/yy">
                  <c:v>45078</c:v>
                </c:pt>
                <c:pt idx="642" formatCode="m/d/yy">
                  <c:v>45079</c:v>
                </c:pt>
                <c:pt idx="643" formatCode="m/d/yy">
                  <c:v>45082</c:v>
                </c:pt>
                <c:pt idx="644" formatCode="m/d/yy">
                  <c:v>45083</c:v>
                </c:pt>
                <c:pt idx="645" formatCode="m/d/yy">
                  <c:v>45084</c:v>
                </c:pt>
                <c:pt idx="646" formatCode="m/d/yy">
                  <c:v>45085</c:v>
                </c:pt>
                <c:pt idx="647" formatCode="m/d/yy">
                  <c:v>45086</c:v>
                </c:pt>
                <c:pt idx="648" formatCode="m/d/yy">
                  <c:v>45089</c:v>
                </c:pt>
                <c:pt idx="649" formatCode="m/d/yy">
                  <c:v>45090</c:v>
                </c:pt>
                <c:pt idx="650" formatCode="m/d/yy">
                  <c:v>45091</c:v>
                </c:pt>
                <c:pt idx="651" formatCode="m/d/yy">
                  <c:v>45092</c:v>
                </c:pt>
                <c:pt idx="652" formatCode="m/d/yy">
                  <c:v>45093</c:v>
                </c:pt>
                <c:pt idx="653" formatCode="m/d/yy">
                  <c:v>45097</c:v>
                </c:pt>
                <c:pt idx="654" formatCode="m/d/yy">
                  <c:v>45098</c:v>
                </c:pt>
                <c:pt idx="655" formatCode="m/d/yy">
                  <c:v>45099</c:v>
                </c:pt>
                <c:pt idx="656" formatCode="m/d/yy">
                  <c:v>45100</c:v>
                </c:pt>
                <c:pt idx="657" formatCode="m/d/yy">
                  <c:v>45103</c:v>
                </c:pt>
                <c:pt idx="658" formatCode="m/d/yy">
                  <c:v>45104</c:v>
                </c:pt>
                <c:pt idx="659" formatCode="m/d/yy">
                  <c:v>45105</c:v>
                </c:pt>
                <c:pt idx="660" formatCode="m/d/yy">
                  <c:v>45106</c:v>
                </c:pt>
                <c:pt idx="661" formatCode="m/d/yy">
                  <c:v>45107</c:v>
                </c:pt>
                <c:pt idx="662" formatCode="m/d/yy">
                  <c:v>45110</c:v>
                </c:pt>
                <c:pt idx="663" formatCode="m/d/yy">
                  <c:v>45112</c:v>
                </c:pt>
                <c:pt idx="664" formatCode="m/d/yy">
                  <c:v>45113</c:v>
                </c:pt>
                <c:pt idx="665" formatCode="m/d/yy">
                  <c:v>45114</c:v>
                </c:pt>
                <c:pt idx="666" formatCode="m/d/yy">
                  <c:v>45117</c:v>
                </c:pt>
                <c:pt idx="667" formatCode="m/d/yy">
                  <c:v>45118</c:v>
                </c:pt>
                <c:pt idx="668" formatCode="m/d/yy">
                  <c:v>45119</c:v>
                </c:pt>
                <c:pt idx="669" formatCode="m/d/yy">
                  <c:v>45120</c:v>
                </c:pt>
                <c:pt idx="670" formatCode="m/d/yy">
                  <c:v>45121</c:v>
                </c:pt>
                <c:pt idx="671" formatCode="m/d/yy">
                  <c:v>45124</c:v>
                </c:pt>
                <c:pt idx="672" formatCode="m/d/yy">
                  <c:v>45125</c:v>
                </c:pt>
                <c:pt idx="673" formatCode="m/d/yy">
                  <c:v>45126</c:v>
                </c:pt>
                <c:pt idx="674" formatCode="m/d/yy">
                  <c:v>45127</c:v>
                </c:pt>
                <c:pt idx="675" formatCode="m/d/yy">
                  <c:v>45128</c:v>
                </c:pt>
                <c:pt idx="676" formatCode="m/d/yy">
                  <c:v>45131</c:v>
                </c:pt>
                <c:pt idx="677" formatCode="m/d/yy">
                  <c:v>45132</c:v>
                </c:pt>
                <c:pt idx="678" formatCode="m/d/yy">
                  <c:v>45133</c:v>
                </c:pt>
                <c:pt idx="679" formatCode="m/d/yy">
                  <c:v>45134</c:v>
                </c:pt>
                <c:pt idx="680" formatCode="m/d/yy">
                  <c:v>45135</c:v>
                </c:pt>
                <c:pt idx="681" formatCode="m/d/yy">
                  <c:v>45138</c:v>
                </c:pt>
                <c:pt idx="682" formatCode="m/d/yy">
                  <c:v>45139</c:v>
                </c:pt>
                <c:pt idx="683" formatCode="m/d/yy">
                  <c:v>45140</c:v>
                </c:pt>
                <c:pt idx="684" formatCode="m/d/yy">
                  <c:v>45141</c:v>
                </c:pt>
                <c:pt idx="685" formatCode="m/d/yy">
                  <c:v>45142</c:v>
                </c:pt>
                <c:pt idx="686" formatCode="m/d/yy">
                  <c:v>45145</c:v>
                </c:pt>
                <c:pt idx="687" formatCode="m/d/yy">
                  <c:v>45146</c:v>
                </c:pt>
                <c:pt idx="688" formatCode="m/d/yy">
                  <c:v>45147</c:v>
                </c:pt>
                <c:pt idx="689" formatCode="m/d/yy">
                  <c:v>45148</c:v>
                </c:pt>
                <c:pt idx="690" formatCode="m/d/yy">
                  <c:v>45149</c:v>
                </c:pt>
                <c:pt idx="691" formatCode="m/d/yy">
                  <c:v>45152</c:v>
                </c:pt>
                <c:pt idx="692" formatCode="m/d/yy">
                  <c:v>45153</c:v>
                </c:pt>
                <c:pt idx="693" formatCode="m/d/yy">
                  <c:v>45154</c:v>
                </c:pt>
                <c:pt idx="694" formatCode="m/d/yy">
                  <c:v>45155</c:v>
                </c:pt>
                <c:pt idx="695" formatCode="m/d/yy">
                  <c:v>45156</c:v>
                </c:pt>
                <c:pt idx="696" formatCode="m/d/yy">
                  <c:v>45159</c:v>
                </c:pt>
                <c:pt idx="697" formatCode="m/d/yy">
                  <c:v>45160</c:v>
                </c:pt>
                <c:pt idx="698" formatCode="m/d/yy">
                  <c:v>45161</c:v>
                </c:pt>
                <c:pt idx="699" formatCode="m/d/yy">
                  <c:v>45162</c:v>
                </c:pt>
                <c:pt idx="700" formatCode="m/d/yy">
                  <c:v>45163</c:v>
                </c:pt>
                <c:pt idx="701" formatCode="m/d/yy">
                  <c:v>45166</c:v>
                </c:pt>
                <c:pt idx="702" formatCode="m/d/yy">
                  <c:v>45167</c:v>
                </c:pt>
                <c:pt idx="703" formatCode="m/d/yy">
                  <c:v>45168</c:v>
                </c:pt>
                <c:pt idx="704" formatCode="m/d/yy">
                  <c:v>45169</c:v>
                </c:pt>
                <c:pt idx="705" formatCode="m/d/yy">
                  <c:v>45170</c:v>
                </c:pt>
                <c:pt idx="706" formatCode="m/d/yy">
                  <c:v>45174</c:v>
                </c:pt>
                <c:pt idx="707" formatCode="m/d/yy">
                  <c:v>45175</c:v>
                </c:pt>
                <c:pt idx="708" formatCode="m/d/yy">
                  <c:v>45176</c:v>
                </c:pt>
                <c:pt idx="709" formatCode="m/d/yy">
                  <c:v>45177</c:v>
                </c:pt>
                <c:pt idx="710" formatCode="m/d/yy">
                  <c:v>45180</c:v>
                </c:pt>
                <c:pt idx="711" formatCode="m/d/yy">
                  <c:v>45181</c:v>
                </c:pt>
                <c:pt idx="712" formatCode="m/d/yy">
                  <c:v>45182</c:v>
                </c:pt>
                <c:pt idx="713" formatCode="m/d/yy">
                  <c:v>45183</c:v>
                </c:pt>
                <c:pt idx="714" formatCode="m/d/yy">
                  <c:v>45184</c:v>
                </c:pt>
                <c:pt idx="715" formatCode="m/d/yy">
                  <c:v>45187</c:v>
                </c:pt>
                <c:pt idx="716" formatCode="m/d/yy">
                  <c:v>45188</c:v>
                </c:pt>
                <c:pt idx="717" formatCode="m/d/yy">
                  <c:v>45189</c:v>
                </c:pt>
                <c:pt idx="718" formatCode="m/d/yy">
                  <c:v>45190</c:v>
                </c:pt>
                <c:pt idx="719" formatCode="m/d/yy">
                  <c:v>45191</c:v>
                </c:pt>
                <c:pt idx="720" formatCode="m/d/yy">
                  <c:v>45194</c:v>
                </c:pt>
                <c:pt idx="721" formatCode="m/d/yy">
                  <c:v>45195</c:v>
                </c:pt>
                <c:pt idx="722" formatCode="m/d/yy">
                  <c:v>45196</c:v>
                </c:pt>
                <c:pt idx="723" formatCode="m/d/yy">
                  <c:v>45197</c:v>
                </c:pt>
                <c:pt idx="724" formatCode="m/d/yy">
                  <c:v>45198</c:v>
                </c:pt>
                <c:pt idx="725" formatCode="m/d/yy">
                  <c:v>45201</c:v>
                </c:pt>
                <c:pt idx="726" formatCode="m/d/yy">
                  <c:v>45202</c:v>
                </c:pt>
                <c:pt idx="727" formatCode="m/d/yy">
                  <c:v>45203</c:v>
                </c:pt>
                <c:pt idx="728" formatCode="m/d/yy">
                  <c:v>45204</c:v>
                </c:pt>
                <c:pt idx="729" formatCode="m/d/yy">
                  <c:v>45205</c:v>
                </c:pt>
                <c:pt idx="730" formatCode="m/d/yy">
                  <c:v>45208</c:v>
                </c:pt>
                <c:pt idx="731" formatCode="m/d/yy">
                  <c:v>45209</c:v>
                </c:pt>
                <c:pt idx="732" formatCode="m/d/yy">
                  <c:v>45210</c:v>
                </c:pt>
                <c:pt idx="733" formatCode="m/d/yy">
                  <c:v>45211</c:v>
                </c:pt>
                <c:pt idx="734" formatCode="m/d/yy">
                  <c:v>45212</c:v>
                </c:pt>
                <c:pt idx="735" formatCode="m/d/yy">
                  <c:v>45215</c:v>
                </c:pt>
                <c:pt idx="736" formatCode="m/d/yy">
                  <c:v>45216</c:v>
                </c:pt>
                <c:pt idx="737" formatCode="m/d/yy">
                  <c:v>45217</c:v>
                </c:pt>
                <c:pt idx="738" formatCode="m/d/yy">
                  <c:v>45218</c:v>
                </c:pt>
                <c:pt idx="739" formatCode="m/d/yy">
                  <c:v>45219</c:v>
                </c:pt>
                <c:pt idx="740" formatCode="m/d/yy">
                  <c:v>45222</c:v>
                </c:pt>
                <c:pt idx="741" formatCode="m/d/yy">
                  <c:v>45223</c:v>
                </c:pt>
                <c:pt idx="742" formatCode="m/d/yy">
                  <c:v>45224</c:v>
                </c:pt>
                <c:pt idx="743" formatCode="m/d/yy">
                  <c:v>45225</c:v>
                </c:pt>
                <c:pt idx="744" formatCode="m/d/yy">
                  <c:v>45226</c:v>
                </c:pt>
                <c:pt idx="745" formatCode="m/d/yy">
                  <c:v>45229</c:v>
                </c:pt>
                <c:pt idx="746" formatCode="m/d/yy">
                  <c:v>45230</c:v>
                </c:pt>
                <c:pt idx="747" formatCode="m/d/yy">
                  <c:v>45231</c:v>
                </c:pt>
                <c:pt idx="748" formatCode="m/d/yy">
                  <c:v>45232</c:v>
                </c:pt>
                <c:pt idx="749" formatCode="m/d/yy">
                  <c:v>45233</c:v>
                </c:pt>
                <c:pt idx="750" formatCode="m/d/yy">
                  <c:v>45236</c:v>
                </c:pt>
                <c:pt idx="751" formatCode="m/d/yy">
                  <c:v>45237</c:v>
                </c:pt>
                <c:pt idx="752" formatCode="m/d/yy">
                  <c:v>45238</c:v>
                </c:pt>
                <c:pt idx="753" formatCode="m/d/yy">
                  <c:v>45239</c:v>
                </c:pt>
                <c:pt idx="754" formatCode="m/d/yy">
                  <c:v>45240</c:v>
                </c:pt>
                <c:pt idx="755" formatCode="m/d/yy">
                  <c:v>45243</c:v>
                </c:pt>
                <c:pt idx="756" formatCode="m/d/yy">
                  <c:v>45244</c:v>
                </c:pt>
                <c:pt idx="757" formatCode="m/d/yy">
                  <c:v>45245</c:v>
                </c:pt>
                <c:pt idx="758" formatCode="m/d/yy">
                  <c:v>45246</c:v>
                </c:pt>
                <c:pt idx="759" formatCode="m/d/yy">
                  <c:v>45247</c:v>
                </c:pt>
                <c:pt idx="760" formatCode="m/d/yy">
                  <c:v>45250</c:v>
                </c:pt>
                <c:pt idx="761" formatCode="m/d/yy">
                  <c:v>45251</c:v>
                </c:pt>
                <c:pt idx="762" formatCode="m/d/yy">
                  <c:v>45252</c:v>
                </c:pt>
                <c:pt idx="763" formatCode="m/d/yy">
                  <c:v>45254</c:v>
                </c:pt>
                <c:pt idx="764" formatCode="m/d/yy">
                  <c:v>45257</c:v>
                </c:pt>
                <c:pt idx="765" formatCode="m/d/yy">
                  <c:v>45258</c:v>
                </c:pt>
                <c:pt idx="766" formatCode="m/d/yy">
                  <c:v>45259</c:v>
                </c:pt>
                <c:pt idx="767" formatCode="m/d/yy">
                  <c:v>45260</c:v>
                </c:pt>
                <c:pt idx="768" formatCode="m/d/yy">
                  <c:v>45261</c:v>
                </c:pt>
                <c:pt idx="769" formatCode="m/d/yy">
                  <c:v>45264</c:v>
                </c:pt>
                <c:pt idx="770" formatCode="m/d/yy">
                  <c:v>45265</c:v>
                </c:pt>
                <c:pt idx="771" formatCode="m/d/yy">
                  <c:v>45266</c:v>
                </c:pt>
                <c:pt idx="772" formatCode="m/d/yy">
                  <c:v>45267</c:v>
                </c:pt>
                <c:pt idx="773" formatCode="m/d/yy">
                  <c:v>45268</c:v>
                </c:pt>
                <c:pt idx="774" formatCode="m/d/yy">
                  <c:v>45271</c:v>
                </c:pt>
                <c:pt idx="775" formatCode="m/d/yy">
                  <c:v>45272</c:v>
                </c:pt>
                <c:pt idx="776" formatCode="m/d/yy">
                  <c:v>45273</c:v>
                </c:pt>
                <c:pt idx="777" formatCode="m/d/yy">
                  <c:v>45274</c:v>
                </c:pt>
                <c:pt idx="778" formatCode="m/d/yy">
                  <c:v>45275</c:v>
                </c:pt>
                <c:pt idx="779" formatCode="m/d/yy">
                  <c:v>45278</c:v>
                </c:pt>
                <c:pt idx="780" formatCode="m/d/yy">
                  <c:v>45279</c:v>
                </c:pt>
                <c:pt idx="781" formatCode="m/d/yy">
                  <c:v>45280</c:v>
                </c:pt>
                <c:pt idx="782" formatCode="m/d/yy">
                  <c:v>45281</c:v>
                </c:pt>
                <c:pt idx="783" formatCode="m/d/yy">
                  <c:v>45282</c:v>
                </c:pt>
                <c:pt idx="784" formatCode="m/d/yy">
                  <c:v>45286</c:v>
                </c:pt>
                <c:pt idx="785" formatCode="m/d/yy">
                  <c:v>45287</c:v>
                </c:pt>
                <c:pt idx="786" formatCode="m/d/yy">
                  <c:v>45288</c:v>
                </c:pt>
                <c:pt idx="787" formatCode="m/d/yy">
                  <c:v>45289</c:v>
                </c:pt>
                <c:pt idx="788" formatCode="m/d/yy">
                  <c:v>45293</c:v>
                </c:pt>
                <c:pt idx="789" formatCode="m/d/yy">
                  <c:v>45294</c:v>
                </c:pt>
                <c:pt idx="790" formatCode="m/d/yy">
                  <c:v>45295</c:v>
                </c:pt>
                <c:pt idx="791" formatCode="m/d/yy">
                  <c:v>45296</c:v>
                </c:pt>
                <c:pt idx="792" formatCode="m/d/yy">
                  <c:v>45299</c:v>
                </c:pt>
                <c:pt idx="793" formatCode="m/d/yy">
                  <c:v>45300</c:v>
                </c:pt>
                <c:pt idx="794" formatCode="m/d/yy">
                  <c:v>45301</c:v>
                </c:pt>
                <c:pt idx="795" formatCode="m/d/yy">
                  <c:v>45302</c:v>
                </c:pt>
                <c:pt idx="796" formatCode="m/d/yy">
                  <c:v>45303</c:v>
                </c:pt>
                <c:pt idx="797" formatCode="m/d/yy">
                  <c:v>45307</c:v>
                </c:pt>
                <c:pt idx="798" formatCode="m/d/yy">
                  <c:v>45308</c:v>
                </c:pt>
                <c:pt idx="799" formatCode="m/d/yy">
                  <c:v>45309</c:v>
                </c:pt>
                <c:pt idx="800" formatCode="m/d/yy">
                  <c:v>45310</c:v>
                </c:pt>
                <c:pt idx="801" formatCode="m/d/yy">
                  <c:v>45313</c:v>
                </c:pt>
                <c:pt idx="802" formatCode="m/d/yy">
                  <c:v>45314</c:v>
                </c:pt>
                <c:pt idx="803" formatCode="m/d/yy">
                  <c:v>45315</c:v>
                </c:pt>
                <c:pt idx="804" formatCode="m/d/yy">
                  <c:v>45316</c:v>
                </c:pt>
                <c:pt idx="805" formatCode="m/d/yy">
                  <c:v>45317</c:v>
                </c:pt>
                <c:pt idx="806" formatCode="m/d/yy">
                  <c:v>45320</c:v>
                </c:pt>
                <c:pt idx="807" formatCode="m/d/yy">
                  <c:v>45321</c:v>
                </c:pt>
                <c:pt idx="808" formatCode="m/d/yy">
                  <c:v>45322</c:v>
                </c:pt>
                <c:pt idx="809" formatCode="m/d/yy">
                  <c:v>45323</c:v>
                </c:pt>
                <c:pt idx="810" formatCode="m/d/yy">
                  <c:v>45324</c:v>
                </c:pt>
                <c:pt idx="811" formatCode="m/d/yy">
                  <c:v>45327</c:v>
                </c:pt>
                <c:pt idx="812" formatCode="m/d/yy">
                  <c:v>45328</c:v>
                </c:pt>
                <c:pt idx="813" formatCode="m/d/yy">
                  <c:v>45329</c:v>
                </c:pt>
                <c:pt idx="814" formatCode="m/d/yy">
                  <c:v>45330</c:v>
                </c:pt>
                <c:pt idx="815" formatCode="m/d/yy">
                  <c:v>45331</c:v>
                </c:pt>
                <c:pt idx="816" formatCode="m/d/yy">
                  <c:v>45334</c:v>
                </c:pt>
                <c:pt idx="817" formatCode="m/d/yy">
                  <c:v>45335</c:v>
                </c:pt>
                <c:pt idx="818" formatCode="m/d/yy">
                  <c:v>45336</c:v>
                </c:pt>
                <c:pt idx="819" formatCode="m/d/yy">
                  <c:v>45337</c:v>
                </c:pt>
                <c:pt idx="820" formatCode="m/d/yy">
                  <c:v>45338</c:v>
                </c:pt>
                <c:pt idx="821" formatCode="m/d/yy">
                  <c:v>45342</c:v>
                </c:pt>
                <c:pt idx="822" formatCode="m/d/yy">
                  <c:v>45343</c:v>
                </c:pt>
                <c:pt idx="823" formatCode="m/d/yy">
                  <c:v>45344</c:v>
                </c:pt>
                <c:pt idx="824" formatCode="m/d/yy">
                  <c:v>45345</c:v>
                </c:pt>
                <c:pt idx="825" formatCode="m/d/yy">
                  <c:v>45348</c:v>
                </c:pt>
                <c:pt idx="826" formatCode="m/d/yy">
                  <c:v>45349</c:v>
                </c:pt>
                <c:pt idx="827" formatCode="m/d/yy">
                  <c:v>45350</c:v>
                </c:pt>
                <c:pt idx="828" formatCode="m/d/yy">
                  <c:v>45351</c:v>
                </c:pt>
                <c:pt idx="829" formatCode="m/d/yy">
                  <c:v>45352</c:v>
                </c:pt>
                <c:pt idx="830" formatCode="m/d/yy">
                  <c:v>45355</c:v>
                </c:pt>
                <c:pt idx="831" formatCode="m/d/yy">
                  <c:v>45356</c:v>
                </c:pt>
                <c:pt idx="832" formatCode="m/d/yy">
                  <c:v>45357</c:v>
                </c:pt>
                <c:pt idx="833" formatCode="m/d/yy">
                  <c:v>45358</c:v>
                </c:pt>
                <c:pt idx="834" formatCode="m/d/yy">
                  <c:v>45359</c:v>
                </c:pt>
                <c:pt idx="835" formatCode="m/d/yy">
                  <c:v>45362</c:v>
                </c:pt>
                <c:pt idx="836" formatCode="m/d/yy">
                  <c:v>45363</c:v>
                </c:pt>
                <c:pt idx="837" formatCode="m/d/yy">
                  <c:v>45364</c:v>
                </c:pt>
                <c:pt idx="838" formatCode="m/d/yy">
                  <c:v>45365</c:v>
                </c:pt>
                <c:pt idx="839" formatCode="m/d/yy">
                  <c:v>45366</c:v>
                </c:pt>
                <c:pt idx="840" formatCode="m/d/yy">
                  <c:v>45369</c:v>
                </c:pt>
                <c:pt idx="841" formatCode="m/d/yy">
                  <c:v>45370</c:v>
                </c:pt>
                <c:pt idx="842" formatCode="m/d/yy">
                  <c:v>45371</c:v>
                </c:pt>
                <c:pt idx="843" formatCode="m/d/yy">
                  <c:v>45372</c:v>
                </c:pt>
                <c:pt idx="844" formatCode="m/d/yy">
                  <c:v>45373</c:v>
                </c:pt>
                <c:pt idx="845" formatCode="m/d/yy">
                  <c:v>45376</c:v>
                </c:pt>
                <c:pt idx="846" formatCode="m/d/yy">
                  <c:v>45377</c:v>
                </c:pt>
                <c:pt idx="847" formatCode="m/d/yy">
                  <c:v>45378</c:v>
                </c:pt>
                <c:pt idx="848" formatCode="m/d/yy">
                  <c:v>45379</c:v>
                </c:pt>
                <c:pt idx="849" formatCode="m/d/yy">
                  <c:v>45383</c:v>
                </c:pt>
                <c:pt idx="850" formatCode="m/d/yy">
                  <c:v>45384</c:v>
                </c:pt>
                <c:pt idx="851" formatCode="m/d/yy">
                  <c:v>45385</c:v>
                </c:pt>
                <c:pt idx="852" formatCode="m/d/yy">
                  <c:v>45386</c:v>
                </c:pt>
                <c:pt idx="853" formatCode="m/d/yy">
                  <c:v>45387</c:v>
                </c:pt>
                <c:pt idx="854" formatCode="m/d/yy">
                  <c:v>45390</c:v>
                </c:pt>
                <c:pt idx="855" formatCode="m/d/yy">
                  <c:v>45391</c:v>
                </c:pt>
                <c:pt idx="856" formatCode="m/d/yy">
                  <c:v>45392</c:v>
                </c:pt>
                <c:pt idx="857" formatCode="m/d/yy">
                  <c:v>45393</c:v>
                </c:pt>
                <c:pt idx="858" formatCode="m/d/yy">
                  <c:v>45394</c:v>
                </c:pt>
                <c:pt idx="859" formatCode="m/d/yy">
                  <c:v>45397</c:v>
                </c:pt>
                <c:pt idx="860" formatCode="m/d/yy">
                  <c:v>45398</c:v>
                </c:pt>
                <c:pt idx="861" formatCode="m/d/yy">
                  <c:v>45399</c:v>
                </c:pt>
                <c:pt idx="862" formatCode="m/d/yy">
                  <c:v>45400</c:v>
                </c:pt>
                <c:pt idx="863" formatCode="m/d/yy">
                  <c:v>45401</c:v>
                </c:pt>
                <c:pt idx="864" formatCode="m/d/yy">
                  <c:v>45404</c:v>
                </c:pt>
                <c:pt idx="865" formatCode="m/d/yy">
                  <c:v>45405</c:v>
                </c:pt>
                <c:pt idx="866" formatCode="m/d/yy">
                  <c:v>45406</c:v>
                </c:pt>
                <c:pt idx="867" formatCode="m/d/yy">
                  <c:v>45407</c:v>
                </c:pt>
                <c:pt idx="868" formatCode="m/d/yy">
                  <c:v>45408</c:v>
                </c:pt>
                <c:pt idx="869" formatCode="m/d/yy">
                  <c:v>45411</c:v>
                </c:pt>
                <c:pt idx="870" formatCode="m/d/yy">
                  <c:v>45412</c:v>
                </c:pt>
                <c:pt idx="871" formatCode="m/d/yy">
                  <c:v>45413</c:v>
                </c:pt>
                <c:pt idx="872" formatCode="m/d/yy">
                  <c:v>45414</c:v>
                </c:pt>
                <c:pt idx="873" formatCode="m/d/yy">
                  <c:v>45415</c:v>
                </c:pt>
                <c:pt idx="874" formatCode="m/d/yy">
                  <c:v>45418</c:v>
                </c:pt>
                <c:pt idx="875" formatCode="m/d/yy">
                  <c:v>45419</c:v>
                </c:pt>
                <c:pt idx="876" formatCode="m/d/yy">
                  <c:v>45420</c:v>
                </c:pt>
                <c:pt idx="877" formatCode="m/d/yy">
                  <c:v>45421</c:v>
                </c:pt>
                <c:pt idx="878" formatCode="m/d/yy">
                  <c:v>45422</c:v>
                </c:pt>
                <c:pt idx="879" formatCode="m/d/yy">
                  <c:v>45425</c:v>
                </c:pt>
                <c:pt idx="880" formatCode="m/d/yy">
                  <c:v>45426</c:v>
                </c:pt>
                <c:pt idx="881" formatCode="m/d/yy">
                  <c:v>45427</c:v>
                </c:pt>
                <c:pt idx="882" formatCode="m/d/yy">
                  <c:v>45428</c:v>
                </c:pt>
                <c:pt idx="883" formatCode="m/d/yy">
                  <c:v>45429</c:v>
                </c:pt>
                <c:pt idx="884" formatCode="m/d/yy">
                  <c:v>45432</c:v>
                </c:pt>
                <c:pt idx="885" formatCode="m/d/yy">
                  <c:v>45433</c:v>
                </c:pt>
                <c:pt idx="886" formatCode="m/d/yy">
                  <c:v>45434</c:v>
                </c:pt>
                <c:pt idx="887" formatCode="m/d/yy">
                  <c:v>45435</c:v>
                </c:pt>
                <c:pt idx="888" formatCode="m/d/yy">
                  <c:v>45436</c:v>
                </c:pt>
                <c:pt idx="889" formatCode="m/d/yy">
                  <c:v>45440</c:v>
                </c:pt>
                <c:pt idx="890" formatCode="m/d/yy">
                  <c:v>45441</c:v>
                </c:pt>
                <c:pt idx="891" formatCode="m/d/yy">
                  <c:v>45442</c:v>
                </c:pt>
                <c:pt idx="892" formatCode="m/d/yy">
                  <c:v>45443</c:v>
                </c:pt>
                <c:pt idx="893" formatCode="m/d/yy">
                  <c:v>45446</c:v>
                </c:pt>
                <c:pt idx="894" formatCode="m/d/yy">
                  <c:v>45447</c:v>
                </c:pt>
                <c:pt idx="895" formatCode="m/d/yy">
                  <c:v>45448</c:v>
                </c:pt>
                <c:pt idx="896" formatCode="m/d/yy">
                  <c:v>45449</c:v>
                </c:pt>
                <c:pt idx="897" formatCode="m/d/yy">
                  <c:v>45450</c:v>
                </c:pt>
                <c:pt idx="898" formatCode="m/d/yy">
                  <c:v>45453</c:v>
                </c:pt>
                <c:pt idx="899" formatCode="m/d/yy">
                  <c:v>45454</c:v>
                </c:pt>
                <c:pt idx="900" formatCode="m/d/yy">
                  <c:v>45455</c:v>
                </c:pt>
                <c:pt idx="901" formatCode="m/d/yy">
                  <c:v>45456</c:v>
                </c:pt>
                <c:pt idx="902" formatCode="m/d/yy">
                  <c:v>45457</c:v>
                </c:pt>
                <c:pt idx="903" formatCode="m/d/yy">
                  <c:v>45460</c:v>
                </c:pt>
                <c:pt idx="904" formatCode="m/d/yy">
                  <c:v>45461</c:v>
                </c:pt>
                <c:pt idx="905" formatCode="m/d/yy">
                  <c:v>45463</c:v>
                </c:pt>
                <c:pt idx="906" formatCode="m/d/yy">
                  <c:v>45464</c:v>
                </c:pt>
                <c:pt idx="907" formatCode="m/d/yy">
                  <c:v>45467</c:v>
                </c:pt>
                <c:pt idx="908" formatCode="m/d/yy">
                  <c:v>45468</c:v>
                </c:pt>
                <c:pt idx="909" formatCode="m/d/yy">
                  <c:v>45469</c:v>
                </c:pt>
                <c:pt idx="910" formatCode="m/d/yy">
                  <c:v>45470</c:v>
                </c:pt>
                <c:pt idx="911" formatCode="m/d/yy">
                  <c:v>45471</c:v>
                </c:pt>
                <c:pt idx="912" formatCode="m/d/yy">
                  <c:v>45474</c:v>
                </c:pt>
                <c:pt idx="913" formatCode="m/d/yy">
                  <c:v>45475</c:v>
                </c:pt>
                <c:pt idx="914" formatCode="m/d/yy">
                  <c:v>45476</c:v>
                </c:pt>
                <c:pt idx="915" formatCode="m/d/yy">
                  <c:v>45478</c:v>
                </c:pt>
                <c:pt idx="916" formatCode="m/d/yy">
                  <c:v>45481</c:v>
                </c:pt>
                <c:pt idx="917" formatCode="m/d/yy">
                  <c:v>45482</c:v>
                </c:pt>
                <c:pt idx="918" formatCode="m/d/yy">
                  <c:v>45483</c:v>
                </c:pt>
                <c:pt idx="919" formatCode="m/d/yy">
                  <c:v>45484</c:v>
                </c:pt>
                <c:pt idx="920" formatCode="m/d/yy">
                  <c:v>45485</c:v>
                </c:pt>
                <c:pt idx="921" formatCode="m/d/yy">
                  <c:v>45488</c:v>
                </c:pt>
                <c:pt idx="922" formatCode="m/d/yy">
                  <c:v>45489</c:v>
                </c:pt>
                <c:pt idx="923" formatCode="m/d/yy">
                  <c:v>45490</c:v>
                </c:pt>
                <c:pt idx="924" formatCode="m/d/yy">
                  <c:v>45491</c:v>
                </c:pt>
                <c:pt idx="925" formatCode="m/d/yy">
                  <c:v>45492</c:v>
                </c:pt>
                <c:pt idx="926" formatCode="m/d/yy">
                  <c:v>45495</c:v>
                </c:pt>
                <c:pt idx="927" formatCode="m/d/yy">
                  <c:v>45496</c:v>
                </c:pt>
                <c:pt idx="928" formatCode="m/d/yy">
                  <c:v>45497</c:v>
                </c:pt>
                <c:pt idx="929" formatCode="m/d/yy">
                  <c:v>45498</c:v>
                </c:pt>
                <c:pt idx="930" formatCode="m/d/yy">
                  <c:v>45499</c:v>
                </c:pt>
                <c:pt idx="931" formatCode="m/d/yy">
                  <c:v>45502</c:v>
                </c:pt>
                <c:pt idx="932" formatCode="m/d/yy">
                  <c:v>45503</c:v>
                </c:pt>
                <c:pt idx="933" formatCode="m/d/yy">
                  <c:v>45504</c:v>
                </c:pt>
                <c:pt idx="934" formatCode="m/d/yy">
                  <c:v>45505</c:v>
                </c:pt>
                <c:pt idx="935" formatCode="m/d/yy">
                  <c:v>45506</c:v>
                </c:pt>
                <c:pt idx="936" formatCode="m/d/yy">
                  <c:v>45509</c:v>
                </c:pt>
                <c:pt idx="937" formatCode="m/d/yy">
                  <c:v>45510</c:v>
                </c:pt>
                <c:pt idx="938" formatCode="m/d/yy">
                  <c:v>45511</c:v>
                </c:pt>
                <c:pt idx="939" formatCode="m/d/yy">
                  <c:v>45512</c:v>
                </c:pt>
                <c:pt idx="940" formatCode="m/d/yy">
                  <c:v>45513</c:v>
                </c:pt>
                <c:pt idx="941" formatCode="m/d/yy">
                  <c:v>45516</c:v>
                </c:pt>
                <c:pt idx="942" formatCode="m/d/yy">
                  <c:v>45517</c:v>
                </c:pt>
                <c:pt idx="943" formatCode="m/d/yy">
                  <c:v>45518</c:v>
                </c:pt>
                <c:pt idx="944" formatCode="m/d/yy">
                  <c:v>45519</c:v>
                </c:pt>
                <c:pt idx="945" formatCode="m/d/yy">
                  <c:v>45520</c:v>
                </c:pt>
                <c:pt idx="946" formatCode="m/d/yy">
                  <c:v>45523</c:v>
                </c:pt>
                <c:pt idx="947" formatCode="m/d/yy">
                  <c:v>45524</c:v>
                </c:pt>
                <c:pt idx="948" formatCode="m/d/yy">
                  <c:v>45525</c:v>
                </c:pt>
                <c:pt idx="949" formatCode="m/d/yy">
                  <c:v>45526</c:v>
                </c:pt>
                <c:pt idx="950" formatCode="m/d/yy">
                  <c:v>45527</c:v>
                </c:pt>
                <c:pt idx="951" formatCode="m/d/yy">
                  <c:v>45530</c:v>
                </c:pt>
                <c:pt idx="952" formatCode="m/d/yy">
                  <c:v>45531</c:v>
                </c:pt>
                <c:pt idx="953" formatCode="m/d/yy">
                  <c:v>45532</c:v>
                </c:pt>
                <c:pt idx="954" formatCode="m/d/yy">
                  <c:v>45533</c:v>
                </c:pt>
                <c:pt idx="955" formatCode="m/d/yy">
                  <c:v>45534</c:v>
                </c:pt>
                <c:pt idx="956" formatCode="m/d/yy">
                  <c:v>45538</c:v>
                </c:pt>
                <c:pt idx="957" formatCode="m/d/yy">
                  <c:v>45539</c:v>
                </c:pt>
                <c:pt idx="958" formatCode="m/d/yy">
                  <c:v>45540</c:v>
                </c:pt>
                <c:pt idx="959" formatCode="m/d/yy">
                  <c:v>45541</c:v>
                </c:pt>
                <c:pt idx="960" formatCode="m/d/yy">
                  <c:v>45544</c:v>
                </c:pt>
                <c:pt idx="961" formatCode="m/d/yy">
                  <c:v>45545</c:v>
                </c:pt>
                <c:pt idx="962" formatCode="m/d/yy">
                  <c:v>45546</c:v>
                </c:pt>
                <c:pt idx="963" formatCode="m/d/yy">
                  <c:v>45547</c:v>
                </c:pt>
                <c:pt idx="964" formatCode="m/d/yy">
                  <c:v>45548</c:v>
                </c:pt>
                <c:pt idx="965" formatCode="m/d/yy">
                  <c:v>45551</c:v>
                </c:pt>
                <c:pt idx="966" formatCode="m/d/yy">
                  <c:v>45552</c:v>
                </c:pt>
                <c:pt idx="967" formatCode="m/d/yy">
                  <c:v>45553</c:v>
                </c:pt>
                <c:pt idx="968" formatCode="m/d/yy">
                  <c:v>45554</c:v>
                </c:pt>
                <c:pt idx="969" formatCode="m/d/yy">
                  <c:v>45555</c:v>
                </c:pt>
                <c:pt idx="970" formatCode="m/d/yy">
                  <c:v>45558</c:v>
                </c:pt>
                <c:pt idx="971" formatCode="m/d/yy">
                  <c:v>45559</c:v>
                </c:pt>
                <c:pt idx="972" formatCode="m/d/yy">
                  <c:v>45560</c:v>
                </c:pt>
                <c:pt idx="973" formatCode="m/d/yy">
                  <c:v>45561</c:v>
                </c:pt>
                <c:pt idx="974" formatCode="m/d/yy">
                  <c:v>45562</c:v>
                </c:pt>
                <c:pt idx="975" formatCode="m/d/yy">
                  <c:v>45565</c:v>
                </c:pt>
                <c:pt idx="976" formatCode="m/d/yy">
                  <c:v>45566</c:v>
                </c:pt>
                <c:pt idx="977" formatCode="m/d/yy">
                  <c:v>45567</c:v>
                </c:pt>
                <c:pt idx="978" formatCode="m/d/yy">
                  <c:v>45568</c:v>
                </c:pt>
                <c:pt idx="979" formatCode="m/d/yy">
                  <c:v>45569</c:v>
                </c:pt>
                <c:pt idx="980" formatCode="m/d/yy">
                  <c:v>45572</c:v>
                </c:pt>
                <c:pt idx="981" formatCode="m/d/yy">
                  <c:v>45573</c:v>
                </c:pt>
                <c:pt idx="982" formatCode="m/d/yy">
                  <c:v>45574</c:v>
                </c:pt>
                <c:pt idx="983" formatCode="m/d/yy">
                  <c:v>45575</c:v>
                </c:pt>
                <c:pt idx="984" formatCode="m/d/yy">
                  <c:v>45576</c:v>
                </c:pt>
                <c:pt idx="985" formatCode="m/d/yy">
                  <c:v>45579</c:v>
                </c:pt>
                <c:pt idx="986" formatCode="m/d/yy">
                  <c:v>45580</c:v>
                </c:pt>
                <c:pt idx="987" formatCode="m/d/yy">
                  <c:v>45581</c:v>
                </c:pt>
                <c:pt idx="988" formatCode="m/d/yy">
                  <c:v>45582</c:v>
                </c:pt>
                <c:pt idx="989" formatCode="m/d/yy">
                  <c:v>45583</c:v>
                </c:pt>
                <c:pt idx="990" formatCode="m/d/yy">
                  <c:v>45586</c:v>
                </c:pt>
                <c:pt idx="991" formatCode="m/d/yy">
                  <c:v>45587</c:v>
                </c:pt>
                <c:pt idx="992" formatCode="m/d/yy">
                  <c:v>45588</c:v>
                </c:pt>
                <c:pt idx="993" formatCode="m/d/yy">
                  <c:v>45589</c:v>
                </c:pt>
                <c:pt idx="994" formatCode="m/d/yy">
                  <c:v>45590</c:v>
                </c:pt>
                <c:pt idx="995" formatCode="m/d/yy">
                  <c:v>45593</c:v>
                </c:pt>
                <c:pt idx="996" formatCode="m/d/yy">
                  <c:v>45594</c:v>
                </c:pt>
                <c:pt idx="997" formatCode="m/d/yy">
                  <c:v>45595</c:v>
                </c:pt>
                <c:pt idx="998" formatCode="m/d/yy">
                  <c:v>45596</c:v>
                </c:pt>
                <c:pt idx="999" formatCode="m/d/yy">
                  <c:v>45597</c:v>
                </c:pt>
                <c:pt idx="1000" formatCode="m/d/yy">
                  <c:v>45600</c:v>
                </c:pt>
                <c:pt idx="1001" formatCode="m/d/yy">
                  <c:v>45601</c:v>
                </c:pt>
                <c:pt idx="1002" formatCode="m/d/yy">
                  <c:v>45602</c:v>
                </c:pt>
                <c:pt idx="1003" formatCode="m/d/yy">
                  <c:v>45603</c:v>
                </c:pt>
                <c:pt idx="1004" formatCode="m/d/yy">
                  <c:v>45604</c:v>
                </c:pt>
                <c:pt idx="1005" formatCode="m/d/yy">
                  <c:v>45607</c:v>
                </c:pt>
                <c:pt idx="1006" formatCode="m/d/yy">
                  <c:v>45608</c:v>
                </c:pt>
                <c:pt idx="1007" formatCode="m/d/yy">
                  <c:v>45609</c:v>
                </c:pt>
                <c:pt idx="1008" formatCode="m/d/yy">
                  <c:v>45610</c:v>
                </c:pt>
                <c:pt idx="1009" formatCode="m/d/yy">
                  <c:v>45611</c:v>
                </c:pt>
                <c:pt idx="1010" formatCode="m/d/yy">
                  <c:v>45614</c:v>
                </c:pt>
                <c:pt idx="1011" formatCode="m/d/yy">
                  <c:v>45615</c:v>
                </c:pt>
                <c:pt idx="1012" formatCode="m/d/yy">
                  <c:v>45616</c:v>
                </c:pt>
                <c:pt idx="1013" formatCode="m/d/yy">
                  <c:v>45617</c:v>
                </c:pt>
                <c:pt idx="1014" formatCode="m/d/yy">
                  <c:v>45618</c:v>
                </c:pt>
                <c:pt idx="1015" formatCode="m/d/yy">
                  <c:v>45621</c:v>
                </c:pt>
                <c:pt idx="1016" formatCode="m/d/yy">
                  <c:v>45622</c:v>
                </c:pt>
                <c:pt idx="1017" formatCode="m/d/yy">
                  <c:v>45623</c:v>
                </c:pt>
                <c:pt idx="1018" formatCode="m/d/yy">
                  <c:v>45625</c:v>
                </c:pt>
                <c:pt idx="1019" formatCode="m/d/yy">
                  <c:v>45628</c:v>
                </c:pt>
                <c:pt idx="1020" formatCode="m/d/yy">
                  <c:v>45629</c:v>
                </c:pt>
                <c:pt idx="1021" formatCode="m/d/yy">
                  <c:v>45630</c:v>
                </c:pt>
                <c:pt idx="1022" formatCode="m/d/yy">
                  <c:v>45631</c:v>
                </c:pt>
                <c:pt idx="1023" formatCode="m/d/yy">
                  <c:v>45632</c:v>
                </c:pt>
                <c:pt idx="1024" formatCode="m/d/yy">
                  <c:v>45635</c:v>
                </c:pt>
                <c:pt idx="1025" formatCode="m/d/yy">
                  <c:v>45636</c:v>
                </c:pt>
                <c:pt idx="1026" formatCode="m/d/yy">
                  <c:v>45637</c:v>
                </c:pt>
                <c:pt idx="1027" formatCode="m/d/yy">
                  <c:v>45638</c:v>
                </c:pt>
                <c:pt idx="1028" formatCode="m/d/yy">
                  <c:v>45639</c:v>
                </c:pt>
                <c:pt idx="1029" formatCode="m/d/yy">
                  <c:v>45642</c:v>
                </c:pt>
                <c:pt idx="1030" formatCode="m/d/yy">
                  <c:v>45643</c:v>
                </c:pt>
                <c:pt idx="1031" formatCode="m/d/yy">
                  <c:v>45644</c:v>
                </c:pt>
                <c:pt idx="1032" formatCode="m/d/yy">
                  <c:v>45645</c:v>
                </c:pt>
                <c:pt idx="1033" formatCode="m/d/yy">
                  <c:v>45646</c:v>
                </c:pt>
                <c:pt idx="1034" formatCode="m/d/yy">
                  <c:v>45649</c:v>
                </c:pt>
                <c:pt idx="1035" formatCode="m/d/yy">
                  <c:v>45650</c:v>
                </c:pt>
                <c:pt idx="1036" formatCode="m/d/yy">
                  <c:v>45652</c:v>
                </c:pt>
                <c:pt idx="1037" formatCode="m/d/yy">
                  <c:v>45653</c:v>
                </c:pt>
                <c:pt idx="1038" formatCode="m/d/yy">
                  <c:v>45656</c:v>
                </c:pt>
                <c:pt idx="1039" formatCode="m/d/yy">
                  <c:v>45657</c:v>
                </c:pt>
                <c:pt idx="1040" formatCode="m/d/yy">
                  <c:v>45659</c:v>
                </c:pt>
                <c:pt idx="1041" formatCode="m/d/yy">
                  <c:v>45660</c:v>
                </c:pt>
                <c:pt idx="1042" formatCode="m/d/yy">
                  <c:v>45663</c:v>
                </c:pt>
                <c:pt idx="1043" formatCode="m/d/yy">
                  <c:v>45664</c:v>
                </c:pt>
                <c:pt idx="1044" formatCode="m/d/yy">
                  <c:v>45665</c:v>
                </c:pt>
                <c:pt idx="1045" formatCode="m/d/yy">
                  <c:v>45667</c:v>
                </c:pt>
                <c:pt idx="1046" formatCode="m/d/yy">
                  <c:v>45670</c:v>
                </c:pt>
                <c:pt idx="1047" formatCode="m/d/yy">
                  <c:v>45671</c:v>
                </c:pt>
                <c:pt idx="1048" formatCode="m/d/yy">
                  <c:v>45672</c:v>
                </c:pt>
                <c:pt idx="1049" formatCode="m/d/yy">
                  <c:v>45673</c:v>
                </c:pt>
                <c:pt idx="1050" formatCode="m/d/yy">
                  <c:v>45674</c:v>
                </c:pt>
                <c:pt idx="1051" formatCode="m/d/yy">
                  <c:v>45678</c:v>
                </c:pt>
                <c:pt idx="1052" formatCode="m/d/yy">
                  <c:v>45679</c:v>
                </c:pt>
                <c:pt idx="1053" formatCode="m/d/yy">
                  <c:v>45680</c:v>
                </c:pt>
                <c:pt idx="1054" formatCode="m/d/yy">
                  <c:v>45681</c:v>
                </c:pt>
                <c:pt idx="1055" formatCode="m/d/yy">
                  <c:v>45684</c:v>
                </c:pt>
                <c:pt idx="1056" formatCode="m/d/yy">
                  <c:v>45685</c:v>
                </c:pt>
                <c:pt idx="1057" formatCode="m/d/yy">
                  <c:v>45686</c:v>
                </c:pt>
                <c:pt idx="1058" formatCode="m/d/yy">
                  <c:v>45687</c:v>
                </c:pt>
                <c:pt idx="1059" formatCode="m/d/yy">
                  <c:v>45688</c:v>
                </c:pt>
                <c:pt idx="1060" formatCode="m/d/yy">
                  <c:v>45691</c:v>
                </c:pt>
                <c:pt idx="1061" formatCode="m/d/yy">
                  <c:v>45692</c:v>
                </c:pt>
                <c:pt idx="1062" formatCode="m/d/yy">
                  <c:v>45693</c:v>
                </c:pt>
                <c:pt idx="1063" formatCode="m/d/yy">
                  <c:v>45694</c:v>
                </c:pt>
                <c:pt idx="1064" formatCode="m/d/yy">
                  <c:v>45695</c:v>
                </c:pt>
                <c:pt idx="1065" formatCode="m/d/yy">
                  <c:v>45698</c:v>
                </c:pt>
                <c:pt idx="1066" formatCode="m/d/yy">
                  <c:v>45699</c:v>
                </c:pt>
                <c:pt idx="1067" formatCode="m/d/yy">
                  <c:v>45700</c:v>
                </c:pt>
                <c:pt idx="1068" formatCode="m/d/yy">
                  <c:v>45701</c:v>
                </c:pt>
                <c:pt idx="1069" formatCode="m/d/yy">
                  <c:v>45702</c:v>
                </c:pt>
                <c:pt idx="1070" formatCode="m/d/yy">
                  <c:v>45706</c:v>
                </c:pt>
                <c:pt idx="1071" formatCode="m/d/yy">
                  <c:v>45707</c:v>
                </c:pt>
                <c:pt idx="1072" formatCode="m/d/yy">
                  <c:v>45708</c:v>
                </c:pt>
                <c:pt idx="1073" formatCode="m/d/yy">
                  <c:v>45709</c:v>
                </c:pt>
                <c:pt idx="1074" formatCode="m/d/yy">
                  <c:v>45712</c:v>
                </c:pt>
                <c:pt idx="1075" formatCode="m/d/yy">
                  <c:v>45713</c:v>
                </c:pt>
                <c:pt idx="1076" formatCode="m/d/yy">
                  <c:v>45714</c:v>
                </c:pt>
                <c:pt idx="1077" formatCode="m/d/yy">
                  <c:v>45715</c:v>
                </c:pt>
                <c:pt idx="1078" formatCode="m/d/yy">
                  <c:v>45716</c:v>
                </c:pt>
                <c:pt idx="1079" formatCode="m/d/yy">
                  <c:v>45719</c:v>
                </c:pt>
                <c:pt idx="1080" formatCode="m/d/yy">
                  <c:v>45720</c:v>
                </c:pt>
                <c:pt idx="1081" formatCode="m/d/yy">
                  <c:v>45721</c:v>
                </c:pt>
                <c:pt idx="1082" formatCode="m/d/yy">
                  <c:v>45722</c:v>
                </c:pt>
                <c:pt idx="1083" formatCode="m/d/yy">
                  <c:v>45723</c:v>
                </c:pt>
                <c:pt idx="1084" formatCode="m/d/yy">
                  <c:v>45726</c:v>
                </c:pt>
                <c:pt idx="1085" formatCode="m/d/yy">
                  <c:v>45727</c:v>
                </c:pt>
                <c:pt idx="1086" formatCode="m/d/yy">
                  <c:v>45728</c:v>
                </c:pt>
                <c:pt idx="1087" formatCode="m/d/yy">
                  <c:v>45729</c:v>
                </c:pt>
                <c:pt idx="1088" formatCode="m/d/yy">
                  <c:v>45730</c:v>
                </c:pt>
                <c:pt idx="1089" formatCode="m/d/yy">
                  <c:v>45733</c:v>
                </c:pt>
                <c:pt idx="1090" formatCode="m/d/yy">
                  <c:v>45734</c:v>
                </c:pt>
                <c:pt idx="1091" formatCode="m/d/yy">
                  <c:v>45735</c:v>
                </c:pt>
                <c:pt idx="1092" formatCode="m/d/yy">
                  <c:v>45736</c:v>
                </c:pt>
                <c:pt idx="1093" formatCode="m/d/yy">
                  <c:v>45737</c:v>
                </c:pt>
                <c:pt idx="1094" formatCode="m/d/yy">
                  <c:v>45740</c:v>
                </c:pt>
                <c:pt idx="1095" formatCode="m/d/yy">
                  <c:v>45741</c:v>
                </c:pt>
                <c:pt idx="1096" formatCode="m/d/yy">
                  <c:v>45742</c:v>
                </c:pt>
                <c:pt idx="1097" formatCode="m/d/yy">
                  <c:v>45743</c:v>
                </c:pt>
                <c:pt idx="1098" formatCode="m/d/yy">
                  <c:v>45744</c:v>
                </c:pt>
                <c:pt idx="1099" formatCode="m/d/yy">
                  <c:v>45747</c:v>
                </c:pt>
                <c:pt idx="1100" formatCode="m/d/yy">
                  <c:v>45748</c:v>
                </c:pt>
                <c:pt idx="1101" formatCode="m/d/yy">
                  <c:v>45749</c:v>
                </c:pt>
                <c:pt idx="1102" formatCode="m/d/yy">
                  <c:v>45750</c:v>
                </c:pt>
                <c:pt idx="1103" formatCode="m/d/yy">
                  <c:v>45751</c:v>
                </c:pt>
                <c:pt idx="1104" formatCode="m/d/yy">
                  <c:v>45754</c:v>
                </c:pt>
                <c:pt idx="1105" formatCode="m/d/yy">
                  <c:v>45755</c:v>
                </c:pt>
                <c:pt idx="1106" formatCode="m/d/yy">
                  <c:v>45756</c:v>
                </c:pt>
                <c:pt idx="1107" formatCode="m/d/yy">
                  <c:v>45757</c:v>
                </c:pt>
                <c:pt idx="1108" formatCode="m/d/yy">
                  <c:v>45758</c:v>
                </c:pt>
                <c:pt idx="1109" formatCode="m/d/yy">
                  <c:v>45761</c:v>
                </c:pt>
                <c:pt idx="1110" formatCode="m/d/yy">
                  <c:v>45762</c:v>
                </c:pt>
                <c:pt idx="1111" formatCode="m/d/yy">
                  <c:v>45763</c:v>
                </c:pt>
                <c:pt idx="1112" formatCode="m/d/yy">
                  <c:v>45764</c:v>
                </c:pt>
                <c:pt idx="1113" formatCode="m/d/yy">
                  <c:v>45768</c:v>
                </c:pt>
                <c:pt idx="1114" formatCode="m/d/yy">
                  <c:v>45769</c:v>
                </c:pt>
                <c:pt idx="1115" formatCode="m/d/yy">
                  <c:v>45770</c:v>
                </c:pt>
                <c:pt idx="1116" formatCode="m/d/yy">
                  <c:v>45771</c:v>
                </c:pt>
                <c:pt idx="1117" formatCode="m/d/yy">
                  <c:v>45772</c:v>
                </c:pt>
                <c:pt idx="1118" formatCode="m/d/yy">
                  <c:v>45775</c:v>
                </c:pt>
                <c:pt idx="1119" formatCode="m/d/yy">
                  <c:v>45776</c:v>
                </c:pt>
                <c:pt idx="1120" formatCode="m/d/yy">
                  <c:v>45777</c:v>
                </c:pt>
                <c:pt idx="1121" formatCode="m/d/yy">
                  <c:v>45778</c:v>
                </c:pt>
                <c:pt idx="1122" formatCode="m/d/yy">
                  <c:v>45779</c:v>
                </c:pt>
                <c:pt idx="1123" formatCode="m/d/yy">
                  <c:v>45782</c:v>
                </c:pt>
                <c:pt idx="1124" formatCode="m/d/yy">
                  <c:v>45783</c:v>
                </c:pt>
                <c:pt idx="1125" formatCode="m/d/yy">
                  <c:v>45784</c:v>
                </c:pt>
                <c:pt idx="1126" formatCode="m/d/yy">
                  <c:v>45785</c:v>
                </c:pt>
                <c:pt idx="1127" formatCode="m/d/yy">
                  <c:v>45786</c:v>
                </c:pt>
                <c:pt idx="1128" formatCode="m/d/yy">
                  <c:v>45789</c:v>
                </c:pt>
                <c:pt idx="1129" formatCode="m/d/yy">
                  <c:v>45790</c:v>
                </c:pt>
                <c:pt idx="1130" formatCode="m/d/yy">
                  <c:v>45791</c:v>
                </c:pt>
                <c:pt idx="1131" formatCode="m/d/yy">
                  <c:v>45792</c:v>
                </c:pt>
                <c:pt idx="1132" formatCode="m/d/yy">
                  <c:v>45793</c:v>
                </c:pt>
                <c:pt idx="1133" formatCode="m/d/yy">
                  <c:v>45796</c:v>
                </c:pt>
                <c:pt idx="1134" formatCode="m/d/yy">
                  <c:v>45797</c:v>
                </c:pt>
                <c:pt idx="1135" formatCode="m/d/yy">
                  <c:v>45798</c:v>
                </c:pt>
                <c:pt idx="1136" formatCode="m/d/yy">
                  <c:v>45799</c:v>
                </c:pt>
                <c:pt idx="1137" formatCode="m/d/yy">
                  <c:v>45800</c:v>
                </c:pt>
                <c:pt idx="1138" formatCode="m/d/yy">
                  <c:v>45804</c:v>
                </c:pt>
                <c:pt idx="1139" formatCode="m/d/yy">
                  <c:v>45805</c:v>
                </c:pt>
                <c:pt idx="1140" formatCode="m/d/yy">
                  <c:v>45806</c:v>
                </c:pt>
                <c:pt idx="1141" formatCode="m/d/yy">
                  <c:v>45807</c:v>
                </c:pt>
                <c:pt idx="1142" formatCode="m/d/yy">
                  <c:v>45810</c:v>
                </c:pt>
                <c:pt idx="1143" formatCode="m/d/yy">
                  <c:v>45811</c:v>
                </c:pt>
                <c:pt idx="1144" formatCode="m/d/yy">
                  <c:v>45812</c:v>
                </c:pt>
                <c:pt idx="1145" formatCode="m/d/yy">
                  <c:v>45813</c:v>
                </c:pt>
                <c:pt idx="1146" formatCode="m/d/yy">
                  <c:v>45814</c:v>
                </c:pt>
                <c:pt idx="1147" formatCode="m/d/yy">
                  <c:v>45817</c:v>
                </c:pt>
                <c:pt idx="1148" formatCode="m/d/yy">
                  <c:v>45818</c:v>
                </c:pt>
                <c:pt idx="1149" formatCode="m/d/yy">
                  <c:v>45819</c:v>
                </c:pt>
                <c:pt idx="1150" formatCode="m/d/yy">
                  <c:v>45820</c:v>
                </c:pt>
                <c:pt idx="1151" formatCode="m/d/yy">
                  <c:v>45821</c:v>
                </c:pt>
                <c:pt idx="1152" formatCode="m/d/yy">
                  <c:v>45824</c:v>
                </c:pt>
                <c:pt idx="1153" formatCode="m/d/yy">
                  <c:v>45825</c:v>
                </c:pt>
                <c:pt idx="1154" formatCode="m/d/yy">
                  <c:v>45826</c:v>
                </c:pt>
                <c:pt idx="1155" formatCode="m/d/yy">
                  <c:v>45828</c:v>
                </c:pt>
                <c:pt idx="1156" formatCode="m/d/yy">
                  <c:v>45831</c:v>
                </c:pt>
                <c:pt idx="1157" formatCode="m/d/yy">
                  <c:v>45832</c:v>
                </c:pt>
                <c:pt idx="1158" formatCode="m/d/yy">
                  <c:v>45833</c:v>
                </c:pt>
                <c:pt idx="1159" formatCode="m/d/yy">
                  <c:v>45834</c:v>
                </c:pt>
                <c:pt idx="1160" formatCode="m/d/yy">
                  <c:v>45835</c:v>
                </c:pt>
                <c:pt idx="1161" formatCode="m/d/yy">
                  <c:v>45838</c:v>
                </c:pt>
                <c:pt idx="1162" formatCode="m/d/yy">
                  <c:v>45839</c:v>
                </c:pt>
                <c:pt idx="1163" formatCode="m/d/yy">
                  <c:v>45840</c:v>
                </c:pt>
                <c:pt idx="1164" formatCode="m/d/yy">
                  <c:v>45841</c:v>
                </c:pt>
                <c:pt idx="1165" formatCode="m/d/yy">
                  <c:v>45845</c:v>
                </c:pt>
                <c:pt idx="1166" formatCode="m/d/yy">
                  <c:v>45846</c:v>
                </c:pt>
                <c:pt idx="1167" formatCode="m/d/yy">
                  <c:v>45847</c:v>
                </c:pt>
                <c:pt idx="1168" formatCode="m/d/yy">
                  <c:v>45848</c:v>
                </c:pt>
                <c:pt idx="1169" formatCode="m/d/yy">
                  <c:v>45849</c:v>
                </c:pt>
                <c:pt idx="1170" formatCode="m/d/yy">
                  <c:v>45852</c:v>
                </c:pt>
                <c:pt idx="1171" formatCode="m/d/yy">
                  <c:v>45853</c:v>
                </c:pt>
                <c:pt idx="1172" formatCode="m/d/yy">
                  <c:v>45854</c:v>
                </c:pt>
                <c:pt idx="1173" formatCode="m/d/yy">
                  <c:v>45855</c:v>
                </c:pt>
                <c:pt idx="1174" formatCode="m/d/yy">
                  <c:v>45856</c:v>
                </c:pt>
                <c:pt idx="1175" formatCode="m/d/yy">
                  <c:v>45859</c:v>
                </c:pt>
                <c:pt idx="1176" formatCode="m/d/yy">
                  <c:v>45860</c:v>
                </c:pt>
                <c:pt idx="1177" formatCode="m/d/yy">
                  <c:v>45861</c:v>
                </c:pt>
                <c:pt idx="1178" formatCode="m/d/yy">
                  <c:v>45862</c:v>
                </c:pt>
                <c:pt idx="1179" formatCode="m/d/yy">
                  <c:v>45863</c:v>
                </c:pt>
                <c:pt idx="1180" formatCode="m/d/yy">
                  <c:v>45866</c:v>
                </c:pt>
                <c:pt idx="1181" formatCode="m/d/yy">
                  <c:v>45867</c:v>
                </c:pt>
                <c:pt idx="1182" formatCode="m/d/yy">
                  <c:v>45868</c:v>
                </c:pt>
                <c:pt idx="1183" formatCode="m/d/yy">
                  <c:v>45869</c:v>
                </c:pt>
                <c:pt idx="1184" formatCode="m/d/yy">
                  <c:v>45870</c:v>
                </c:pt>
                <c:pt idx="1185" formatCode="m/d/yy">
                  <c:v>45873</c:v>
                </c:pt>
                <c:pt idx="1186" formatCode="m/d/yy">
                  <c:v>45874</c:v>
                </c:pt>
                <c:pt idx="1187" formatCode="m/d/yy">
                  <c:v>45875</c:v>
                </c:pt>
                <c:pt idx="1188" formatCode="m/d/yy">
                  <c:v>45876</c:v>
                </c:pt>
                <c:pt idx="1189" formatCode="m/d/yy">
                  <c:v>45877</c:v>
                </c:pt>
                <c:pt idx="1190" formatCode="m/d/yy">
                  <c:v>45880</c:v>
                </c:pt>
                <c:pt idx="1191" formatCode="m/d/yy">
                  <c:v>45881</c:v>
                </c:pt>
                <c:pt idx="1192" formatCode="m/d/yy">
                  <c:v>45882</c:v>
                </c:pt>
                <c:pt idx="1193" formatCode="m/d/yy">
                  <c:v>45883</c:v>
                </c:pt>
                <c:pt idx="1194" formatCode="m/d/yy">
                  <c:v>45884</c:v>
                </c:pt>
                <c:pt idx="1195" formatCode="m/d/yy">
                  <c:v>45887</c:v>
                </c:pt>
                <c:pt idx="1196" formatCode="m/d/yy">
                  <c:v>45888</c:v>
                </c:pt>
                <c:pt idx="1197" formatCode="m/d/yy">
                  <c:v>45889</c:v>
                </c:pt>
                <c:pt idx="1198" formatCode="m/d/yy">
                  <c:v>45890</c:v>
                </c:pt>
                <c:pt idx="1199" formatCode="m/d/yy">
                  <c:v>45891</c:v>
                </c:pt>
                <c:pt idx="1200" formatCode="m/d/yy">
                  <c:v>45894</c:v>
                </c:pt>
                <c:pt idx="1201" formatCode="m/d/yy">
                  <c:v>45895</c:v>
                </c:pt>
                <c:pt idx="1202" formatCode="m/d/yy">
                  <c:v>45896</c:v>
                </c:pt>
                <c:pt idx="1203" formatCode="m/d/yy">
                  <c:v>45897</c:v>
                </c:pt>
                <c:pt idx="1204" formatCode="m/d/yy">
                  <c:v>45898</c:v>
                </c:pt>
                <c:pt idx="1205" formatCode="m/d/yy">
                  <c:v>45902</c:v>
                </c:pt>
                <c:pt idx="1206" formatCode="m/d/yy">
                  <c:v>45903</c:v>
                </c:pt>
                <c:pt idx="1207" formatCode="m/d/yy">
                  <c:v>45904</c:v>
                </c:pt>
                <c:pt idx="1208" formatCode="m/d/yy">
                  <c:v>45905</c:v>
                </c:pt>
                <c:pt idx="1209" formatCode="m/d/yy">
                  <c:v>45908</c:v>
                </c:pt>
                <c:pt idx="1210" formatCode="m/d/yy">
                  <c:v>45909</c:v>
                </c:pt>
                <c:pt idx="1211" formatCode="m/d/yy">
                  <c:v>45910</c:v>
                </c:pt>
                <c:pt idx="1212" formatCode="m/d/yy">
                  <c:v>45911</c:v>
                </c:pt>
                <c:pt idx="1213" formatCode="m/d/yy">
                  <c:v>45912</c:v>
                </c:pt>
                <c:pt idx="1214" formatCode="m/d/yy">
                  <c:v>45915</c:v>
                </c:pt>
                <c:pt idx="1215" formatCode="m/d/yy">
                  <c:v>45916</c:v>
                </c:pt>
                <c:pt idx="1216" formatCode="m/d/yy">
                  <c:v>45917</c:v>
                </c:pt>
                <c:pt idx="1217" formatCode="m/d/yy">
                  <c:v>45918</c:v>
                </c:pt>
                <c:pt idx="1218" formatCode="m/d/yy">
                  <c:v>45919</c:v>
                </c:pt>
                <c:pt idx="1219" formatCode="m/d/yy">
                  <c:v>45922</c:v>
                </c:pt>
                <c:pt idx="1220" formatCode="m/d/yy">
                  <c:v>45923</c:v>
                </c:pt>
                <c:pt idx="1221" formatCode="m/d/yy">
                  <c:v>45924</c:v>
                </c:pt>
                <c:pt idx="1222" formatCode="m/d/yy">
                  <c:v>45925</c:v>
                </c:pt>
                <c:pt idx="1223" formatCode="m/d/yy">
                  <c:v>45926</c:v>
                </c:pt>
                <c:pt idx="1224" formatCode="m/d/yy">
                  <c:v>45929</c:v>
                </c:pt>
                <c:pt idx="1225" formatCode="m/d/yy">
                  <c:v>45930</c:v>
                </c:pt>
                <c:pt idx="1226" formatCode="m/d/yy">
                  <c:v>45931</c:v>
                </c:pt>
                <c:pt idx="1227" formatCode="m/d/yy">
                  <c:v>45932</c:v>
                </c:pt>
                <c:pt idx="1228" formatCode="m/d/yy">
                  <c:v>45933</c:v>
                </c:pt>
                <c:pt idx="1229" formatCode="m/d/yy">
                  <c:v>45936</c:v>
                </c:pt>
                <c:pt idx="1230" formatCode="m/d/yy">
                  <c:v>45937</c:v>
                </c:pt>
                <c:pt idx="1231" formatCode="m/d/yy">
                  <c:v>45938</c:v>
                </c:pt>
                <c:pt idx="1232" formatCode="m/d/yy">
                  <c:v>45939</c:v>
                </c:pt>
                <c:pt idx="1233" formatCode="m/d/yy">
                  <c:v>45940</c:v>
                </c:pt>
                <c:pt idx="1234" formatCode="m/d/yy">
                  <c:v>45943</c:v>
                </c:pt>
                <c:pt idx="1235" formatCode="m/d/yy">
                  <c:v>45944</c:v>
                </c:pt>
                <c:pt idx="1236" formatCode="m/d/yy">
                  <c:v>45945</c:v>
                </c:pt>
                <c:pt idx="1237" formatCode="m/d/yy">
                  <c:v>45946</c:v>
                </c:pt>
                <c:pt idx="1238" formatCode="m/d/yy">
                  <c:v>45947</c:v>
                </c:pt>
                <c:pt idx="1239" formatCode="m/d/yy">
                  <c:v>45950</c:v>
                </c:pt>
                <c:pt idx="1240" formatCode="m/d/yy">
                  <c:v>45951</c:v>
                </c:pt>
                <c:pt idx="1241" formatCode="m/d/yy">
                  <c:v>45952</c:v>
                </c:pt>
                <c:pt idx="1242" formatCode="m/d/yy">
                  <c:v>45953</c:v>
                </c:pt>
                <c:pt idx="1243" formatCode="m/d/yy">
                  <c:v>45954</c:v>
                </c:pt>
                <c:pt idx="1244" formatCode="m/d/yy">
                  <c:v>45957</c:v>
                </c:pt>
                <c:pt idx="1245" formatCode="m/d/yy">
                  <c:v>45958</c:v>
                </c:pt>
                <c:pt idx="1246" formatCode="m/d/yy">
                  <c:v>45959</c:v>
                </c:pt>
                <c:pt idx="1247" formatCode="m/d/yy">
                  <c:v>45960</c:v>
                </c:pt>
                <c:pt idx="1248" formatCode="m/d/yy">
                  <c:v>45961</c:v>
                </c:pt>
                <c:pt idx="1249" formatCode="m/d/yy">
                  <c:v>45964</c:v>
                </c:pt>
                <c:pt idx="1250" formatCode="m/d/yy">
                  <c:v>45965</c:v>
                </c:pt>
                <c:pt idx="1251" formatCode="m/d/yy">
                  <c:v>45966</c:v>
                </c:pt>
                <c:pt idx="1252" formatCode="m/d/yy">
                  <c:v>45967</c:v>
                </c:pt>
                <c:pt idx="1253" formatCode="m/d/yy">
                  <c:v>45968</c:v>
                </c:pt>
                <c:pt idx="1254" formatCode="m/d/yy">
                  <c:v>45971</c:v>
                </c:pt>
              </c:numCache>
            </c:numRef>
          </c:cat>
          <c:val>
            <c:numRef>
              <c:f>'One Pager'!$K$21:$K$1275</c:f>
              <c:numCache>
                <c:formatCode>General</c:formatCode>
                <c:ptCount val="1255"/>
                <c:pt idx="11">
                  <c:v>3241.3310000000001</c:v>
                </c:pt>
                <c:pt idx="12">
                  <c:v>6421.9780000000001</c:v>
                </c:pt>
                <c:pt idx="13">
                  <c:v>5335.39</c:v>
                </c:pt>
                <c:pt idx="14">
                  <c:v>3384.7570000000001</c:v>
                </c:pt>
                <c:pt idx="15">
                  <c:v>4566.9790000000003</c:v>
                </c:pt>
                <c:pt idx="16">
                  <c:v>3649.424</c:v>
                </c:pt>
                <c:pt idx="17">
                  <c:v>5506.91</c:v>
                </c:pt>
                <c:pt idx="18">
                  <c:v>2974.7950000000001</c:v>
                </c:pt>
                <c:pt idx="19">
                  <c:v>4754.7110000000002</c:v>
                </c:pt>
                <c:pt idx="20">
                  <c:v>4406.6260000000002</c:v>
                </c:pt>
                <c:pt idx="21">
                  <c:v>4003.6619999999998</c:v>
                </c:pt>
                <c:pt idx="22">
                  <c:v>3926.1840000000002</c:v>
                </c:pt>
                <c:pt idx="23">
                  <c:v>3310.0129999999999</c:v>
                </c:pt>
                <c:pt idx="24">
                  <c:v>3125.5720000000001</c:v>
                </c:pt>
                <c:pt idx="25">
                  <c:v>3040.17</c:v>
                </c:pt>
                <c:pt idx="26">
                  <c:v>4856.8320000000003</c:v>
                </c:pt>
                <c:pt idx="27">
                  <c:v>2991.8530000000001</c:v>
                </c:pt>
                <c:pt idx="28">
                  <c:v>3517.4110000000001</c:v>
                </c:pt>
                <c:pt idx="29">
                  <c:v>2304.5320000000002</c:v>
                </c:pt>
                <c:pt idx="30">
                  <c:v>996.7</c:v>
                </c:pt>
                <c:pt idx="31">
                  <c:v>2598.5210000000002</c:v>
                </c:pt>
                <c:pt idx="32">
                  <c:v>2201.0839999999998</c:v>
                </c:pt>
                <c:pt idx="33">
                  <c:v>1634.037</c:v>
                </c:pt>
                <c:pt idx="34">
                  <c:v>2147.248</c:v>
                </c:pt>
                <c:pt idx="35">
                  <c:v>3612.41</c:v>
                </c:pt>
                <c:pt idx="36">
                  <c:v>2396.3870000000002</c:v>
                </c:pt>
                <c:pt idx="37">
                  <c:v>4662.82</c:v>
                </c:pt>
                <c:pt idx="38">
                  <c:v>3643.88</c:v>
                </c:pt>
                <c:pt idx="39">
                  <c:v>3536.556</c:v>
                </c:pt>
                <c:pt idx="40">
                  <c:v>3425.9850000000001</c:v>
                </c:pt>
                <c:pt idx="41">
                  <c:v>4575.4769999999999</c:v>
                </c:pt>
                <c:pt idx="42">
                  <c:v>2986.8409999999999</c:v>
                </c:pt>
                <c:pt idx="43">
                  <c:v>1966.336</c:v>
                </c:pt>
                <c:pt idx="44">
                  <c:v>3123.2860000000001</c:v>
                </c:pt>
                <c:pt idx="45">
                  <c:v>2630.748</c:v>
                </c:pt>
                <c:pt idx="46">
                  <c:v>1929.671</c:v>
                </c:pt>
                <c:pt idx="47">
                  <c:v>2599.8029999999999</c:v>
                </c:pt>
                <c:pt idx="48">
                  <c:v>1619.7090000000001</c:v>
                </c:pt>
                <c:pt idx="49">
                  <c:v>2250.11</c:v>
                </c:pt>
                <c:pt idx="50">
                  <c:v>2140.6260000000002</c:v>
                </c:pt>
                <c:pt idx="51">
                  <c:v>2445.8609999999999</c:v>
                </c:pt>
                <c:pt idx="52">
                  <c:v>2429.8960000000002</c:v>
                </c:pt>
                <c:pt idx="53">
                  <c:v>2481.444</c:v>
                </c:pt>
                <c:pt idx="54">
                  <c:v>2706.8760000000002</c:v>
                </c:pt>
                <c:pt idx="55">
                  <c:v>2530.444</c:v>
                </c:pt>
                <c:pt idx="56">
                  <c:v>1503.51</c:v>
                </c:pt>
                <c:pt idx="57">
                  <c:v>2421.96</c:v>
                </c:pt>
                <c:pt idx="58">
                  <c:v>1632.9369999999999</c:v>
                </c:pt>
                <c:pt idx="59">
                  <c:v>1715.0930000000001</c:v>
                </c:pt>
                <c:pt idx="60">
                  <c:v>1528.2059999999999</c:v>
                </c:pt>
                <c:pt idx="61">
                  <c:v>1274.8879999999999</c:v>
                </c:pt>
                <c:pt idx="62">
                  <c:v>1636.075</c:v>
                </c:pt>
                <c:pt idx="63">
                  <c:v>1858.078</c:v>
                </c:pt>
                <c:pt idx="64">
                  <c:v>1880.1849999999999</c:v>
                </c:pt>
                <c:pt idx="65">
                  <c:v>2242.0459999999998</c:v>
                </c:pt>
                <c:pt idx="66">
                  <c:v>1890.521</c:v>
                </c:pt>
                <c:pt idx="67">
                  <c:v>2044.45</c:v>
                </c:pt>
                <c:pt idx="68">
                  <c:v>1742.94</c:v>
                </c:pt>
                <c:pt idx="69">
                  <c:v>2198.4160000000002</c:v>
                </c:pt>
                <c:pt idx="70">
                  <c:v>3279.761</c:v>
                </c:pt>
                <c:pt idx="71">
                  <c:v>10053.655000000001</c:v>
                </c:pt>
                <c:pt idx="72">
                  <c:v>4570.0550000000003</c:v>
                </c:pt>
                <c:pt idx="73">
                  <c:v>3709.2089999999998</c:v>
                </c:pt>
                <c:pt idx="74">
                  <c:v>3011.692</c:v>
                </c:pt>
                <c:pt idx="75">
                  <c:v>2848.8339999999998</c:v>
                </c:pt>
                <c:pt idx="76">
                  <c:v>4288.7089999999998</c:v>
                </c:pt>
                <c:pt idx="77">
                  <c:v>5128.1000000000004</c:v>
                </c:pt>
                <c:pt idx="78">
                  <c:v>3830.8409999999999</c:v>
                </c:pt>
                <c:pt idx="79">
                  <c:v>3294.9960000000001</c:v>
                </c:pt>
                <c:pt idx="80">
                  <c:v>3175.77</c:v>
                </c:pt>
                <c:pt idx="81">
                  <c:v>2407.2750000000001</c:v>
                </c:pt>
                <c:pt idx="82">
                  <c:v>1963.08</c:v>
                </c:pt>
                <c:pt idx="83">
                  <c:v>3347.1880000000001</c:v>
                </c:pt>
                <c:pt idx="84">
                  <c:v>2328.194</c:v>
                </c:pt>
                <c:pt idx="85">
                  <c:v>2584.3960000000002</c:v>
                </c:pt>
                <c:pt idx="86">
                  <c:v>2906.5720000000001</c:v>
                </c:pt>
                <c:pt idx="87">
                  <c:v>9098.4459999999999</c:v>
                </c:pt>
                <c:pt idx="88">
                  <c:v>2809.8670000000002</c:v>
                </c:pt>
                <c:pt idx="89">
                  <c:v>3663.0540000000001</c:v>
                </c:pt>
                <c:pt idx="90">
                  <c:v>2883.9920000000002</c:v>
                </c:pt>
                <c:pt idx="91">
                  <c:v>2250.6869999999999</c:v>
                </c:pt>
                <c:pt idx="92">
                  <c:v>1872.8140000000001</c:v>
                </c:pt>
                <c:pt idx="93">
                  <c:v>2598.41</c:v>
                </c:pt>
                <c:pt idx="94">
                  <c:v>1934.0609999999999</c:v>
                </c:pt>
                <c:pt idx="95">
                  <c:v>1938.9880000000001</c:v>
                </c:pt>
                <c:pt idx="96">
                  <c:v>2486.52</c:v>
                </c:pt>
                <c:pt idx="97">
                  <c:v>1641.9459999999999</c:v>
                </c:pt>
                <c:pt idx="98">
                  <c:v>3604.1469999999999</c:v>
                </c:pt>
                <c:pt idx="99">
                  <c:v>2502.8270000000002</c:v>
                </c:pt>
                <c:pt idx="100">
                  <c:v>1776.7729999999999</c:v>
                </c:pt>
                <c:pt idx="101">
                  <c:v>2126.799</c:v>
                </c:pt>
                <c:pt idx="102">
                  <c:v>2390.279</c:v>
                </c:pt>
                <c:pt idx="103">
                  <c:v>2449.6170000000002</c:v>
                </c:pt>
                <c:pt idx="104">
                  <c:v>1525.6859999999999</c:v>
                </c:pt>
                <c:pt idx="105">
                  <c:v>1453.87</c:v>
                </c:pt>
                <c:pt idx="106">
                  <c:v>1845.117</c:v>
                </c:pt>
                <c:pt idx="107">
                  <c:v>2912.64</c:v>
                </c:pt>
                <c:pt idx="108">
                  <c:v>1750.384</c:v>
                </c:pt>
                <c:pt idx="109">
                  <c:v>1509.4169999999999</c:v>
                </c:pt>
                <c:pt idx="110">
                  <c:v>2405.4430000000002</c:v>
                </c:pt>
                <c:pt idx="111">
                  <c:v>1547.8030000000001</c:v>
                </c:pt>
                <c:pt idx="112">
                  <c:v>2275.7399999999998</c:v>
                </c:pt>
                <c:pt idx="113">
                  <c:v>1355.3050000000001</c:v>
                </c:pt>
                <c:pt idx="114">
                  <c:v>1190.431</c:v>
                </c:pt>
                <c:pt idx="115">
                  <c:v>1274.4100000000001</c:v>
                </c:pt>
                <c:pt idx="116">
                  <c:v>1633.8489999999999</c:v>
                </c:pt>
                <c:pt idx="117">
                  <c:v>1507.74</c:v>
                </c:pt>
                <c:pt idx="118">
                  <c:v>1330.307</c:v>
                </c:pt>
                <c:pt idx="119">
                  <c:v>1270.0239999999999</c:v>
                </c:pt>
                <c:pt idx="120">
                  <c:v>2293.5540000000001</c:v>
                </c:pt>
                <c:pt idx="121">
                  <c:v>1764.03</c:v>
                </c:pt>
                <c:pt idx="122">
                  <c:v>3980.393</c:v>
                </c:pt>
                <c:pt idx="123">
                  <c:v>2044.846</c:v>
                </c:pt>
                <c:pt idx="124">
                  <c:v>2158.221</c:v>
                </c:pt>
                <c:pt idx="125">
                  <c:v>1706.2619999999999</c:v>
                </c:pt>
                <c:pt idx="126">
                  <c:v>1677.329</c:v>
                </c:pt>
                <c:pt idx="127">
                  <c:v>1403.7619999999999</c:v>
                </c:pt>
                <c:pt idx="128">
                  <c:v>1982.5619999999999</c:v>
                </c:pt>
                <c:pt idx="129">
                  <c:v>2555.674</c:v>
                </c:pt>
                <c:pt idx="130">
                  <c:v>2063.8380000000002</c:v>
                </c:pt>
                <c:pt idx="131">
                  <c:v>2549.0520000000001</c:v>
                </c:pt>
                <c:pt idx="132">
                  <c:v>2145.7510000000002</c:v>
                </c:pt>
                <c:pt idx="133">
                  <c:v>1907.3320000000001</c:v>
                </c:pt>
                <c:pt idx="134">
                  <c:v>2969.3670000000002</c:v>
                </c:pt>
                <c:pt idx="135">
                  <c:v>7719.442</c:v>
                </c:pt>
                <c:pt idx="136">
                  <c:v>4573.4219999999996</c:v>
                </c:pt>
                <c:pt idx="137">
                  <c:v>2818.7570000000001</c:v>
                </c:pt>
                <c:pt idx="138">
                  <c:v>3302.8119999999999</c:v>
                </c:pt>
                <c:pt idx="139">
                  <c:v>2476.0949999999998</c:v>
                </c:pt>
                <c:pt idx="140">
                  <c:v>1641.2159999999999</c:v>
                </c:pt>
                <c:pt idx="141">
                  <c:v>1502.981</c:v>
                </c:pt>
                <c:pt idx="142">
                  <c:v>1537.433</c:v>
                </c:pt>
                <c:pt idx="143">
                  <c:v>2195.4029999999998</c:v>
                </c:pt>
                <c:pt idx="144">
                  <c:v>3373.29</c:v>
                </c:pt>
                <c:pt idx="145">
                  <c:v>2364.3580000000002</c:v>
                </c:pt>
                <c:pt idx="146">
                  <c:v>1801.1079999999999</c:v>
                </c:pt>
                <c:pt idx="147">
                  <c:v>1949.6279999999999</c:v>
                </c:pt>
                <c:pt idx="148">
                  <c:v>2944.3139999999999</c:v>
                </c:pt>
                <c:pt idx="149">
                  <c:v>2338.4720000000002</c:v>
                </c:pt>
                <c:pt idx="150">
                  <c:v>4255.0789999999997</c:v>
                </c:pt>
                <c:pt idx="151">
                  <c:v>2020.3510000000001</c:v>
                </c:pt>
                <c:pt idx="152">
                  <c:v>2477.7840000000001</c:v>
                </c:pt>
                <c:pt idx="153">
                  <c:v>1554.5609999999999</c:v>
                </c:pt>
                <c:pt idx="154">
                  <c:v>1660.066</c:v>
                </c:pt>
                <c:pt idx="155">
                  <c:v>2592.6529999999998</c:v>
                </c:pt>
                <c:pt idx="156">
                  <c:v>1942.96</c:v>
                </c:pt>
                <c:pt idx="157">
                  <c:v>1890.779</c:v>
                </c:pt>
                <c:pt idx="158">
                  <c:v>1879.2</c:v>
                </c:pt>
                <c:pt idx="159">
                  <c:v>1554.5409999999999</c:v>
                </c:pt>
                <c:pt idx="160">
                  <c:v>1634.55</c:v>
                </c:pt>
                <c:pt idx="161">
                  <c:v>2952.2190000000001</c:v>
                </c:pt>
                <c:pt idx="162">
                  <c:v>2079.127</c:v>
                </c:pt>
                <c:pt idx="163">
                  <c:v>2010.4590000000001</c:v>
                </c:pt>
                <c:pt idx="164">
                  <c:v>2096.759</c:v>
                </c:pt>
                <c:pt idx="165">
                  <c:v>1704.077</c:v>
                </c:pt>
                <c:pt idx="166">
                  <c:v>2306.9580000000001</c:v>
                </c:pt>
                <c:pt idx="167">
                  <c:v>1334.1120000000001</c:v>
                </c:pt>
                <c:pt idx="168">
                  <c:v>2742.1610000000001</c:v>
                </c:pt>
                <c:pt idx="169">
                  <c:v>1844.356</c:v>
                </c:pt>
                <c:pt idx="170">
                  <c:v>2527.9450000000002</c:v>
                </c:pt>
                <c:pt idx="171">
                  <c:v>1784.2260000000001</c:v>
                </c:pt>
                <c:pt idx="172">
                  <c:v>1659.874</c:v>
                </c:pt>
                <c:pt idx="173">
                  <c:v>1819.944</c:v>
                </c:pt>
                <c:pt idx="174">
                  <c:v>1620.079</c:v>
                </c:pt>
                <c:pt idx="175">
                  <c:v>1767.492</c:v>
                </c:pt>
                <c:pt idx="176">
                  <c:v>1423.2449999999999</c:v>
                </c:pt>
                <c:pt idx="177">
                  <c:v>1404.3969999999999</c:v>
                </c:pt>
                <c:pt idx="178">
                  <c:v>1386.704</c:v>
                </c:pt>
                <c:pt idx="179">
                  <c:v>1752.991</c:v>
                </c:pt>
                <c:pt idx="180">
                  <c:v>1302.7629999999999</c:v>
                </c:pt>
                <c:pt idx="181">
                  <c:v>1265.655</c:v>
                </c:pt>
                <c:pt idx="182">
                  <c:v>1134.2529999999999</c:v>
                </c:pt>
                <c:pt idx="183">
                  <c:v>1907.251</c:v>
                </c:pt>
                <c:pt idx="184">
                  <c:v>1699.6089999999999</c:v>
                </c:pt>
                <c:pt idx="185">
                  <c:v>1346.934</c:v>
                </c:pt>
                <c:pt idx="186">
                  <c:v>1315.6</c:v>
                </c:pt>
                <c:pt idx="187">
                  <c:v>2565.5610000000001</c:v>
                </c:pt>
                <c:pt idx="188">
                  <c:v>1248.6199999999999</c:v>
                </c:pt>
                <c:pt idx="189">
                  <c:v>2293.4229999999998</c:v>
                </c:pt>
                <c:pt idx="190">
                  <c:v>1833.0840000000001</c:v>
                </c:pt>
                <c:pt idx="191">
                  <c:v>2212.558</c:v>
                </c:pt>
                <c:pt idx="192">
                  <c:v>2079.348</c:v>
                </c:pt>
                <c:pt idx="193">
                  <c:v>1954.9269999999999</c:v>
                </c:pt>
                <c:pt idx="194">
                  <c:v>2131.1170000000002</c:v>
                </c:pt>
                <c:pt idx="195">
                  <c:v>3630.7759999999998</c:v>
                </c:pt>
                <c:pt idx="196">
                  <c:v>11896.879000000001</c:v>
                </c:pt>
                <c:pt idx="197">
                  <c:v>3685.3330000000001</c:v>
                </c:pt>
                <c:pt idx="198">
                  <c:v>2700.2060000000001</c:v>
                </c:pt>
                <c:pt idx="199">
                  <c:v>2013.2090000000001</c:v>
                </c:pt>
                <c:pt idx="200">
                  <c:v>1722.81</c:v>
                </c:pt>
                <c:pt idx="201">
                  <c:v>2877.2510000000002</c:v>
                </c:pt>
                <c:pt idx="202">
                  <c:v>2709.5059999999999</c:v>
                </c:pt>
                <c:pt idx="203">
                  <c:v>1788.0909999999999</c:v>
                </c:pt>
                <c:pt idx="204">
                  <c:v>1762.6130000000001</c:v>
                </c:pt>
                <c:pt idx="205">
                  <c:v>2426.4899999999998</c:v>
                </c:pt>
                <c:pt idx="206">
                  <c:v>2558.7649999999999</c:v>
                </c:pt>
                <c:pt idx="207">
                  <c:v>2211.8690000000001</c:v>
                </c:pt>
                <c:pt idx="208">
                  <c:v>1728.8520000000001</c:v>
                </c:pt>
                <c:pt idx="209">
                  <c:v>1592.684</c:v>
                </c:pt>
                <c:pt idx="210">
                  <c:v>1564.81</c:v>
                </c:pt>
                <c:pt idx="211">
                  <c:v>2068.826</c:v>
                </c:pt>
                <c:pt idx="212">
                  <c:v>1511.146</c:v>
                </c:pt>
                <c:pt idx="213">
                  <c:v>2946.2</c:v>
                </c:pt>
                <c:pt idx="214">
                  <c:v>2101.6350000000002</c:v>
                </c:pt>
                <c:pt idx="215">
                  <c:v>2240.8980000000001</c:v>
                </c:pt>
                <c:pt idx="216">
                  <c:v>1500.742</c:v>
                </c:pt>
                <c:pt idx="217">
                  <c:v>2053.877</c:v>
                </c:pt>
                <c:pt idx="218">
                  <c:v>3377.7510000000002</c:v>
                </c:pt>
                <c:pt idx="219">
                  <c:v>4675.0219999999999</c:v>
                </c:pt>
                <c:pt idx="220">
                  <c:v>2933.7930000000001</c:v>
                </c:pt>
                <c:pt idx="221">
                  <c:v>1771.1379999999999</c:v>
                </c:pt>
                <c:pt idx="222">
                  <c:v>3692.9360000000001</c:v>
                </c:pt>
                <c:pt idx="223">
                  <c:v>2134.12</c:v>
                </c:pt>
                <c:pt idx="224">
                  <c:v>1739.0250000000001</c:v>
                </c:pt>
                <c:pt idx="225">
                  <c:v>2050.116</c:v>
                </c:pt>
                <c:pt idx="226">
                  <c:v>1808.9549999999999</c:v>
                </c:pt>
                <c:pt idx="227">
                  <c:v>2188.1689999999999</c:v>
                </c:pt>
                <c:pt idx="228">
                  <c:v>1729.191</c:v>
                </c:pt>
                <c:pt idx="229">
                  <c:v>1790.4839999999999</c:v>
                </c:pt>
                <c:pt idx="230">
                  <c:v>1604.9639999999999</c:v>
                </c:pt>
                <c:pt idx="231">
                  <c:v>2069.1640000000002</c:v>
                </c:pt>
                <c:pt idx="232">
                  <c:v>2140.63</c:v>
                </c:pt>
                <c:pt idx="233">
                  <c:v>2133.5439999999999</c:v>
                </c:pt>
                <c:pt idx="234">
                  <c:v>2392.933</c:v>
                </c:pt>
                <c:pt idx="235">
                  <c:v>2087.8470000000002</c:v>
                </c:pt>
                <c:pt idx="236">
                  <c:v>1588.751</c:v>
                </c:pt>
                <c:pt idx="237">
                  <c:v>1756.0519999999999</c:v>
                </c:pt>
                <c:pt idx="238">
                  <c:v>1736.1849999999999</c:v>
                </c:pt>
                <c:pt idx="239">
                  <c:v>2225.9920000000002</c:v>
                </c:pt>
                <c:pt idx="240">
                  <c:v>2605.7739999999999</c:v>
                </c:pt>
                <c:pt idx="241">
                  <c:v>2172.9879999999998</c:v>
                </c:pt>
                <c:pt idx="242">
                  <c:v>1646.3</c:v>
                </c:pt>
                <c:pt idx="243">
                  <c:v>2283.7730000000001</c:v>
                </c:pt>
                <c:pt idx="244">
                  <c:v>1901.377</c:v>
                </c:pt>
                <c:pt idx="245">
                  <c:v>1794.2929999999999</c:v>
                </c:pt>
                <c:pt idx="246">
                  <c:v>2224.933</c:v>
                </c:pt>
                <c:pt idx="247">
                  <c:v>2952.51</c:v>
                </c:pt>
                <c:pt idx="248">
                  <c:v>2217.39</c:v>
                </c:pt>
                <c:pt idx="249">
                  <c:v>2595.1979999999999</c:v>
                </c:pt>
                <c:pt idx="250">
                  <c:v>2025.453</c:v>
                </c:pt>
                <c:pt idx="251">
                  <c:v>1924.623</c:v>
                </c:pt>
                <c:pt idx="252">
                  <c:v>1843.348</c:v>
                </c:pt>
                <c:pt idx="253">
                  <c:v>2313.5309999999999</c:v>
                </c:pt>
                <c:pt idx="254">
                  <c:v>2681.913</c:v>
                </c:pt>
                <c:pt idx="255">
                  <c:v>2232.0329999999999</c:v>
                </c:pt>
                <c:pt idx="256">
                  <c:v>1928.4590000000001</c:v>
                </c:pt>
                <c:pt idx="257">
                  <c:v>2357.7539999999999</c:v>
                </c:pt>
                <c:pt idx="258">
                  <c:v>1955.6410000000001</c:v>
                </c:pt>
                <c:pt idx="259">
                  <c:v>5417.6090000000004</c:v>
                </c:pt>
                <c:pt idx="260">
                  <c:v>15941.013000000001</c:v>
                </c:pt>
                <c:pt idx="261">
                  <c:v>5990.0119999999997</c:v>
                </c:pt>
                <c:pt idx="262">
                  <c:v>2345.9690000000001</c:v>
                </c:pt>
                <c:pt idx="263">
                  <c:v>4595.7280000000001</c:v>
                </c:pt>
                <c:pt idx="264">
                  <c:v>5747.8559999999998</c:v>
                </c:pt>
                <c:pt idx="265">
                  <c:v>4550.2370000000001</c:v>
                </c:pt>
                <c:pt idx="266">
                  <c:v>4235.7560000000003</c:v>
                </c:pt>
                <c:pt idx="267">
                  <c:v>4048.7640000000001</c:v>
                </c:pt>
                <c:pt idx="268">
                  <c:v>4489.3850000000002</c:v>
                </c:pt>
                <c:pt idx="269">
                  <c:v>3097.4679999999998</c:v>
                </c:pt>
                <c:pt idx="270">
                  <c:v>2525.59</c:v>
                </c:pt>
                <c:pt idx="271">
                  <c:v>2934.1770000000001</c:v>
                </c:pt>
                <c:pt idx="272">
                  <c:v>3169.509</c:v>
                </c:pt>
                <c:pt idx="273">
                  <c:v>4043.4540000000002</c:v>
                </c:pt>
                <c:pt idx="274">
                  <c:v>3924.3620000000001</c:v>
                </c:pt>
                <c:pt idx="275">
                  <c:v>3237.9969999999998</c:v>
                </c:pt>
                <c:pt idx="276">
                  <c:v>3600.4549999999999</c:v>
                </c:pt>
                <c:pt idx="277">
                  <c:v>5112.5479999999998</c:v>
                </c:pt>
                <c:pt idx="278">
                  <c:v>4640.1719999999996</c:v>
                </c:pt>
                <c:pt idx="279">
                  <c:v>2887.9380000000001</c:v>
                </c:pt>
                <c:pt idx="280">
                  <c:v>2331.3980000000001</c:v>
                </c:pt>
                <c:pt idx="281">
                  <c:v>2488.2420000000002</c:v>
                </c:pt>
                <c:pt idx="282">
                  <c:v>2511.627</c:v>
                </c:pt>
                <c:pt idx="283">
                  <c:v>2148.9050000000002</c:v>
                </c:pt>
                <c:pt idx="284">
                  <c:v>2599.8710000000001</c:v>
                </c:pt>
                <c:pt idx="285">
                  <c:v>2258.3910000000001</c:v>
                </c:pt>
                <c:pt idx="286">
                  <c:v>2037.9549999999999</c:v>
                </c:pt>
                <c:pt idx="287">
                  <c:v>2829.0039999999999</c:v>
                </c:pt>
                <c:pt idx="288">
                  <c:v>4085.5279999999998</c:v>
                </c:pt>
                <c:pt idx="289">
                  <c:v>2818.1909999999998</c:v>
                </c:pt>
                <c:pt idx="290">
                  <c:v>3565.5189999999998</c:v>
                </c:pt>
                <c:pt idx="291">
                  <c:v>3137.1219999999998</c:v>
                </c:pt>
                <c:pt idx="292">
                  <c:v>5354.1279999999997</c:v>
                </c:pt>
                <c:pt idx="293">
                  <c:v>2524.5949999999998</c:v>
                </c:pt>
                <c:pt idx="294">
                  <c:v>3009.0070000000001</c:v>
                </c:pt>
                <c:pt idx="295">
                  <c:v>2298.0610000000001</c:v>
                </c:pt>
                <c:pt idx="296">
                  <c:v>3728.107</c:v>
                </c:pt>
                <c:pt idx="297">
                  <c:v>3696.1320000000001</c:v>
                </c:pt>
                <c:pt idx="298">
                  <c:v>2609.5509999999999</c:v>
                </c:pt>
                <c:pt idx="299">
                  <c:v>3846.069</c:v>
                </c:pt>
                <c:pt idx="300">
                  <c:v>3406.5340000000001</c:v>
                </c:pt>
                <c:pt idx="301">
                  <c:v>5150.3829999999998</c:v>
                </c:pt>
                <c:pt idx="302">
                  <c:v>3751.3760000000002</c:v>
                </c:pt>
                <c:pt idx="303">
                  <c:v>2787.3519999999999</c:v>
                </c:pt>
                <c:pt idx="304">
                  <c:v>2213.6320000000001</c:v>
                </c:pt>
                <c:pt idx="305">
                  <c:v>1904.319</c:v>
                </c:pt>
                <c:pt idx="306">
                  <c:v>2362.451</c:v>
                </c:pt>
                <c:pt idx="307">
                  <c:v>1763.6949999999999</c:v>
                </c:pt>
                <c:pt idx="308">
                  <c:v>2408.002</c:v>
                </c:pt>
                <c:pt idx="309">
                  <c:v>1878.5540000000001</c:v>
                </c:pt>
                <c:pt idx="310">
                  <c:v>2132.92</c:v>
                </c:pt>
                <c:pt idx="311">
                  <c:v>1474.02</c:v>
                </c:pt>
                <c:pt idx="312">
                  <c:v>1780.9770000000001</c:v>
                </c:pt>
                <c:pt idx="313">
                  <c:v>1761.884</c:v>
                </c:pt>
                <c:pt idx="314">
                  <c:v>2283.2660000000001</c:v>
                </c:pt>
                <c:pt idx="315">
                  <c:v>3466.953</c:v>
                </c:pt>
                <c:pt idx="316">
                  <c:v>2315.2869999999998</c:v>
                </c:pt>
                <c:pt idx="317">
                  <c:v>1660.134</c:v>
                </c:pt>
                <c:pt idx="318">
                  <c:v>2288.9520000000002</c:v>
                </c:pt>
                <c:pt idx="319">
                  <c:v>1408.0920000000001</c:v>
                </c:pt>
                <c:pt idx="320">
                  <c:v>1853.0920000000001</c:v>
                </c:pt>
                <c:pt idx="321">
                  <c:v>5404.71</c:v>
                </c:pt>
                <c:pt idx="322">
                  <c:v>3588.9879999999998</c:v>
                </c:pt>
                <c:pt idx="323">
                  <c:v>2908.7289999999998</c:v>
                </c:pt>
                <c:pt idx="324">
                  <c:v>2929.3850000000002</c:v>
                </c:pt>
                <c:pt idx="325">
                  <c:v>3390.5549999999998</c:v>
                </c:pt>
                <c:pt idx="326">
                  <c:v>2629.0929999999998</c:v>
                </c:pt>
                <c:pt idx="327">
                  <c:v>6182.6760000000004</c:v>
                </c:pt>
                <c:pt idx="328">
                  <c:v>18352.706999999999</c:v>
                </c:pt>
                <c:pt idx="329">
                  <c:v>7700.7089999999998</c:v>
                </c:pt>
                <c:pt idx="330">
                  <c:v>4679.5349999999999</c:v>
                </c:pt>
                <c:pt idx="331">
                  <c:v>3764.319</c:v>
                </c:pt>
                <c:pt idx="332">
                  <c:v>2980.681</c:v>
                </c:pt>
                <c:pt idx="333">
                  <c:v>2966.5830000000001</c:v>
                </c:pt>
                <c:pt idx="334">
                  <c:v>3159.0639999999999</c:v>
                </c:pt>
                <c:pt idx="335">
                  <c:v>2350.4119999999998</c:v>
                </c:pt>
                <c:pt idx="336">
                  <c:v>2971.4830000000002</c:v>
                </c:pt>
                <c:pt idx="337">
                  <c:v>2438.7109999999998</c:v>
                </c:pt>
                <c:pt idx="338">
                  <c:v>1990.575</c:v>
                </c:pt>
                <c:pt idx="339">
                  <c:v>4606.2420000000002</c:v>
                </c:pt>
                <c:pt idx="340">
                  <c:v>2393.3739999999998</c:v>
                </c:pt>
                <c:pt idx="341">
                  <c:v>2957.0369999999998</c:v>
                </c:pt>
                <c:pt idx="342">
                  <c:v>1747.576</c:v>
                </c:pt>
                <c:pt idx="343">
                  <c:v>1849.0650000000001</c:v>
                </c:pt>
                <c:pt idx="344">
                  <c:v>1679.729</c:v>
                </c:pt>
                <c:pt idx="345">
                  <c:v>2027.0840000000001</c:v>
                </c:pt>
                <c:pt idx="346">
                  <c:v>2565.442</c:v>
                </c:pt>
                <c:pt idx="347">
                  <c:v>2160.9180000000001</c:v>
                </c:pt>
                <c:pt idx="348">
                  <c:v>5580.8389999999999</c:v>
                </c:pt>
                <c:pt idx="349">
                  <c:v>2939.654</c:v>
                </c:pt>
                <c:pt idx="350">
                  <c:v>2633.7289999999998</c:v>
                </c:pt>
                <c:pt idx="351">
                  <c:v>2381.6669999999999</c:v>
                </c:pt>
                <c:pt idx="352">
                  <c:v>2647.8040000000001</c:v>
                </c:pt>
                <c:pt idx="353">
                  <c:v>2398.0940000000001</c:v>
                </c:pt>
                <c:pt idx="354">
                  <c:v>3967.2730000000001</c:v>
                </c:pt>
                <c:pt idx="355">
                  <c:v>1988.14</c:v>
                </c:pt>
                <c:pt idx="356">
                  <c:v>3146.7779999999998</c:v>
                </c:pt>
                <c:pt idx="357">
                  <c:v>1874.1990000000001</c:v>
                </c:pt>
                <c:pt idx="358">
                  <c:v>2019.5519999999999</c:v>
                </c:pt>
                <c:pt idx="359">
                  <c:v>1628.04</c:v>
                </c:pt>
                <c:pt idx="360">
                  <c:v>1809.3520000000001</c:v>
                </c:pt>
                <c:pt idx="361">
                  <c:v>1340.2840000000001</c:v>
                </c:pt>
                <c:pt idx="362">
                  <c:v>1643.123</c:v>
                </c:pt>
                <c:pt idx="363">
                  <c:v>1956.037</c:v>
                </c:pt>
                <c:pt idx="364">
                  <c:v>1648.7260000000001</c:v>
                </c:pt>
                <c:pt idx="365">
                  <c:v>2719.3409999999999</c:v>
                </c:pt>
                <c:pt idx="366">
                  <c:v>2296.1489999999999</c:v>
                </c:pt>
                <c:pt idx="367">
                  <c:v>1442.0719999999999</c:v>
                </c:pt>
                <c:pt idx="368">
                  <c:v>2125.96</c:v>
                </c:pt>
                <c:pt idx="369">
                  <c:v>2066.7939999999999</c:v>
                </c:pt>
                <c:pt idx="370">
                  <c:v>2029.453</c:v>
                </c:pt>
                <c:pt idx="371">
                  <c:v>2336.431</c:v>
                </c:pt>
                <c:pt idx="372">
                  <c:v>2258.8150000000001</c:v>
                </c:pt>
                <c:pt idx="373">
                  <c:v>1977.0050000000001</c:v>
                </c:pt>
                <c:pt idx="374">
                  <c:v>2681.5439999999999</c:v>
                </c:pt>
                <c:pt idx="375">
                  <c:v>2847.614</c:v>
                </c:pt>
                <c:pt idx="376">
                  <c:v>3045.4050000000002</c:v>
                </c:pt>
                <c:pt idx="377">
                  <c:v>3235.7510000000002</c:v>
                </c:pt>
                <c:pt idx="378">
                  <c:v>3076.335</c:v>
                </c:pt>
                <c:pt idx="379">
                  <c:v>3024.6210000000001</c:v>
                </c:pt>
                <c:pt idx="380">
                  <c:v>4333.07</c:v>
                </c:pt>
                <c:pt idx="381">
                  <c:v>9388.9760000000006</c:v>
                </c:pt>
                <c:pt idx="382">
                  <c:v>5333.31</c:v>
                </c:pt>
                <c:pt idx="383">
                  <c:v>4858.6059999999998</c:v>
                </c:pt>
                <c:pt idx="384">
                  <c:v>7655.0309999999999</c:v>
                </c:pt>
                <c:pt idx="385">
                  <c:v>14827.775</c:v>
                </c:pt>
                <c:pt idx="386">
                  <c:v>10136.608</c:v>
                </c:pt>
                <c:pt idx="387">
                  <c:v>4552.3</c:v>
                </c:pt>
                <c:pt idx="388">
                  <c:v>3316.7159999999999</c:v>
                </c:pt>
                <c:pt idx="389">
                  <c:v>4922.9629999999997</c:v>
                </c:pt>
                <c:pt idx="390">
                  <c:v>3363.7869999999998</c:v>
                </c:pt>
                <c:pt idx="391">
                  <c:v>2228.3539999999998</c:v>
                </c:pt>
                <c:pt idx="392">
                  <c:v>2295.953</c:v>
                </c:pt>
                <c:pt idx="393">
                  <c:v>2568.5880000000002</c:v>
                </c:pt>
                <c:pt idx="394">
                  <c:v>3447.085</c:v>
                </c:pt>
                <c:pt idx="395">
                  <c:v>2775.4360000000001</c:v>
                </c:pt>
                <c:pt idx="396">
                  <c:v>3138.75</c:v>
                </c:pt>
                <c:pt idx="397">
                  <c:v>3738.8649999999998</c:v>
                </c:pt>
                <c:pt idx="398">
                  <c:v>4405.2160000000003</c:v>
                </c:pt>
                <c:pt idx="399">
                  <c:v>4571.6459999999997</c:v>
                </c:pt>
                <c:pt idx="400">
                  <c:v>3347.7570000000001</c:v>
                </c:pt>
                <c:pt idx="401">
                  <c:v>3848.81</c:v>
                </c:pt>
                <c:pt idx="402">
                  <c:v>8384.7189999999991</c:v>
                </c:pt>
                <c:pt idx="403">
                  <c:v>3271.6289999999999</c:v>
                </c:pt>
                <c:pt idx="404">
                  <c:v>2729.181</c:v>
                </c:pt>
                <c:pt idx="405">
                  <c:v>2421.9430000000002</c:v>
                </c:pt>
                <c:pt idx="406">
                  <c:v>5060.8779999999997</c:v>
                </c:pt>
                <c:pt idx="407">
                  <c:v>2562.4270000000001</c:v>
                </c:pt>
                <c:pt idx="408">
                  <c:v>2591.6329999999998</c:v>
                </c:pt>
                <c:pt idx="409">
                  <c:v>3337.1930000000002</c:v>
                </c:pt>
                <c:pt idx="410">
                  <c:v>3485.4789999999998</c:v>
                </c:pt>
                <c:pt idx="411">
                  <c:v>2866.4409999999998</c:v>
                </c:pt>
                <c:pt idx="412">
                  <c:v>3260.6460000000002</c:v>
                </c:pt>
                <c:pt idx="413">
                  <c:v>2645.7910000000002</c:v>
                </c:pt>
                <c:pt idx="414">
                  <c:v>2356.0810000000001</c:v>
                </c:pt>
                <c:pt idx="415">
                  <c:v>2072.2669999999998</c:v>
                </c:pt>
                <c:pt idx="416">
                  <c:v>1778.8520000000001</c:v>
                </c:pt>
                <c:pt idx="417">
                  <c:v>2268.598</c:v>
                </c:pt>
                <c:pt idx="418">
                  <c:v>2207.732</c:v>
                </c:pt>
                <c:pt idx="419">
                  <c:v>1997.3109999999999</c:v>
                </c:pt>
                <c:pt idx="420">
                  <c:v>2477.1930000000002</c:v>
                </c:pt>
                <c:pt idx="421">
                  <c:v>2545.3409999999999</c:v>
                </c:pt>
                <c:pt idx="422">
                  <c:v>2743.665</c:v>
                </c:pt>
                <c:pt idx="423">
                  <c:v>3359.0250000000001</c:v>
                </c:pt>
                <c:pt idx="424">
                  <c:v>2338.7220000000002</c:v>
                </c:pt>
                <c:pt idx="425">
                  <c:v>2959.2469999999998</c:v>
                </c:pt>
                <c:pt idx="426">
                  <c:v>2214.9479999999999</c:v>
                </c:pt>
                <c:pt idx="427">
                  <c:v>3297.1590000000001</c:v>
                </c:pt>
                <c:pt idx="428">
                  <c:v>2476.2689999999998</c:v>
                </c:pt>
                <c:pt idx="429">
                  <c:v>7888.4179999999997</c:v>
                </c:pt>
                <c:pt idx="430">
                  <c:v>5035.2839999999997</c:v>
                </c:pt>
                <c:pt idx="431">
                  <c:v>2640.9549999999999</c:v>
                </c:pt>
                <c:pt idx="432">
                  <c:v>2367.248</c:v>
                </c:pt>
                <c:pt idx="433">
                  <c:v>3085.2809999999999</c:v>
                </c:pt>
                <c:pt idx="434">
                  <c:v>2011.152</c:v>
                </c:pt>
                <c:pt idx="435">
                  <c:v>1337.3789999999999</c:v>
                </c:pt>
                <c:pt idx="436">
                  <c:v>2552.4389999999999</c:v>
                </c:pt>
                <c:pt idx="437">
                  <c:v>2145.3020000000001</c:v>
                </c:pt>
                <c:pt idx="438">
                  <c:v>2426.7979999999998</c:v>
                </c:pt>
                <c:pt idx="439">
                  <c:v>2060.2109999999998</c:v>
                </c:pt>
                <c:pt idx="440">
                  <c:v>2131.5549999999998</c:v>
                </c:pt>
                <c:pt idx="441">
                  <c:v>1872.481</c:v>
                </c:pt>
                <c:pt idx="442">
                  <c:v>3701.9090000000001</c:v>
                </c:pt>
                <c:pt idx="443">
                  <c:v>2692.585</c:v>
                </c:pt>
                <c:pt idx="444">
                  <c:v>1285.47</c:v>
                </c:pt>
                <c:pt idx="445">
                  <c:v>2700.933</c:v>
                </c:pt>
                <c:pt idx="446">
                  <c:v>2028.2529999999999</c:v>
                </c:pt>
                <c:pt idx="447">
                  <c:v>2047.877</c:v>
                </c:pt>
                <c:pt idx="448">
                  <c:v>1801.992</c:v>
                </c:pt>
                <c:pt idx="449">
                  <c:v>1678.2170000000001</c:v>
                </c:pt>
                <c:pt idx="450">
                  <c:v>2648.2759999999998</c:v>
                </c:pt>
                <c:pt idx="451">
                  <c:v>3160.7629999999999</c:v>
                </c:pt>
                <c:pt idx="452">
                  <c:v>11709.424999999999</c:v>
                </c:pt>
                <c:pt idx="453">
                  <c:v>7554.2280000000001</c:v>
                </c:pt>
                <c:pt idx="454">
                  <c:v>3369.453</c:v>
                </c:pt>
                <c:pt idx="455">
                  <c:v>2131.7429999999999</c:v>
                </c:pt>
                <c:pt idx="456">
                  <c:v>2617.54</c:v>
                </c:pt>
                <c:pt idx="457">
                  <c:v>2197.9960000000001</c:v>
                </c:pt>
                <c:pt idx="458">
                  <c:v>2228.6880000000001</c:v>
                </c:pt>
                <c:pt idx="459">
                  <c:v>2279.2860000000001</c:v>
                </c:pt>
                <c:pt idx="460">
                  <c:v>2519.8110000000001</c:v>
                </c:pt>
                <c:pt idx="461">
                  <c:v>3040.116</c:v>
                </c:pt>
                <c:pt idx="462">
                  <c:v>2306.6840000000002</c:v>
                </c:pt>
                <c:pt idx="463">
                  <c:v>3550.5830000000001</c:v>
                </c:pt>
                <c:pt idx="464">
                  <c:v>3052.9380000000001</c:v>
                </c:pt>
                <c:pt idx="465">
                  <c:v>2228.1979999999999</c:v>
                </c:pt>
                <c:pt idx="466">
                  <c:v>2099.3249999999998</c:v>
                </c:pt>
                <c:pt idx="467">
                  <c:v>1812.34</c:v>
                </c:pt>
                <c:pt idx="468">
                  <c:v>1907.2929999999999</c:v>
                </c:pt>
                <c:pt idx="469">
                  <c:v>1970.87</c:v>
                </c:pt>
                <c:pt idx="470">
                  <c:v>2993.915</c:v>
                </c:pt>
                <c:pt idx="471">
                  <c:v>2854.2420000000002</c:v>
                </c:pt>
                <c:pt idx="472">
                  <c:v>3146.22</c:v>
                </c:pt>
                <c:pt idx="473">
                  <c:v>2666.4690000000001</c:v>
                </c:pt>
                <c:pt idx="474">
                  <c:v>2909.9110000000001</c:v>
                </c:pt>
                <c:pt idx="475">
                  <c:v>3227.1680000000001</c:v>
                </c:pt>
                <c:pt idx="476">
                  <c:v>2487.944</c:v>
                </c:pt>
                <c:pt idx="477">
                  <c:v>2927.7910000000002</c:v>
                </c:pt>
                <c:pt idx="478">
                  <c:v>1772.9880000000001</c:v>
                </c:pt>
                <c:pt idx="479">
                  <c:v>1878.4369999999999</c:v>
                </c:pt>
                <c:pt idx="480">
                  <c:v>2026.2950000000001</c:v>
                </c:pt>
                <c:pt idx="481">
                  <c:v>2404.1439999999998</c:v>
                </c:pt>
                <c:pt idx="482">
                  <c:v>1662.0630000000001</c:v>
                </c:pt>
                <c:pt idx="483">
                  <c:v>2733.8670000000002</c:v>
                </c:pt>
                <c:pt idx="484">
                  <c:v>1753.914</c:v>
                </c:pt>
                <c:pt idx="485">
                  <c:v>2786.5039999999999</c:v>
                </c:pt>
                <c:pt idx="486">
                  <c:v>2320.2950000000001</c:v>
                </c:pt>
                <c:pt idx="487">
                  <c:v>3884.1979999999999</c:v>
                </c:pt>
                <c:pt idx="488">
                  <c:v>1900.722</c:v>
                </c:pt>
                <c:pt idx="489">
                  <c:v>2328.8890000000001</c:v>
                </c:pt>
                <c:pt idx="490">
                  <c:v>2813.654</c:v>
                </c:pt>
                <c:pt idx="491">
                  <c:v>2602.1260000000002</c:v>
                </c:pt>
                <c:pt idx="492">
                  <c:v>2340.6219999999998</c:v>
                </c:pt>
                <c:pt idx="493">
                  <c:v>2451.2350000000001</c:v>
                </c:pt>
                <c:pt idx="494">
                  <c:v>2344.6379999999999</c:v>
                </c:pt>
                <c:pt idx="495">
                  <c:v>4338.96</c:v>
                </c:pt>
                <c:pt idx="496">
                  <c:v>3128.009</c:v>
                </c:pt>
                <c:pt idx="497">
                  <c:v>3223.701</c:v>
                </c:pt>
                <c:pt idx="498">
                  <c:v>2604.0010000000002</c:v>
                </c:pt>
                <c:pt idx="499">
                  <c:v>2107.0149999999999</c:v>
                </c:pt>
                <c:pt idx="500">
                  <c:v>1978.5119999999999</c:v>
                </c:pt>
                <c:pt idx="501">
                  <c:v>1917.722</c:v>
                </c:pt>
                <c:pt idx="502">
                  <c:v>2138.4490000000001</c:v>
                </c:pt>
                <c:pt idx="503">
                  <c:v>2653.902</c:v>
                </c:pt>
                <c:pt idx="504">
                  <c:v>2400.5720000000001</c:v>
                </c:pt>
                <c:pt idx="505">
                  <c:v>2472.1219999999998</c:v>
                </c:pt>
                <c:pt idx="506">
                  <c:v>2277.5419999999999</c:v>
                </c:pt>
                <c:pt idx="507">
                  <c:v>4475.8540000000003</c:v>
                </c:pt>
                <c:pt idx="508">
                  <c:v>3350.8829999999998</c:v>
                </c:pt>
                <c:pt idx="509">
                  <c:v>3266.7339999999999</c:v>
                </c:pt>
                <c:pt idx="510">
                  <c:v>4034.8090000000002</c:v>
                </c:pt>
                <c:pt idx="511">
                  <c:v>17603.088</c:v>
                </c:pt>
                <c:pt idx="512">
                  <c:v>6270.95</c:v>
                </c:pt>
                <c:pt idx="513">
                  <c:v>2343.6309999999999</c:v>
                </c:pt>
                <c:pt idx="514">
                  <c:v>4056.672</c:v>
                </c:pt>
                <c:pt idx="515">
                  <c:v>4073.59</c:v>
                </c:pt>
                <c:pt idx="516">
                  <c:v>6200.9759999999997</c:v>
                </c:pt>
                <c:pt idx="517">
                  <c:v>3357.7109999999998</c:v>
                </c:pt>
                <c:pt idx="518">
                  <c:v>2693.2669999999998</c:v>
                </c:pt>
                <c:pt idx="519">
                  <c:v>3812.2539999999999</c:v>
                </c:pt>
                <c:pt idx="520">
                  <c:v>3617.471</c:v>
                </c:pt>
                <c:pt idx="521">
                  <c:v>3710.0619999999999</c:v>
                </c:pt>
                <c:pt idx="522">
                  <c:v>3105.9070000000002</c:v>
                </c:pt>
                <c:pt idx="523">
                  <c:v>2443.0949999999998</c:v>
                </c:pt>
                <c:pt idx="524">
                  <c:v>2801.076</c:v>
                </c:pt>
                <c:pt idx="525">
                  <c:v>3229.654</c:v>
                </c:pt>
                <c:pt idx="526">
                  <c:v>4318.3040000000001</c:v>
                </c:pt>
                <c:pt idx="527">
                  <c:v>3623.33</c:v>
                </c:pt>
                <c:pt idx="528">
                  <c:v>4094.817</c:v>
                </c:pt>
                <c:pt idx="529">
                  <c:v>2312.2179999999998</c:v>
                </c:pt>
                <c:pt idx="530">
                  <c:v>2322.663</c:v>
                </c:pt>
                <c:pt idx="531">
                  <c:v>1811.002</c:v>
                </c:pt>
                <c:pt idx="532">
                  <c:v>2067.8820000000001</c:v>
                </c:pt>
                <c:pt idx="533">
                  <c:v>1422.319</c:v>
                </c:pt>
                <c:pt idx="534">
                  <c:v>1560.106</c:v>
                </c:pt>
                <c:pt idx="535">
                  <c:v>1694.7840000000001</c:v>
                </c:pt>
                <c:pt idx="536">
                  <c:v>1606.721</c:v>
                </c:pt>
                <c:pt idx="537">
                  <c:v>1397.1569999999999</c:v>
                </c:pt>
                <c:pt idx="538">
                  <c:v>2542.1570000000002</c:v>
                </c:pt>
                <c:pt idx="539">
                  <c:v>1937.3240000000001</c:v>
                </c:pt>
                <c:pt idx="540">
                  <c:v>2122.3629999999998</c:v>
                </c:pt>
                <c:pt idx="541">
                  <c:v>1706.325</c:v>
                </c:pt>
                <c:pt idx="542">
                  <c:v>1796.5340000000001</c:v>
                </c:pt>
                <c:pt idx="543">
                  <c:v>1555.011</c:v>
                </c:pt>
                <c:pt idx="544">
                  <c:v>2899.027</c:v>
                </c:pt>
                <c:pt idx="545">
                  <c:v>2584.248</c:v>
                </c:pt>
                <c:pt idx="546">
                  <c:v>1739.039</c:v>
                </c:pt>
                <c:pt idx="547">
                  <c:v>2092.9029999999998</c:v>
                </c:pt>
                <c:pt idx="548">
                  <c:v>2172.7350000000001</c:v>
                </c:pt>
                <c:pt idx="549">
                  <c:v>1880.923</c:v>
                </c:pt>
                <c:pt idx="550">
                  <c:v>2417.2570000000001</c:v>
                </c:pt>
                <c:pt idx="551">
                  <c:v>2266.5459999999998</c:v>
                </c:pt>
                <c:pt idx="552">
                  <c:v>2050.6350000000002</c:v>
                </c:pt>
                <c:pt idx="553">
                  <c:v>2645.67</c:v>
                </c:pt>
                <c:pt idx="554">
                  <c:v>1442.7860000000001</c:v>
                </c:pt>
                <c:pt idx="555">
                  <c:v>1986.394</c:v>
                </c:pt>
                <c:pt idx="556">
                  <c:v>2462.7919999999999</c:v>
                </c:pt>
                <c:pt idx="557">
                  <c:v>2787.741</c:v>
                </c:pt>
                <c:pt idx="558">
                  <c:v>2689.7089999999998</c:v>
                </c:pt>
                <c:pt idx="559">
                  <c:v>2893.2640000000001</c:v>
                </c:pt>
                <c:pt idx="560">
                  <c:v>1428.0419999999999</c:v>
                </c:pt>
                <c:pt idx="561">
                  <c:v>1682.6590000000001</c:v>
                </c:pt>
                <c:pt idx="562">
                  <c:v>1966.7329999999999</c:v>
                </c:pt>
                <c:pt idx="563">
                  <c:v>1291.058</c:v>
                </c:pt>
                <c:pt idx="564">
                  <c:v>1273.4110000000001</c:v>
                </c:pt>
                <c:pt idx="565">
                  <c:v>1639.693</c:v>
                </c:pt>
                <c:pt idx="566">
                  <c:v>1580.0250000000001</c:v>
                </c:pt>
                <c:pt idx="567">
                  <c:v>2123.4520000000002</c:v>
                </c:pt>
                <c:pt idx="568">
                  <c:v>1908.002</c:v>
                </c:pt>
                <c:pt idx="569">
                  <c:v>1394.4939999999999</c:v>
                </c:pt>
                <c:pt idx="570">
                  <c:v>2307.366</c:v>
                </c:pt>
                <c:pt idx="571">
                  <c:v>1860.2539999999999</c:v>
                </c:pt>
                <c:pt idx="572">
                  <c:v>2905.1019999999999</c:v>
                </c:pt>
                <c:pt idx="573">
                  <c:v>1743.991</c:v>
                </c:pt>
                <c:pt idx="574">
                  <c:v>2461.0459999999998</c:v>
                </c:pt>
                <c:pt idx="575">
                  <c:v>3333.0230000000001</c:v>
                </c:pt>
                <c:pt idx="576">
                  <c:v>2387.5360000000001</c:v>
                </c:pt>
                <c:pt idx="577">
                  <c:v>3240.9960000000001</c:v>
                </c:pt>
                <c:pt idx="578">
                  <c:v>5525.9679999999998</c:v>
                </c:pt>
                <c:pt idx="579">
                  <c:v>3028.0279999999998</c:v>
                </c:pt>
                <c:pt idx="580">
                  <c:v>2503.875</c:v>
                </c:pt>
                <c:pt idx="581">
                  <c:v>1889.41</c:v>
                </c:pt>
                <c:pt idx="582">
                  <c:v>2018.71</c:v>
                </c:pt>
                <c:pt idx="583">
                  <c:v>2051.377</c:v>
                </c:pt>
                <c:pt idx="584">
                  <c:v>2172.1669999999999</c:v>
                </c:pt>
                <c:pt idx="585">
                  <c:v>3794.7570000000001</c:v>
                </c:pt>
                <c:pt idx="586">
                  <c:v>3326.835</c:v>
                </c:pt>
                <c:pt idx="587">
                  <c:v>3135.3530000000001</c:v>
                </c:pt>
                <c:pt idx="588">
                  <c:v>2949.8229999999999</c:v>
                </c:pt>
                <c:pt idx="589">
                  <c:v>7806.0820000000003</c:v>
                </c:pt>
                <c:pt idx="590">
                  <c:v>3113.2849999999999</c:v>
                </c:pt>
                <c:pt idx="591">
                  <c:v>3634.2040000000002</c:v>
                </c:pt>
                <c:pt idx="592">
                  <c:v>2522.364</c:v>
                </c:pt>
                <c:pt idx="593">
                  <c:v>2161.0729999999999</c:v>
                </c:pt>
                <c:pt idx="594">
                  <c:v>1603.9960000000001</c:v>
                </c:pt>
                <c:pt idx="595">
                  <c:v>2021.854</c:v>
                </c:pt>
                <c:pt idx="596">
                  <c:v>2022.2950000000001</c:v>
                </c:pt>
                <c:pt idx="597">
                  <c:v>2026.9690000000001</c:v>
                </c:pt>
                <c:pt idx="598">
                  <c:v>1588.3589999999999</c:v>
                </c:pt>
                <c:pt idx="599">
                  <c:v>2621.806</c:v>
                </c:pt>
                <c:pt idx="600">
                  <c:v>2220.8249999999998</c:v>
                </c:pt>
                <c:pt idx="601">
                  <c:v>2178.3200000000002</c:v>
                </c:pt>
                <c:pt idx="602">
                  <c:v>2529.8919999999998</c:v>
                </c:pt>
                <c:pt idx="603">
                  <c:v>1791.26</c:v>
                </c:pt>
                <c:pt idx="604">
                  <c:v>2074.2020000000002</c:v>
                </c:pt>
                <c:pt idx="605">
                  <c:v>2334.8130000000001</c:v>
                </c:pt>
                <c:pt idx="606">
                  <c:v>1945.0540000000001</c:v>
                </c:pt>
                <c:pt idx="607">
                  <c:v>1868.998</c:v>
                </c:pt>
                <c:pt idx="608">
                  <c:v>1737.3209999999999</c:v>
                </c:pt>
                <c:pt idx="609">
                  <c:v>1541.7180000000001</c:v>
                </c:pt>
                <c:pt idx="610">
                  <c:v>1965.9870000000001</c:v>
                </c:pt>
                <c:pt idx="611">
                  <c:v>2068.0259999999998</c:v>
                </c:pt>
                <c:pt idx="612">
                  <c:v>1906.67</c:v>
                </c:pt>
                <c:pt idx="613">
                  <c:v>1686.4870000000001</c:v>
                </c:pt>
                <c:pt idx="614">
                  <c:v>1844.43</c:v>
                </c:pt>
                <c:pt idx="615">
                  <c:v>2061.277</c:v>
                </c:pt>
                <c:pt idx="616">
                  <c:v>1868.1310000000001</c:v>
                </c:pt>
                <c:pt idx="617">
                  <c:v>1683.075</c:v>
                </c:pt>
                <c:pt idx="618">
                  <c:v>1645.6389999999999</c:v>
                </c:pt>
                <c:pt idx="619">
                  <c:v>1985.1369999999999</c:v>
                </c:pt>
                <c:pt idx="620">
                  <c:v>1431.078</c:v>
                </c:pt>
                <c:pt idx="621">
                  <c:v>1662.8969999999999</c:v>
                </c:pt>
                <c:pt idx="622">
                  <c:v>1658.9059999999999</c:v>
                </c:pt>
                <c:pt idx="623">
                  <c:v>1383.855</c:v>
                </c:pt>
                <c:pt idx="624">
                  <c:v>1645.6969999999999</c:v>
                </c:pt>
                <c:pt idx="625">
                  <c:v>1808.8130000000001</c:v>
                </c:pt>
                <c:pt idx="626">
                  <c:v>1401.068</c:v>
                </c:pt>
                <c:pt idx="627">
                  <c:v>2153.2310000000002</c:v>
                </c:pt>
                <c:pt idx="628">
                  <c:v>2147.2829999999999</c:v>
                </c:pt>
                <c:pt idx="629">
                  <c:v>2800.8649999999998</c:v>
                </c:pt>
                <c:pt idx="630">
                  <c:v>2480.8589999999999</c:v>
                </c:pt>
                <c:pt idx="631">
                  <c:v>2541.44</c:v>
                </c:pt>
                <c:pt idx="632">
                  <c:v>2048.6660000000002</c:v>
                </c:pt>
                <c:pt idx="633">
                  <c:v>3444.9389999999999</c:v>
                </c:pt>
                <c:pt idx="634">
                  <c:v>2941.4490000000001</c:v>
                </c:pt>
                <c:pt idx="635">
                  <c:v>2526.1579999999999</c:v>
                </c:pt>
                <c:pt idx="636">
                  <c:v>3316.7020000000002</c:v>
                </c:pt>
                <c:pt idx="637">
                  <c:v>6052.7920000000004</c:v>
                </c:pt>
                <c:pt idx="638">
                  <c:v>4690.5510000000004</c:v>
                </c:pt>
                <c:pt idx="639">
                  <c:v>3303.018</c:v>
                </c:pt>
                <c:pt idx="640">
                  <c:v>4305.1850000000004</c:v>
                </c:pt>
                <c:pt idx="641">
                  <c:v>2343.8910000000001</c:v>
                </c:pt>
                <c:pt idx="642">
                  <c:v>2522.2600000000002</c:v>
                </c:pt>
                <c:pt idx="643">
                  <c:v>1910.3340000000001</c:v>
                </c:pt>
                <c:pt idx="644">
                  <c:v>2254.134</c:v>
                </c:pt>
                <c:pt idx="645">
                  <c:v>2016.7270000000001</c:v>
                </c:pt>
                <c:pt idx="646">
                  <c:v>2221.2109999999998</c:v>
                </c:pt>
                <c:pt idx="647">
                  <c:v>2595.0529999999999</c:v>
                </c:pt>
                <c:pt idx="648">
                  <c:v>2044.1579999999999</c:v>
                </c:pt>
                <c:pt idx="649">
                  <c:v>2690.0970000000002</c:v>
                </c:pt>
                <c:pt idx="650">
                  <c:v>2274.576</c:v>
                </c:pt>
                <c:pt idx="651">
                  <c:v>2585.3710000000001</c:v>
                </c:pt>
                <c:pt idx="652">
                  <c:v>6435.1149999999998</c:v>
                </c:pt>
                <c:pt idx="653">
                  <c:v>2157.1489999999999</c:v>
                </c:pt>
                <c:pt idx="654">
                  <c:v>1672.722</c:v>
                </c:pt>
                <c:pt idx="655">
                  <c:v>1342.2840000000001</c:v>
                </c:pt>
                <c:pt idx="656">
                  <c:v>2807.7240000000002</c:v>
                </c:pt>
                <c:pt idx="657">
                  <c:v>2448.6779999999999</c:v>
                </c:pt>
                <c:pt idx="658">
                  <c:v>2568.46</c:v>
                </c:pt>
                <c:pt idx="659">
                  <c:v>2121.7489999999998</c:v>
                </c:pt>
                <c:pt idx="660">
                  <c:v>1719.934</c:v>
                </c:pt>
                <c:pt idx="661">
                  <c:v>2387.029</c:v>
                </c:pt>
                <c:pt idx="662">
                  <c:v>1359.98</c:v>
                </c:pt>
                <c:pt idx="663">
                  <c:v>2274.0940000000001</c:v>
                </c:pt>
                <c:pt idx="664">
                  <c:v>3145.8890000000001</c:v>
                </c:pt>
                <c:pt idx="665">
                  <c:v>2749.4050000000002</c:v>
                </c:pt>
                <c:pt idx="666">
                  <c:v>1578.758</c:v>
                </c:pt>
                <c:pt idx="667">
                  <c:v>1633.069</c:v>
                </c:pt>
                <c:pt idx="668">
                  <c:v>1602.866</c:v>
                </c:pt>
                <c:pt idx="669">
                  <c:v>1606.4649999999999</c:v>
                </c:pt>
                <c:pt idx="670">
                  <c:v>1342.627</c:v>
                </c:pt>
                <c:pt idx="671">
                  <c:v>1777.2650000000001</c:v>
                </c:pt>
                <c:pt idx="672">
                  <c:v>2662.2640000000001</c:v>
                </c:pt>
                <c:pt idx="673">
                  <c:v>2485.5729999999999</c:v>
                </c:pt>
                <c:pt idx="674">
                  <c:v>1516.19</c:v>
                </c:pt>
                <c:pt idx="675">
                  <c:v>1500.1220000000001</c:v>
                </c:pt>
                <c:pt idx="676">
                  <c:v>2618.9409999999998</c:v>
                </c:pt>
                <c:pt idx="677">
                  <c:v>1758.1189999999999</c:v>
                </c:pt>
                <c:pt idx="678">
                  <c:v>1500.3579999999999</c:v>
                </c:pt>
                <c:pt idx="679">
                  <c:v>1685.4880000000001</c:v>
                </c:pt>
                <c:pt idx="680">
                  <c:v>1893.961</c:v>
                </c:pt>
                <c:pt idx="681">
                  <c:v>2349.5430000000001</c:v>
                </c:pt>
                <c:pt idx="682">
                  <c:v>1958.2190000000001</c:v>
                </c:pt>
                <c:pt idx="683">
                  <c:v>1757.8989999999999</c:v>
                </c:pt>
                <c:pt idx="684">
                  <c:v>1877.066</c:v>
                </c:pt>
                <c:pt idx="685">
                  <c:v>2054.5419999999999</c:v>
                </c:pt>
                <c:pt idx="686">
                  <c:v>1595.278</c:v>
                </c:pt>
                <c:pt idx="687">
                  <c:v>1972.694</c:v>
                </c:pt>
                <c:pt idx="688">
                  <c:v>1560.9459999999999</c:v>
                </c:pt>
                <c:pt idx="689">
                  <c:v>1980.1279999999999</c:v>
                </c:pt>
                <c:pt idx="690">
                  <c:v>1494.231</c:v>
                </c:pt>
                <c:pt idx="691">
                  <c:v>1259.9549999999999</c:v>
                </c:pt>
                <c:pt idx="692">
                  <c:v>2037.913</c:v>
                </c:pt>
                <c:pt idx="693">
                  <c:v>2104.5390000000002</c:v>
                </c:pt>
                <c:pt idx="694">
                  <c:v>1548.6890000000001</c:v>
                </c:pt>
                <c:pt idx="695">
                  <c:v>1645.3409999999999</c:v>
                </c:pt>
                <c:pt idx="696">
                  <c:v>1458.325</c:v>
                </c:pt>
                <c:pt idx="697">
                  <c:v>3612.7179999999998</c:v>
                </c:pt>
                <c:pt idx="698">
                  <c:v>2904.8710000000001</c:v>
                </c:pt>
                <c:pt idx="699">
                  <c:v>2068.4250000000002</c:v>
                </c:pt>
                <c:pt idx="700">
                  <c:v>2414.2629999999999</c:v>
                </c:pt>
                <c:pt idx="701">
                  <c:v>4469.5780000000004</c:v>
                </c:pt>
                <c:pt idx="702">
                  <c:v>7571.1980000000003</c:v>
                </c:pt>
                <c:pt idx="703">
                  <c:v>3055.0549999999998</c:v>
                </c:pt>
                <c:pt idx="704">
                  <c:v>3089.511</c:v>
                </c:pt>
                <c:pt idx="705">
                  <c:v>2610.0450000000001</c:v>
                </c:pt>
                <c:pt idx="706">
                  <c:v>2364.875</c:v>
                </c:pt>
                <c:pt idx="707">
                  <c:v>2452.3069999999998</c:v>
                </c:pt>
                <c:pt idx="708">
                  <c:v>2767.877</c:v>
                </c:pt>
                <c:pt idx="709">
                  <c:v>1631.44</c:v>
                </c:pt>
                <c:pt idx="710">
                  <c:v>2156.4549999999999</c:v>
                </c:pt>
                <c:pt idx="711">
                  <c:v>1411.4069999999999</c:v>
                </c:pt>
                <c:pt idx="712">
                  <c:v>1433.4459999999999</c:v>
                </c:pt>
                <c:pt idx="713">
                  <c:v>1992.278</c:v>
                </c:pt>
                <c:pt idx="714">
                  <c:v>2463.0720000000001</c:v>
                </c:pt>
                <c:pt idx="715">
                  <c:v>1788.3340000000001</c:v>
                </c:pt>
                <c:pt idx="716">
                  <c:v>2137.259</c:v>
                </c:pt>
                <c:pt idx="717">
                  <c:v>1912.749</c:v>
                </c:pt>
                <c:pt idx="718">
                  <c:v>2288.7730000000001</c:v>
                </c:pt>
                <c:pt idx="719">
                  <c:v>2319.364</c:v>
                </c:pt>
                <c:pt idx="720">
                  <c:v>1923.616</c:v>
                </c:pt>
                <c:pt idx="721">
                  <c:v>2185.779</c:v>
                </c:pt>
                <c:pt idx="722">
                  <c:v>1939.0419999999999</c:v>
                </c:pt>
                <c:pt idx="723">
                  <c:v>1364.461</c:v>
                </c:pt>
                <c:pt idx="724">
                  <c:v>1926.173</c:v>
                </c:pt>
                <c:pt idx="725">
                  <c:v>2143.5360000000001</c:v>
                </c:pt>
                <c:pt idx="726">
                  <c:v>1875.008</c:v>
                </c:pt>
                <c:pt idx="727">
                  <c:v>2334.0740000000001</c:v>
                </c:pt>
                <c:pt idx="728">
                  <c:v>1827.653</c:v>
                </c:pt>
                <c:pt idx="729">
                  <c:v>2256.3270000000002</c:v>
                </c:pt>
                <c:pt idx="730">
                  <c:v>2052.2150000000001</c:v>
                </c:pt>
                <c:pt idx="731">
                  <c:v>2167.511</c:v>
                </c:pt>
                <c:pt idx="732">
                  <c:v>1659.027</c:v>
                </c:pt>
                <c:pt idx="733">
                  <c:v>1910.9459999999999</c:v>
                </c:pt>
                <c:pt idx="734">
                  <c:v>2047.6610000000001</c:v>
                </c:pt>
                <c:pt idx="735">
                  <c:v>1760.4829999999999</c:v>
                </c:pt>
                <c:pt idx="736">
                  <c:v>1650.7270000000001</c:v>
                </c:pt>
                <c:pt idx="737">
                  <c:v>1999.8309999999999</c:v>
                </c:pt>
                <c:pt idx="738">
                  <c:v>2803.06</c:v>
                </c:pt>
                <c:pt idx="739">
                  <c:v>1903.854</c:v>
                </c:pt>
                <c:pt idx="740">
                  <c:v>1893.15</c:v>
                </c:pt>
                <c:pt idx="741">
                  <c:v>1667.277</c:v>
                </c:pt>
                <c:pt idx="742">
                  <c:v>1833.462</c:v>
                </c:pt>
                <c:pt idx="743">
                  <c:v>2080.712</c:v>
                </c:pt>
                <c:pt idx="744">
                  <c:v>2223.2869999999998</c:v>
                </c:pt>
                <c:pt idx="745">
                  <c:v>1891.2260000000001</c:v>
                </c:pt>
                <c:pt idx="746">
                  <c:v>2982.8130000000001</c:v>
                </c:pt>
                <c:pt idx="747">
                  <c:v>1989.8140000000001</c:v>
                </c:pt>
                <c:pt idx="748">
                  <c:v>2195.1619999999998</c:v>
                </c:pt>
                <c:pt idx="749">
                  <c:v>2010.1079999999999</c:v>
                </c:pt>
                <c:pt idx="750">
                  <c:v>2539.3449999999998</c:v>
                </c:pt>
                <c:pt idx="751">
                  <c:v>2791.2310000000002</c:v>
                </c:pt>
                <c:pt idx="752">
                  <c:v>3205.4409999999998</c:v>
                </c:pt>
                <c:pt idx="753">
                  <c:v>2177.1480000000001</c:v>
                </c:pt>
                <c:pt idx="754">
                  <c:v>2575.4870000000001</c:v>
                </c:pt>
                <c:pt idx="755">
                  <c:v>2372.3359999999998</c:v>
                </c:pt>
                <c:pt idx="756">
                  <c:v>3889.547</c:v>
                </c:pt>
                <c:pt idx="757">
                  <c:v>5425.08</c:v>
                </c:pt>
                <c:pt idx="758">
                  <c:v>4205.3590000000004</c:v>
                </c:pt>
                <c:pt idx="759">
                  <c:v>4317.3450000000003</c:v>
                </c:pt>
                <c:pt idx="760">
                  <c:v>5177.241</c:v>
                </c:pt>
                <c:pt idx="761">
                  <c:v>8199.6170000000002</c:v>
                </c:pt>
                <c:pt idx="762">
                  <c:v>3632.2860000000001</c:v>
                </c:pt>
                <c:pt idx="763">
                  <c:v>1701.461</c:v>
                </c:pt>
                <c:pt idx="764">
                  <c:v>3034.9659999999999</c:v>
                </c:pt>
                <c:pt idx="765">
                  <c:v>2951.51</c:v>
                </c:pt>
                <c:pt idx="766">
                  <c:v>2775.3760000000002</c:v>
                </c:pt>
                <c:pt idx="767">
                  <c:v>4275.567</c:v>
                </c:pt>
                <c:pt idx="768">
                  <c:v>3064.9189999999999</c:v>
                </c:pt>
                <c:pt idx="769">
                  <c:v>2916.355</c:v>
                </c:pt>
                <c:pt idx="770">
                  <c:v>2759.6239999999998</c:v>
                </c:pt>
                <c:pt idx="771">
                  <c:v>2595.0810000000001</c:v>
                </c:pt>
                <c:pt idx="772">
                  <c:v>2824.6869999999999</c:v>
                </c:pt>
                <c:pt idx="773">
                  <c:v>2834.0889999999999</c:v>
                </c:pt>
                <c:pt idx="774">
                  <c:v>3109.6469999999999</c:v>
                </c:pt>
                <c:pt idx="775">
                  <c:v>2411.6460000000002</c:v>
                </c:pt>
                <c:pt idx="776">
                  <c:v>4435.9830000000002</c:v>
                </c:pt>
                <c:pt idx="777">
                  <c:v>6269.625</c:v>
                </c:pt>
                <c:pt idx="778">
                  <c:v>6057.22</c:v>
                </c:pt>
                <c:pt idx="779">
                  <c:v>2397.7910000000002</c:v>
                </c:pt>
                <c:pt idx="780">
                  <c:v>2272.9389999999999</c:v>
                </c:pt>
                <c:pt idx="781">
                  <c:v>2448.02</c:v>
                </c:pt>
                <c:pt idx="782">
                  <c:v>1800.2070000000001</c:v>
                </c:pt>
                <c:pt idx="783">
                  <c:v>2100.1280000000002</c:v>
                </c:pt>
                <c:pt idx="784">
                  <c:v>2505.4940000000001</c:v>
                </c:pt>
                <c:pt idx="785">
                  <c:v>1497.1220000000001</c:v>
                </c:pt>
                <c:pt idx="786">
                  <c:v>1470.5050000000001</c:v>
                </c:pt>
                <c:pt idx="787">
                  <c:v>1834.6590000000001</c:v>
                </c:pt>
                <c:pt idx="788">
                  <c:v>3204.355</c:v>
                </c:pt>
                <c:pt idx="789">
                  <c:v>2116.7570000000001</c:v>
                </c:pt>
                <c:pt idx="790">
                  <c:v>1890.479</c:v>
                </c:pt>
                <c:pt idx="791">
                  <c:v>3027.2440000000001</c:v>
                </c:pt>
                <c:pt idx="792">
                  <c:v>2346.1770000000001</c:v>
                </c:pt>
                <c:pt idx="793">
                  <c:v>2653.0520000000001</c:v>
                </c:pt>
                <c:pt idx="794">
                  <c:v>1757.33</c:v>
                </c:pt>
                <c:pt idx="795">
                  <c:v>2447.8290000000002</c:v>
                </c:pt>
                <c:pt idx="796">
                  <c:v>2383.4989999999998</c:v>
                </c:pt>
                <c:pt idx="797">
                  <c:v>2970.7840000000001</c:v>
                </c:pt>
                <c:pt idx="798">
                  <c:v>2364.018</c:v>
                </c:pt>
                <c:pt idx="799">
                  <c:v>2296.5479999999998</c:v>
                </c:pt>
                <c:pt idx="800">
                  <c:v>2219.1889999999999</c:v>
                </c:pt>
                <c:pt idx="801">
                  <c:v>3636.6</c:v>
                </c:pt>
                <c:pt idx="802">
                  <c:v>2492.2579999999998</c:v>
                </c:pt>
                <c:pt idx="803">
                  <c:v>1917.933</c:v>
                </c:pt>
                <c:pt idx="804">
                  <c:v>3480.462</c:v>
                </c:pt>
                <c:pt idx="805">
                  <c:v>1973.2090000000001</c:v>
                </c:pt>
                <c:pt idx="806">
                  <c:v>3007.8420000000001</c:v>
                </c:pt>
                <c:pt idx="807">
                  <c:v>2442.1979999999999</c:v>
                </c:pt>
                <c:pt idx="808">
                  <c:v>9978.8940000000002</c:v>
                </c:pt>
                <c:pt idx="809">
                  <c:v>2374.54</c:v>
                </c:pt>
                <c:pt idx="810">
                  <c:v>2399.692</c:v>
                </c:pt>
                <c:pt idx="811">
                  <c:v>1859.7370000000001</c:v>
                </c:pt>
                <c:pt idx="812">
                  <c:v>1683.703</c:v>
                </c:pt>
                <c:pt idx="813">
                  <c:v>2014.5419999999999</c:v>
                </c:pt>
                <c:pt idx="814">
                  <c:v>1877.548</c:v>
                </c:pt>
                <c:pt idx="815">
                  <c:v>1532.922</c:v>
                </c:pt>
                <c:pt idx="816">
                  <c:v>2578</c:v>
                </c:pt>
                <c:pt idx="817">
                  <c:v>2719.7179999999998</c:v>
                </c:pt>
                <c:pt idx="818">
                  <c:v>2427.0509999999999</c:v>
                </c:pt>
                <c:pt idx="819">
                  <c:v>1873.7750000000001</c:v>
                </c:pt>
                <c:pt idx="820">
                  <c:v>1919.827</c:v>
                </c:pt>
                <c:pt idx="821">
                  <c:v>3180.2860000000001</c:v>
                </c:pt>
                <c:pt idx="822">
                  <c:v>1821.385</c:v>
                </c:pt>
                <c:pt idx="823">
                  <c:v>1791.4269999999999</c:v>
                </c:pt>
                <c:pt idx="824">
                  <c:v>1896.0129999999999</c:v>
                </c:pt>
                <c:pt idx="825">
                  <c:v>2426.4580000000001</c:v>
                </c:pt>
                <c:pt idx="826">
                  <c:v>3756.6329999999998</c:v>
                </c:pt>
                <c:pt idx="827">
                  <c:v>4756.1570000000002</c:v>
                </c:pt>
                <c:pt idx="828">
                  <c:v>9020.6679999999997</c:v>
                </c:pt>
                <c:pt idx="829">
                  <c:v>4911.8270000000002</c:v>
                </c:pt>
                <c:pt idx="830">
                  <c:v>4453.1540000000005</c:v>
                </c:pt>
                <c:pt idx="831">
                  <c:v>5229.2089999999998</c:v>
                </c:pt>
                <c:pt idx="832">
                  <c:v>4223.5680000000002</c:v>
                </c:pt>
                <c:pt idx="833">
                  <c:v>2773.306</c:v>
                </c:pt>
                <c:pt idx="834">
                  <c:v>3295.8789999999999</c:v>
                </c:pt>
                <c:pt idx="835">
                  <c:v>2455.982</c:v>
                </c:pt>
                <c:pt idx="836">
                  <c:v>2825.0790000000002</c:v>
                </c:pt>
                <c:pt idx="837">
                  <c:v>2517.6460000000002</c:v>
                </c:pt>
                <c:pt idx="838">
                  <c:v>2685.623</c:v>
                </c:pt>
                <c:pt idx="839">
                  <c:v>8646.9330000000009</c:v>
                </c:pt>
                <c:pt idx="840">
                  <c:v>3451.7550000000001</c:v>
                </c:pt>
                <c:pt idx="841">
                  <c:v>3597.1750000000002</c:v>
                </c:pt>
                <c:pt idx="842">
                  <c:v>4083.7919999999999</c:v>
                </c:pt>
                <c:pt idx="843">
                  <c:v>4898.1139999999996</c:v>
                </c:pt>
                <c:pt idx="844">
                  <c:v>4950.0150000000003</c:v>
                </c:pt>
                <c:pt idx="845">
                  <c:v>2813.7109999999998</c:v>
                </c:pt>
                <c:pt idx="846">
                  <c:v>2106.6689999999999</c:v>
                </c:pt>
                <c:pt idx="847">
                  <c:v>3906.8119999999999</c:v>
                </c:pt>
                <c:pt idx="848">
                  <c:v>2571.2759999999998</c:v>
                </c:pt>
                <c:pt idx="849">
                  <c:v>1888.154</c:v>
                </c:pt>
                <c:pt idx="850">
                  <c:v>2020.327</c:v>
                </c:pt>
                <c:pt idx="851">
                  <c:v>2063.047</c:v>
                </c:pt>
                <c:pt idx="852">
                  <c:v>2252.6729999999998</c:v>
                </c:pt>
                <c:pt idx="853">
                  <c:v>1680.105</c:v>
                </c:pt>
                <c:pt idx="854">
                  <c:v>2444.2840000000001</c:v>
                </c:pt>
                <c:pt idx="855">
                  <c:v>3370.902</c:v>
                </c:pt>
                <c:pt idx="856">
                  <c:v>4456.723</c:v>
                </c:pt>
                <c:pt idx="857">
                  <c:v>2461.6089999999999</c:v>
                </c:pt>
                <c:pt idx="858">
                  <c:v>2710.6370000000002</c:v>
                </c:pt>
                <c:pt idx="859">
                  <c:v>3084.6959999999999</c:v>
                </c:pt>
                <c:pt idx="860">
                  <c:v>3936.7269999999999</c:v>
                </c:pt>
                <c:pt idx="861">
                  <c:v>2307.4949999999999</c:v>
                </c:pt>
                <c:pt idx="862">
                  <c:v>1659.9179999999999</c:v>
                </c:pt>
                <c:pt idx="863">
                  <c:v>1368.396</c:v>
                </c:pt>
                <c:pt idx="864">
                  <c:v>2504.837</c:v>
                </c:pt>
                <c:pt idx="865">
                  <c:v>2412.0859999999998</c:v>
                </c:pt>
                <c:pt idx="866">
                  <c:v>3495.0430000000001</c:v>
                </c:pt>
                <c:pt idx="867">
                  <c:v>1857.8309999999999</c:v>
                </c:pt>
                <c:pt idx="868">
                  <c:v>2125.2890000000002</c:v>
                </c:pt>
                <c:pt idx="869">
                  <c:v>1859.1089999999999</c:v>
                </c:pt>
                <c:pt idx="870">
                  <c:v>3431.1309999999999</c:v>
                </c:pt>
                <c:pt idx="871">
                  <c:v>2466.3620000000001</c:v>
                </c:pt>
                <c:pt idx="872">
                  <c:v>1894.2270000000001</c:v>
                </c:pt>
                <c:pt idx="873">
                  <c:v>2058.529</c:v>
                </c:pt>
                <c:pt idx="874">
                  <c:v>2066.1640000000002</c:v>
                </c:pt>
                <c:pt idx="875">
                  <c:v>2615.337</c:v>
                </c:pt>
                <c:pt idx="876">
                  <c:v>1699.674</c:v>
                </c:pt>
                <c:pt idx="877">
                  <c:v>1284.0350000000001</c:v>
                </c:pt>
                <c:pt idx="878">
                  <c:v>1415.23</c:v>
                </c:pt>
                <c:pt idx="879">
                  <c:v>2108.4929999999999</c:v>
                </c:pt>
                <c:pt idx="880">
                  <c:v>2443.6709999999998</c:v>
                </c:pt>
                <c:pt idx="881">
                  <c:v>2412.3040000000001</c:v>
                </c:pt>
                <c:pt idx="882">
                  <c:v>2208.8200000000002</c:v>
                </c:pt>
                <c:pt idx="883">
                  <c:v>1603.9290000000001</c:v>
                </c:pt>
                <c:pt idx="884">
                  <c:v>2399.797</c:v>
                </c:pt>
                <c:pt idx="885">
                  <c:v>2452.5909999999999</c:v>
                </c:pt>
                <c:pt idx="886">
                  <c:v>4399.4030000000002</c:v>
                </c:pt>
                <c:pt idx="887">
                  <c:v>2247.7240000000002</c:v>
                </c:pt>
                <c:pt idx="888">
                  <c:v>2983.4270000000001</c:v>
                </c:pt>
                <c:pt idx="889">
                  <c:v>3371.2849999999999</c:v>
                </c:pt>
                <c:pt idx="890">
                  <c:v>5764.4279999999999</c:v>
                </c:pt>
                <c:pt idx="891">
                  <c:v>13938.442999999999</c:v>
                </c:pt>
                <c:pt idx="892">
                  <c:v>9814.6370000000006</c:v>
                </c:pt>
                <c:pt idx="893">
                  <c:v>9941.07</c:v>
                </c:pt>
                <c:pt idx="894">
                  <c:v>4427.6670000000004</c:v>
                </c:pt>
                <c:pt idx="895">
                  <c:v>3443.2260000000001</c:v>
                </c:pt>
                <c:pt idx="896">
                  <c:v>2883.7890000000002</c:v>
                </c:pt>
                <c:pt idx="897">
                  <c:v>2380.4830000000002</c:v>
                </c:pt>
                <c:pt idx="898">
                  <c:v>3247.5639999999999</c:v>
                </c:pt>
                <c:pt idx="899">
                  <c:v>2331.9279999999999</c:v>
                </c:pt>
                <c:pt idx="900">
                  <c:v>2674.0619999999999</c:v>
                </c:pt>
                <c:pt idx="901">
                  <c:v>2944.1880000000001</c:v>
                </c:pt>
                <c:pt idx="902">
                  <c:v>2857.587</c:v>
                </c:pt>
                <c:pt idx="903">
                  <c:v>5237.6639999999998</c:v>
                </c:pt>
                <c:pt idx="904">
                  <c:v>5575.9009999999998</c:v>
                </c:pt>
                <c:pt idx="905">
                  <c:v>3586.5509999999999</c:v>
                </c:pt>
                <c:pt idx="906">
                  <c:v>7165.835</c:v>
                </c:pt>
                <c:pt idx="907">
                  <c:v>2308.8710000000001</c:v>
                </c:pt>
                <c:pt idx="908">
                  <c:v>3942.1410000000001</c:v>
                </c:pt>
                <c:pt idx="909">
                  <c:v>3970.0709999999999</c:v>
                </c:pt>
                <c:pt idx="910">
                  <c:v>2392.8200000000002</c:v>
                </c:pt>
                <c:pt idx="911">
                  <c:v>3627.8530000000001</c:v>
                </c:pt>
                <c:pt idx="912">
                  <c:v>2571.9</c:v>
                </c:pt>
                <c:pt idx="913">
                  <c:v>3112.4369999999999</c:v>
                </c:pt>
                <c:pt idx="914">
                  <c:v>1471.2629999999999</c:v>
                </c:pt>
                <c:pt idx="915">
                  <c:v>3627.79</c:v>
                </c:pt>
                <c:pt idx="916">
                  <c:v>4763.0969999999998</c:v>
                </c:pt>
                <c:pt idx="917">
                  <c:v>3608.8980000000001</c:v>
                </c:pt>
                <c:pt idx="918">
                  <c:v>3623.2669999999998</c:v>
                </c:pt>
                <c:pt idx="919">
                  <c:v>2738.4259999999999</c:v>
                </c:pt>
                <c:pt idx="920">
                  <c:v>2423.799</c:v>
                </c:pt>
                <c:pt idx="921">
                  <c:v>2442.1280000000002</c:v>
                </c:pt>
                <c:pt idx="922">
                  <c:v>2590.056</c:v>
                </c:pt>
                <c:pt idx="923">
                  <c:v>3977.3719999999998</c:v>
                </c:pt>
                <c:pt idx="924">
                  <c:v>3610.4389999999999</c:v>
                </c:pt>
                <c:pt idx="925">
                  <c:v>3024.049</c:v>
                </c:pt>
                <c:pt idx="926">
                  <c:v>3756.922</c:v>
                </c:pt>
                <c:pt idx="927">
                  <c:v>2589.7060000000001</c:v>
                </c:pt>
                <c:pt idx="928">
                  <c:v>2586.5250000000001</c:v>
                </c:pt>
                <c:pt idx="929">
                  <c:v>1823.8879999999999</c:v>
                </c:pt>
                <c:pt idx="930">
                  <c:v>1734.759</c:v>
                </c:pt>
                <c:pt idx="931">
                  <c:v>2973.7759999999998</c:v>
                </c:pt>
                <c:pt idx="932">
                  <c:v>2326.48</c:v>
                </c:pt>
                <c:pt idx="933">
                  <c:v>5801.8620000000001</c:v>
                </c:pt>
                <c:pt idx="934">
                  <c:v>2521.174</c:v>
                </c:pt>
                <c:pt idx="935">
                  <c:v>2875.3919999999998</c:v>
                </c:pt>
                <c:pt idx="936">
                  <c:v>3048.3609999999999</c:v>
                </c:pt>
                <c:pt idx="937">
                  <c:v>2871.855</c:v>
                </c:pt>
                <c:pt idx="938">
                  <c:v>2055.7020000000002</c:v>
                </c:pt>
                <c:pt idx="939">
                  <c:v>1688.5429999999999</c:v>
                </c:pt>
                <c:pt idx="940">
                  <c:v>1679.5139999999999</c:v>
                </c:pt>
                <c:pt idx="941">
                  <c:v>2493.3290000000002</c:v>
                </c:pt>
                <c:pt idx="942">
                  <c:v>2111.5520000000001</c:v>
                </c:pt>
                <c:pt idx="943">
                  <c:v>1403.6</c:v>
                </c:pt>
                <c:pt idx="944">
                  <c:v>2300.8209999999999</c:v>
                </c:pt>
                <c:pt idx="945">
                  <c:v>1919.73</c:v>
                </c:pt>
                <c:pt idx="946">
                  <c:v>1464.097</c:v>
                </c:pt>
                <c:pt idx="947">
                  <c:v>1193.675</c:v>
                </c:pt>
                <c:pt idx="948">
                  <c:v>1902.2619999999999</c:v>
                </c:pt>
                <c:pt idx="949">
                  <c:v>2184.2440000000001</c:v>
                </c:pt>
                <c:pt idx="950">
                  <c:v>2067.1680000000001</c:v>
                </c:pt>
                <c:pt idx="951">
                  <c:v>3658.6129999999998</c:v>
                </c:pt>
                <c:pt idx="952">
                  <c:v>2838.8969999999999</c:v>
                </c:pt>
                <c:pt idx="953">
                  <c:v>4293.7290000000003</c:v>
                </c:pt>
                <c:pt idx="954">
                  <c:v>12091.228999999999</c:v>
                </c:pt>
                <c:pt idx="955">
                  <c:v>5553.076</c:v>
                </c:pt>
                <c:pt idx="956">
                  <c:v>3501.366</c:v>
                </c:pt>
                <c:pt idx="957">
                  <c:v>3301.8609999999999</c:v>
                </c:pt>
                <c:pt idx="958">
                  <c:v>1965.3979999999999</c:v>
                </c:pt>
                <c:pt idx="959">
                  <c:v>2463.2179999999998</c:v>
                </c:pt>
                <c:pt idx="960">
                  <c:v>3263.7249999999999</c:v>
                </c:pt>
                <c:pt idx="961">
                  <c:v>3651.7460000000001</c:v>
                </c:pt>
                <c:pt idx="962">
                  <c:v>3063.1750000000002</c:v>
                </c:pt>
                <c:pt idx="963">
                  <c:v>1957.3579999999999</c:v>
                </c:pt>
                <c:pt idx="964">
                  <c:v>1942.9760000000001</c:v>
                </c:pt>
                <c:pt idx="965">
                  <c:v>2617.8150000000001</c:v>
                </c:pt>
                <c:pt idx="966">
                  <c:v>2128.0740000000001</c:v>
                </c:pt>
                <c:pt idx="967">
                  <c:v>2319.2429999999999</c:v>
                </c:pt>
                <c:pt idx="968">
                  <c:v>2897.3670000000002</c:v>
                </c:pt>
                <c:pt idx="969">
                  <c:v>3241.76</c:v>
                </c:pt>
                <c:pt idx="970">
                  <c:v>2079.1469999999999</c:v>
                </c:pt>
                <c:pt idx="971">
                  <c:v>2047.249</c:v>
                </c:pt>
                <c:pt idx="972">
                  <c:v>2147.002</c:v>
                </c:pt>
                <c:pt idx="973">
                  <c:v>2839.739</c:v>
                </c:pt>
                <c:pt idx="974">
                  <c:v>4033.5039999999999</c:v>
                </c:pt>
                <c:pt idx="975">
                  <c:v>2807.317</c:v>
                </c:pt>
                <c:pt idx="976">
                  <c:v>2375.6729999999998</c:v>
                </c:pt>
                <c:pt idx="977">
                  <c:v>1782.655</c:v>
                </c:pt>
                <c:pt idx="978">
                  <c:v>3608.2779999999998</c:v>
                </c:pt>
                <c:pt idx="979">
                  <c:v>2171.5039999999999</c:v>
                </c:pt>
                <c:pt idx="980">
                  <c:v>3012.5309999999999</c:v>
                </c:pt>
                <c:pt idx="981">
                  <c:v>1988.663</c:v>
                </c:pt>
                <c:pt idx="982">
                  <c:v>1689.9259999999999</c:v>
                </c:pt>
                <c:pt idx="983">
                  <c:v>1981.153</c:v>
                </c:pt>
                <c:pt idx="984">
                  <c:v>2137.6640000000002</c:v>
                </c:pt>
                <c:pt idx="985">
                  <c:v>2321.48</c:v>
                </c:pt>
                <c:pt idx="986">
                  <c:v>2369.59</c:v>
                </c:pt>
                <c:pt idx="987">
                  <c:v>2454.4110000000001</c:v>
                </c:pt>
                <c:pt idx="988">
                  <c:v>2392.9450000000002</c:v>
                </c:pt>
                <c:pt idx="989">
                  <c:v>1864.675</c:v>
                </c:pt>
                <c:pt idx="990">
                  <c:v>2323.444</c:v>
                </c:pt>
                <c:pt idx="991">
                  <c:v>2032.925</c:v>
                </c:pt>
                <c:pt idx="992">
                  <c:v>1500.828</c:v>
                </c:pt>
                <c:pt idx="993">
                  <c:v>1324.498</c:v>
                </c:pt>
                <c:pt idx="994">
                  <c:v>2023.2360000000001</c:v>
                </c:pt>
                <c:pt idx="995">
                  <c:v>2197.779</c:v>
                </c:pt>
                <c:pt idx="996">
                  <c:v>3407.9920000000002</c:v>
                </c:pt>
                <c:pt idx="997">
                  <c:v>2201.7199999999998</c:v>
                </c:pt>
                <c:pt idx="998">
                  <c:v>2670.4119999999998</c:v>
                </c:pt>
                <c:pt idx="999">
                  <c:v>1975.6679999999999</c:v>
                </c:pt>
                <c:pt idx="1000">
                  <c:v>2585.5079999999998</c:v>
                </c:pt>
                <c:pt idx="1001">
                  <c:v>2260.6350000000002</c:v>
                </c:pt>
                <c:pt idx="1002">
                  <c:v>4943.1850000000004</c:v>
                </c:pt>
                <c:pt idx="1003">
                  <c:v>2453.5149999999999</c:v>
                </c:pt>
                <c:pt idx="1004">
                  <c:v>2631.7069999999999</c:v>
                </c:pt>
                <c:pt idx="1005">
                  <c:v>2609.2170000000001</c:v>
                </c:pt>
                <c:pt idx="1006">
                  <c:v>2773.6370000000002</c:v>
                </c:pt>
                <c:pt idx="1007">
                  <c:v>2452.0450000000001</c:v>
                </c:pt>
                <c:pt idx="1008">
                  <c:v>2669.92</c:v>
                </c:pt>
                <c:pt idx="1009">
                  <c:v>3766.49</c:v>
                </c:pt>
                <c:pt idx="1010">
                  <c:v>3501.453</c:v>
                </c:pt>
                <c:pt idx="1011">
                  <c:v>2880.0639999999999</c:v>
                </c:pt>
                <c:pt idx="1012">
                  <c:v>4051.9259999999999</c:v>
                </c:pt>
                <c:pt idx="1013">
                  <c:v>3295.3150000000001</c:v>
                </c:pt>
                <c:pt idx="1014">
                  <c:v>4553.058</c:v>
                </c:pt>
                <c:pt idx="1015">
                  <c:v>8716.8130000000001</c:v>
                </c:pt>
                <c:pt idx="1016">
                  <c:v>10598.099</c:v>
                </c:pt>
                <c:pt idx="1017">
                  <c:v>4011.9940000000001</c:v>
                </c:pt>
                <c:pt idx="1018">
                  <c:v>2411.6909999999998</c:v>
                </c:pt>
                <c:pt idx="1019">
                  <c:v>4253.2290000000003</c:v>
                </c:pt>
                <c:pt idx="1020">
                  <c:v>3994.0569999999998</c:v>
                </c:pt>
                <c:pt idx="1021">
                  <c:v>3654.55</c:v>
                </c:pt>
                <c:pt idx="1022">
                  <c:v>2873.6390000000001</c:v>
                </c:pt>
                <c:pt idx="1023">
                  <c:v>3295.4769999999999</c:v>
                </c:pt>
                <c:pt idx="1024">
                  <c:v>3610.0590000000002</c:v>
                </c:pt>
                <c:pt idx="1025">
                  <c:v>5305.7179999999998</c:v>
                </c:pt>
                <c:pt idx="1026">
                  <c:v>2892.9070000000002</c:v>
                </c:pt>
                <c:pt idx="1027">
                  <c:v>2829.1709999999998</c:v>
                </c:pt>
                <c:pt idx="1028">
                  <c:v>2238.1239999999998</c:v>
                </c:pt>
                <c:pt idx="1029">
                  <c:v>4909.7039999999997</c:v>
                </c:pt>
                <c:pt idx="1030">
                  <c:v>2619.2089999999998</c:v>
                </c:pt>
                <c:pt idx="1031">
                  <c:v>3440.848</c:v>
                </c:pt>
                <c:pt idx="1032">
                  <c:v>2854.1329999999998</c:v>
                </c:pt>
                <c:pt idx="1033">
                  <c:v>5213.777</c:v>
                </c:pt>
                <c:pt idx="1034">
                  <c:v>2049.2399999999998</c:v>
                </c:pt>
                <c:pt idx="1035">
                  <c:v>1025.0039999999999</c:v>
                </c:pt>
                <c:pt idx="1036">
                  <c:v>2630.1849999999999</c:v>
                </c:pt>
                <c:pt idx="1037">
                  <c:v>1773.835</c:v>
                </c:pt>
                <c:pt idx="1038">
                  <c:v>2045.336</c:v>
                </c:pt>
                <c:pt idx="1039">
                  <c:v>1962.2070000000001</c:v>
                </c:pt>
                <c:pt idx="1040">
                  <c:v>1758.597</c:v>
                </c:pt>
                <c:pt idx="1041">
                  <c:v>3413.24</c:v>
                </c:pt>
                <c:pt idx="1042">
                  <c:v>2804.864</c:v>
                </c:pt>
                <c:pt idx="1043">
                  <c:v>1921.0409999999999</c:v>
                </c:pt>
                <c:pt idx="1044">
                  <c:v>2208.0129999999999</c:v>
                </c:pt>
                <c:pt idx="1045">
                  <c:v>2139.404</c:v>
                </c:pt>
                <c:pt idx="1046">
                  <c:v>2756.6509999999998</c:v>
                </c:pt>
                <c:pt idx="1047">
                  <c:v>1943.1320000000001</c:v>
                </c:pt>
                <c:pt idx="1048">
                  <c:v>2429.2310000000002</c:v>
                </c:pt>
                <c:pt idx="1049">
                  <c:v>2354.4830000000002</c:v>
                </c:pt>
                <c:pt idx="1050">
                  <c:v>2975.0149999999999</c:v>
                </c:pt>
                <c:pt idx="1051">
                  <c:v>2713.7429999999999</c:v>
                </c:pt>
                <c:pt idx="1052">
                  <c:v>1742.835</c:v>
                </c:pt>
                <c:pt idx="1053">
                  <c:v>1863.0820000000001</c:v>
                </c:pt>
                <c:pt idx="1054">
                  <c:v>2082.7890000000002</c:v>
                </c:pt>
                <c:pt idx="1055">
                  <c:v>2453.9009999999998</c:v>
                </c:pt>
                <c:pt idx="1056">
                  <c:v>2770.7089999999998</c:v>
                </c:pt>
                <c:pt idx="1057">
                  <c:v>2116.6190000000001</c:v>
                </c:pt>
                <c:pt idx="1058">
                  <c:v>2236.192</c:v>
                </c:pt>
                <c:pt idx="1059">
                  <c:v>2864.0320000000002</c:v>
                </c:pt>
                <c:pt idx="1060">
                  <c:v>3879.28</c:v>
                </c:pt>
                <c:pt idx="1061">
                  <c:v>2454.0729999999999</c:v>
                </c:pt>
                <c:pt idx="1062">
                  <c:v>2181.0990000000002</c:v>
                </c:pt>
                <c:pt idx="1063">
                  <c:v>1640.7809999999999</c:v>
                </c:pt>
                <c:pt idx="1064">
                  <c:v>2805.4090000000001</c:v>
                </c:pt>
                <c:pt idx="1065">
                  <c:v>3053.3850000000002</c:v>
                </c:pt>
                <c:pt idx="1066">
                  <c:v>2028.606</c:v>
                </c:pt>
                <c:pt idx="1067">
                  <c:v>1874.1659999999999</c:v>
                </c:pt>
                <c:pt idx="1068">
                  <c:v>1699.749</c:v>
                </c:pt>
                <c:pt idx="1069">
                  <c:v>2721.4389999999999</c:v>
                </c:pt>
                <c:pt idx="1070">
                  <c:v>3397.502</c:v>
                </c:pt>
                <c:pt idx="1071">
                  <c:v>2284.4430000000002</c:v>
                </c:pt>
                <c:pt idx="1072">
                  <c:v>3452.7460000000001</c:v>
                </c:pt>
                <c:pt idx="1073">
                  <c:v>2728.1109999999999</c:v>
                </c:pt>
                <c:pt idx="1074">
                  <c:v>2676.9549999999999</c:v>
                </c:pt>
                <c:pt idx="1075">
                  <c:v>2992.78</c:v>
                </c:pt>
                <c:pt idx="1076">
                  <c:v>1990.846</c:v>
                </c:pt>
                <c:pt idx="1077">
                  <c:v>3213.8850000000002</c:v>
                </c:pt>
                <c:pt idx="1078">
                  <c:v>3352.779</c:v>
                </c:pt>
                <c:pt idx="1079">
                  <c:v>4065.806</c:v>
                </c:pt>
                <c:pt idx="1080">
                  <c:v>14831.57</c:v>
                </c:pt>
                <c:pt idx="1081">
                  <c:v>5763.9889999999996</c:v>
                </c:pt>
                <c:pt idx="1082">
                  <c:v>4627.7349999999997</c:v>
                </c:pt>
                <c:pt idx="1083">
                  <c:v>3116.6170000000002</c:v>
                </c:pt>
                <c:pt idx="1084">
                  <c:v>3257.9969999999998</c:v>
                </c:pt>
                <c:pt idx="1085">
                  <c:v>4017.9830000000002</c:v>
                </c:pt>
                <c:pt idx="1086">
                  <c:v>4249.6319999999996</c:v>
                </c:pt>
                <c:pt idx="1087">
                  <c:v>3387.319</c:v>
                </c:pt>
                <c:pt idx="1088">
                  <c:v>4177.0860000000002</c:v>
                </c:pt>
                <c:pt idx="1089">
                  <c:v>4399.3739999999998</c:v>
                </c:pt>
                <c:pt idx="1090">
                  <c:v>2396.8960000000002</c:v>
                </c:pt>
                <c:pt idx="1091">
                  <c:v>2489.09</c:v>
                </c:pt>
                <c:pt idx="1092">
                  <c:v>2664.75</c:v>
                </c:pt>
                <c:pt idx="1093">
                  <c:v>6849.5889999999999</c:v>
                </c:pt>
                <c:pt idx="1094">
                  <c:v>3256.0810000000001</c:v>
                </c:pt>
                <c:pt idx="1095">
                  <c:v>2310.817</c:v>
                </c:pt>
                <c:pt idx="1096">
                  <c:v>2398.2759999999998</c:v>
                </c:pt>
                <c:pt idx="1097">
                  <c:v>2327.6129999999998</c:v>
                </c:pt>
                <c:pt idx="1098">
                  <c:v>2547.7809999999999</c:v>
                </c:pt>
                <c:pt idx="1099">
                  <c:v>3529.0340000000001</c:v>
                </c:pt>
                <c:pt idx="1100">
                  <c:v>2346.605</c:v>
                </c:pt>
                <c:pt idx="1101">
                  <c:v>2160.6689999999999</c:v>
                </c:pt>
                <c:pt idx="1102">
                  <c:v>10734.6</c:v>
                </c:pt>
                <c:pt idx="1103">
                  <c:v>8429.5589999999993</c:v>
                </c:pt>
                <c:pt idx="1104">
                  <c:v>9968.2180000000008</c:v>
                </c:pt>
                <c:pt idx="1105">
                  <c:v>7836.9840000000004</c:v>
                </c:pt>
                <c:pt idx="1106">
                  <c:v>12482.549000000001</c:v>
                </c:pt>
                <c:pt idx="1107">
                  <c:v>7115.3850000000002</c:v>
                </c:pt>
                <c:pt idx="1108">
                  <c:v>5163.7910000000002</c:v>
                </c:pt>
                <c:pt idx="1109">
                  <c:v>9499.2819999999992</c:v>
                </c:pt>
                <c:pt idx="1110">
                  <c:v>4036.81</c:v>
                </c:pt>
                <c:pt idx="1111">
                  <c:v>3158.0709999999999</c:v>
                </c:pt>
                <c:pt idx="1112">
                  <c:v>3862.549</c:v>
                </c:pt>
                <c:pt idx="1113">
                  <c:v>3088.529</c:v>
                </c:pt>
                <c:pt idx="1114">
                  <c:v>4699.3469999999998</c:v>
                </c:pt>
                <c:pt idx="1115">
                  <c:v>4941.7089999999998</c:v>
                </c:pt>
                <c:pt idx="1116">
                  <c:v>3671.6550000000002</c:v>
                </c:pt>
                <c:pt idx="1117">
                  <c:v>5171.8109999999997</c:v>
                </c:pt>
                <c:pt idx="1118">
                  <c:v>3462.3290000000002</c:v>
                </c:pt>
                <c:pt idx="1119">
                  <c:v>2453.212</c:v>
                </c:pt>
                <c:pt idx="1120">
                  <c:v>3534.9009999999998</c:v>
                </c:pt>
                <c:pt idx="1121">
                  <c:v>2596.2730000000001</c:v>
                </c:pt>
                <c:pt idx="1122">
                  <c:v>3315.5349999999999</c:v>
                </c:pt>
                <c:pt idx="1123">
                  <c:v>2103.6990000000001</c:v>
                </c:pt>
                <c:pt idx="1124">
                  <c:v>2235.8209999999999</c:v>
                </c:pt>
                <c:pt idx="1125">
                  <c:v>2983.5450000000001</c:v>
                </c:pt>
                <c:pt idx="1126">
                  <c:v>2519.3040000000001</c:v>
                </c:pt>
                <c:pt idx="1127">
                  <c:v>1881.8240000000001</c:v>
                </c:pt>
                <c:pt idx="1128">
                  <c:v>5019.26</c:v>
                </c:pt>
                <c:pt idx="1129">
                  <c:v>2935.7060000000001</c:v>
                </c:pt>
                <c:pt idx="1130">
                  <c:v>3529.12</c:v>
                </c:pt>
                <c:pt idx="1131">
                  <c:v>2148.4870000000001</c:v>
                </c:pt>
                <c:pt idx="1132">
                  <c:v>2137.7800000000002</c:v>
                </c:pt>
                <c:pt idx="1133">
                  <c:v>3356.6909999999998</c:v>
                </c:pt>
                <c:pt idx="1134">
                  <c:v>4254.5659999999998</c:v>
                </c:pt>
                <c:pt idx="1135">
                  <c:v>3541.1309999999999</c:v>
                </c:pt>
                <c:pt idx="1136">
                  <c:v>3125.2420000000002</c:v>
                </c:pt>
                <c:pt idx="1137">
                  <c:v>3591.1840000000002</c:v>
                </c:pt>
                <c:pt idx="1138">
                  <c:v>3619.8719999999998</c:v>
                </c:pt>
                <c:pt idx="1139">
                  <c:v>4761.97</c:v>
                </c:pt>
                <c:pt idx="1140">
                  <c:v>11678.831</c:v>
                </c:pt>
                <c:pt idx="1141">
                  <c:v>6442.2309999999998</c:v>
                </c:pt>
                <c:pt idx="1142">
                  <c:v>4785.817</c:v>
                </c:pt>
                <c:pt idx="1143">
                  <c:v>4007.4229999999998</c:v>
                </c:pt>
                <c:pt idx="1144">
                  <c:v>2496.3180000000002</c:v>
                </c:pt>
                <c:pt idx="1145">
                  <c:v>3325.5439999999999</c:v>
                </c:pt>
                <c:pt idx="1146">
                  <c:v>3845.723</c:v>
                </c:pt>
                <c:pt idx="1147">
                  <c:v>4425.0010000000002</c:v>
                </c:pt>
                <c:pt idx="1148">
                  <c:v>4247.3069999999998</c:v>
                </c:pt>
                <c:pt idx="1149">
                  <c:v>3485.7080000000001</c:v>
                </c:pt>
                <c:pt idx="1150">
                  <c:v>2455.931</c:v>
                </c:pt>
                <c:pt idx="1151">
                  <c:v>2916.82</c:v>
                </c:pt>
                <c:pt idx="1152">
                  <c:v>2989.2649999999999</c:v>
                </c:pt>
                <c:pt idx="1153">
                  <c:v>4375.0569999999998</c:v>
                </c:pt>
                <c:pt idx="1154">
                  <c:v>2799.1379999999999</c:v>
                </c:pt>
                <c:pt idx="1155">
                  <c:v>5188.0119999999997</c:v>
                </c:pt>
                <c:pt idx="1156">
                  <c:v>3985.1729999999998</c:v>
                </c:pt>
                <c:pt idx="1157">
                  <c:v>4386.4040000000005</c:v>
                </c:pt>
                <c:pt idx="1158">
                  <c:v>2837.6410000000001</c:v>
                </c:pt>
                <c:pt idx="1159">
                  <c:v>2148.1469999999999</c:v>
                </c:pt>
                <c:pt idx="1160">
                  <c:v>4742.9939999999997</c:v>
                </c:pt>
                <c:pt idx="1161">
                  <c:v>3711.7620000000002</c:v>
                </c:pt>
                <c:pt idx="1162">
                  <c:v>5341.174</c:v>
                </c:pt>
                <c:pt idx="1163">
                  <c:v>3687.538</c:v>
                </c:pt>
                <c:pt idx="1164">
                  <c:v>1784.9549999999999</c:v>
                </c:pt>
                <c:pt idx="1165">
                  <c:v>4196.1000000000004</c:v>
                </c:pt>
                <c:pt idx="1166">
                  <c:v>3915.1120000000001</c:v>
                </c:pt>
                <c:pt idx="1167">
                  <c:v>2800.1329999999998</c:v>
                </c:pt>
                <c:pt idx="1168">
                  <c:v>3650.413</c:v>
                </c:pt>
                <c:pt idx="1169">
                  <c:v>3039.9340000000002</c:v>
                </c:pt>
                <c:pt idx="1170">
                  <c:v>4043.4140000000002</c:v>
                </c:pt>
                <c:pt idx="1171">
                  <c:v>3330.1129999999998</c:v>
                </c:pt>
                <c:pt idx="1172">
                  <c:v>4335.2370000000001</c:v>
                </c:pt>
                <c:pt idx="1173">
                  <c:v>3058.857</c:v>
                </c:pt>
                <c:pt idx="1174">
                  <c:v>3540.3110000000001</c:v>
                </c:pt>
                <c:pt idx="1175">
                  <c:v>4405.2730000000001</c:v>
                </c:pt>
                <c:pt idx="1176">
                  <c:v>3466.748</c:v>
                </c:pt>
                <c:pt idx="1177">
                  <c:v>4195.9809999999998</c:v>
                </c:pt>
                <c:pt idx="1178">
                  <c:v>3232.5340000000001</c:v>
                </c:pt>
                <c:pt idx="1179">
                  <c:v>2553.4940000000001</c:v>
                </c:pt>
                <c:pt idx="1180">
                  <c:v>2443.4160000000002</c:v>
                </c:pt>
                <c:pt idx="1181">
                  <c:v>3172.0120000000002</c:v>
                </c:pt>
                <c:pt idx="1182">
                  <c:v>3284.7530000000002</c:v>
                </c:pt>
                <c:pt idx="1183">
                  <c:v>3149.4169999999999</c:v>
                </c:pt>
                <c:pt idx="1184">
                  <c:v>3189.002</c:v>
                </c:pt>
                <c:pt idx="1185">
                  <c:v>2822.761</c:v>
                </c:pt>
                <c:pt idx="1186">
                  <c:v>2047.1880000000001</c:v>
                </c:pt>
                <c:pt idx="1187">
                  <c:v>3191.2</c:v>
                </c:pt>
                <c:pt idx="1188">
                  <c:v>2135.7399999999998</c:v>
                </c:pt>
                <c:pt idx="1189">
                  <c:v>2441.5790000000002</c:v>
                </c:pt>
                <c:pt idx="1190">
                  <c:v>2862.5070000000001</c:v>
                </c:pt>
                <c:pt idx="1191">
                  <c:v>3175.8220000000001</c:v>
                </c:pt>
                <c:pt idx="1192">
                  <c:v>3560.2660000000001</c:v>
                </c:pt>
                <c:pt idx="1193">
                  <c:v>2650.5949999999998</c:v>
                </c:pt>
                <c:pt idx="1194">
                  <c:v>2297.46</c:v>
                </c:pt>
                <c:pt idx="1195">
                  <c:v>3490.2280000000001</c:v>
                </c:pt>
                <c:pt idx="1196">
                  <c:v>5736.0789999999997</c:v>
                </c:pt>
                <c:pt idx="1197">
                  <c:v>2593.81</c:v>
                </c:pt>
                <c:pt idx="1198">
                  <c:v>2805.9319999999998</c:v>
                </c:pt>
                <c:pt idx="1199">
                  <c:v>4186.3900000000003</c:v>
                </c:pt>
                <c:pt idx="1200">
                  <c:v>3488.3890000000001</c:v>
                </c:pt>
                <c:pt idx="1201">
                  <c:v>4830.5349999999999</c:v>
                </c:pt>
                <c:pt idx="1202">
                  <c:v>4001.4920000000002</c:v>
                </c:pt>
                <c:pt idx="1203">
                  <c:v>9369.59</c:v>
                </c:pt>
                <c:pt idx="1204">
                  <c:v>4436.3770000000004</c:v>
                </c:pt>
                <c:pt idx="1205">
                  <c:v>4838.9809999999998</c:v>
                </c:pt>
                <c:pt idx="1206">
                  <c:v>3391.1570000000002</c:v>
                </c:pt>
                <c:pt idx="1207">
                  <c:v>4477.6239999999998</c:v>
                </c:pt>
                <c:pt idx="1208">
                  <c:v>2870.902</c:v>
                </c:pt>
                <c:pt idx="1209">
                  <c:v>3770.91</c:v>
                </c:pt>
                <c:pt idx="1210">
                  <c:v>2842.2420000000002</c:v>
                </c:pt>
                <c:pt idx="1211">
                  <c:v>2858.4859999999999</c:v>
                </c:pt>
                <c:pt idx="1212">
                  <c:v>2720.7820000000002</c:v>
                </c:pt>
                <c:pt idx="1213">
                  <c:v>2140.3150000000001</c:v>
                </c:pt>
                <c:pt idx="1214">
                  <c:v>2713.67</c:v>
                </c:pt>
                <c:pt idx="1215">
                  <c:v>2708.4630000000002</c:v>
                </c:pt>
                <c:pt idx="1216">
                  <c:v>4525.6109999999999</c:v>
                </c:pt>
                <c:pt idx="1217">
                  <c:v>4474.5020000000004</c:v>
                </c:pt>
                <c:pt idx="1218">
                  <c:v>5600.585</c:v>
                </c:pt>
                <c:pt idx="1219">
                  <c:v>3626.6579999999999</c:v>
                </c:pt>
                <c:pt idx="1220">
                  <c:v>3342.143</c:v>
                </c:pt>
                <c:pt idx="1221">
                  <c:v>3169.627</c:v>
                </c:pt>
                <c:pt idx="1222">
                  <c:v>3022.9670000000001</c:v>
                </c:pt>
                <c:pt idx="1223">
                  <c:v>3016.2739999999999</c:v>
                </c:pt>
                <c:pt idx="1224">
                  <c:v>2683.873</c:v>
                </c:pt>
                <c:pt idx="1225">
                  <c:v>2265.5030000000002</c:v>
                </c:pt>
                <c:pt idx="1226">
                  <c:v>3139.7220000000002</c:v>
                </c:pt>
                <c:pt idx="1227">
                  <c:v>2533.2179999999998</c:v>
                </c:pt>
                <c:pt idx="1228">
                  <c:v>2172.6469999999999</c:v>
                </c:pt>
                <c:pt idx="1229">
                  <c:v>3043.6210000000001</c:v>
                </c:pt>
                <c:pt idx="1230">
                  <c:v>2348.7130000000002</c:v>
                </c:pt>
                <c:pt idx="1231">
                  <c:v>2555.694</c:v>
                </c:pt>
                <c:pt idx="1232">
                  <c:v>2337.8719999999998</c:v>
                </c:pt>
                <c:pt idx="1233">
                  <c:v>4963.2569999999996</c:v>
                </c:pt>
                <c:pt idx="1234">
                  <c:v>4981.6189999999997</c:v>
                </c:pt>
                <c:pt idx="1235">
                  <c:v>4214.5780000000004</c:v>
                </c:pt>
                <c:pt idx="1236">
                  <c:v>3292.2649999999999</c:v>
                </c:pt>
                <c:pt idx="1237">
                  <c:v>3189.1880000000001</c:v>
                </c:pt>
                <c:pt idx="1238">
                  <c:v>2332.0859999999998</c:v>
                </c:pt>
                <c:pt idx="1239">
                  <c:v>4272.9290000000001</c:v>
                </c:pt>
                <c:pt idx="1240">
                  <c:v>3971.2150000000001</c:v>
                </c:pt>
                <c:pt idx="1241">
                  <c:v>2896.8739999999998</c:v>
                </c:pt>
                <c:pt idx="1242">
                  <c:v>2055.3760000000002</c:v>
                </c:pt>
                <c:pt idx="1243">
                  <c:v>3804.9140000000002</c:v>
                </c:pt>
                <c:pt idx="1244">
                  <c:v>5060.8990000000003</c:v>
                </c:pt>
                <c:pt idx="1245">
                  <c:v>4529.3590000000004</c:v>
                </c:pt>
                <c:pt idx="1246">
                  <c:v>3640.12</c:v>
                </c:pt>
                <c:pt idx="1247">
                  <c:v>2490.473</c:v>
                </c:pt>
                <c:pt idx="1248">
                  <c:v>3305.692</c:v>
                </c:pt>
                <c:pt idx="1249">
                  <c:v>3287.5990000000002</c:v>
                </c:pt>
                <c:pt idx="1250">
                  <c:v>4082.8270000000002</c:v>
                </c:pt>
                <c:pt idx="1251">
                  <c:v>3327.665</c:v>
                </c:pt>
                <c:pt idx="1252">
                  <c:v>2330.2370000000001</c:v>
                </c:pt>
                <c:pt idx="1253">
                  <c:v>3130.8589999999999</c:v>
                </c:pt>
                <c:pt idx="1254">
                  <c:v>3036.1260000000002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EF-432B-AA14-EE1DDA86E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3611824"/>
        <c:axId val="1623615664"/>
      </c:lineChart>
      <c:dateAx>
        <c:axId val="1623606544"/>
        <c:scaling>
          <c:orientation val="minMax"/>
          <c:max val="46017"/>
        </c:scaling>
        <c:delete val="0"/>
        <c:axPos val="b"/>
        <c:numFmt formatCode="[$-409]mmm\-yy;@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623607984"/>
        <c:crosses val="autoZero"/>
        <c:auto val="1"/>
        <c:lblOffset val="100"/>
        <c:baseTimeUnit val="days"/>
      </c:dateAx>
      <c:valAx>
        <c:axId val="1623607984"/>
        <c:scaling>
          <c:orientation val="minMax"/>
          <c:max val="150"/>
          <c:min val="10"/>
        </c:scaling>
        <c:delete val="0"/>
        <c:axPos val="l"/>
        <c:numFmt formatCode="_([$$-409]* #,##0_);_([$$-409]* \(#,##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623606544"/>
        <c:crosses val="autoZero"/>
        <c:crossBetween val="between"/>
      </c:valAx>
      <c:valAx>
        <c:axId val="1623615664"/>
        <c:scaling>
          <c:orientation val="minMax"/>
          <c:max val="20000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623611824"/>
        <c:crosses val="max"/>
        <c:crossBetween val="between"/>
      </c:valAx>
      <c:dateAx>
        <c:axId val="16236118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236156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entury Schoolbook" panose="02040604050505020304" pitchFamily="18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Schoolbook" panose="020406040505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Formatted!$B$9</c:f>
              <c:strCache>
                <c:ptCount val="1"/>
                <c:pt idx="0">
                  <c:v>EBITDA</c:v>
                </c:pt>
              </c:strCache>
            </c:strRef>
          </c:tx>
          <c:spPr>
            <a:ln w="28575" cap="rnd">
              <a:solidFill>
                <a:srgbClr val="0044BF"/>
              </a:solidFill>
              <a:round/>
            </a:ln>
            <a:effectLst/>
          </c:spPr>
          <c:marker>
            <c:symbol val="none"/>
          </c:marker>
          <c:cat>
            <c:strRef>
              <c:f>Formatted!$C$2:$H$2</c:f>
              <c:strCache>
                <c:ptCount val="6"/>
                <c:pt idx="0">
                  <c:v>2021A</c:v>
                </c:pt>
                <c:pt idx="1">
                  <c:v>2022A</c:v>
                </c:pt>
                <c:pt idx="2">
                  <c:v>2023A</c:v>
                </c:pt>
                <c:pt idx="3">
                  <c:v>2024A</c:v>
                </c:pt>
                <c:pt idx="4">
                  <c:v>2025A</c:v>
                </c:pt>
                <c:pt idx="5">
                  <c:v>LTM</c:v>
                </c:pt>
              </c:strCache>
            </c:strRef>
          </c:cat>
          <c:val>
            <c:numRef>
              <c:f>Formatted!$C$9:$H$9</c:f>
              <c:numCache>
                <c:formatCode>"$"#,##0_);\("$"#,##0\)</c:formatCode>
                <c:ptCount val="6"/>
                <c:pt idx="0">
                  <c:v>3230</c:v>
                </c:pt>
                <c:pt idx="1">
                  <c:v>3908</c:v>
                </c:pt>
                <c:pt idx="2">
                  <c:v>2713</c:v>
                </c:pt>
                <c:pt idx="3">
                  <c:v>2497</c:v>
                </c:pt>
                <c:pt idx="4">
                  <c:v>2128</c:v>
                </c:pt>
                <c:pt idx="5">
                  <c:v>2586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9D-46B9-A681-DB543A442EE2}"/>
            </c:ext>
          </c:extLst>
        </c:ser>
        <c:ser>
          <c:idx val="1"/>
          <c:order val="1"/>
          <c:tx>
            <c:strRef>
              <c:f>Formatted!$B$19</c:f>
              <c:strCache>
                <c:ptCount val="1"/>
                <c:pt idx="0">
                  <c:v>Dividends</c:v>
                </c:pt>
              </c:strCache>
            </c:strRef>
          </c:tx>
          <c:spPr>
            <a:ln w="28575" cap="rnd">
              <a:solidFill>
                <a:srgbClr val="F6F10B"/>
              </a:solidFill>
              <a:round/>
            </a:ln>
            <a:effectLst/>
          </c:spPr>
          <c:marker>
            <c:symbol val="none"/>
          </c:marker>
          <c:cat>
            <c:strRef>
              <c:f>Formatted!$C$2:$H$2</c:f>
              <c:strCache>
                <c:ptCount val="6"/>
                <c:pt idx="0">
                  <c:v>2021A</c:v>
                </c:pt>
                <c:pt idx="1">
                  <c:v>2022A</c:v>
                </c:pt>
                <c:pt idx="2">
                  <c:v>2023A</c:v>
                </c:pt>
                <c:pt idx="3">
                  <c:v>2024A</c:v>
                </c:pt>
                <c:pt idx="4">
                  <c:v>2025A</c:v>
                </c:pt>
                <c:pt idx="5">
                  <c:v>LTM</c:v>
                </c:pt>
              </c:strCache>
            </c:strRef>
          </c:cat>
          <c:val>
            <c:numRef>
              <c:f>Formatted!$C$19:$H$19</c:f>
              <c:numCache>
                <c:formatCode>"$"#,##0_);\("$"#,##0\)</c:formatCode>
                <c:ptCount val="6"/>
                <c:pt idx="0">
                  <c:v>568</c:v>
                </c:pt>
                <c:pt idx="1">
                  <c:v>688</c:v>
                </c:pt>
                <c:pt idx="2">
                  <c:v>789</c:v>
                </c:pt>
                <c:pt idx="3">
                  <c:v>801</c:v>
                </c:pt>
                <c:pt idx="4">
                  <c:v>807</c:v>
                </c:pt>
                <c:pt idx="5">
                  <c:v>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9D-46B9-A681-DB543A442EE2}"/>
            </c:ext>
          </c:extLst>
        </c:ser>
        <c:ser>
          <c:idx val="2"/>
          <c:order val="2"/>
          <c:tx>
            <c:strRef>
              <c:f>Formatted!$B$22</c:f>
              <c:strCache>
                <c:ptCount val="1"/>
                <c:pt idx="0">
                  <c:v>Free Cashflow</c:v>
                </c:pt>
              </c:strCache>
            </c:strRef>
          </c:tx>
          <c:spPr>
            <a:ln w="28575" cap="rnd">
              <a:solidFill>
                <a:srgbClr val="E7F2FF"/>
              </a:solidFill>
              <a:round/>
            </a:ln>
            <a:effectLst/>
          </c:spPr>
          <c:marker>
            <c:symbol val="none"/>
          </c:marker>
          <c:cat>
            <c:strRef>
              <c:f>Formatted!$C$2:$H$2</c:f>
              <c:strCache>
                <c:ptCount val="6"/>
                <c:pt idx="0">
                  <c:v>2021A</c:v>
                </c:pt>
                <c:pt idx="1">
                  <c:v>2022A</c:v>
                </c:pt>
                <c:pt idx="2">
                  <c:v>2023A</c:v>
                </c:pt>
                <c:pt idx="3">
                  <c:v>2024A</c:v>
                </c:pt>
                <c:pt idx="4">
                  <c:v>2025A</c:v>
                </c:pt>
                <c:pt idx="5">
                  <c:v>LTM</c:v>
                </c:pt>
              </c:strCache>
            </c:strRef>
          </c:cat>
          <c:val>
            <c:numRef>
              <c:f>Formatted!$C$22:$H$22</c:f>
              <c:numCache>
                <c:formatCode>"$"#,##0_);\("$"#,##0\)</c:formatCode>
                <c:ptCount val="6"/>
                <c:pt idx="0">
                  <c:v>3080.1527777777778</c:v>
                </c:pt>
                <c:pt idx="1">
                  <c:v>2424.1241610738257</c:v>
                </c:pt>
                <c:pt idx="2">
                  <c:v>984.1030228254167</c:v>
                </c:pt>
                <c:pt idx="3">
                  <c:v>467.85482625482632</c:v>
                </c:pt>
                <c:pt idx="4">
                  <c:v>1182.0490797546013</c:v>
                </c:pt>
                <c:pt idx="5">
                  <c:v>1514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9D-46B9-A681-DB543A442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41078896"/>
        <c:axId val="1241081296"/>
      </c:lineChart>
      <c:catAx>
        <c:axId val="124107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241081296"/>
        <c:crosses val="autoZero"/>
        <c:auto val="1"/>
        <c:lblAlgn val="ctr"/>
        <c:lblOffset val="100"/>
        <c:noMultiLvlLbl val="0"/>
      </c:catAx>
      <c:valAx>
        <c:axId val="1241081296"/>
        <c:scaling>
          <c:orientation val="minMax"/>
          <c:max val="5000"/>
        </c:scaling>
        <c:delete val="0"/>
        <c:axPos val="l"/>
        <c:numFmt formatCode="&quot;$&quot;#,##0_);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241078896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entury Schoolbook" panose="02040604050505020304" pitchFamily="18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0">
          <a:solidFill>
            <a:sysClr val="windowText" lastClr="000000"/>
          </a:solidFill>
          <a:latin typeface="Century Schoolbook" panose="020406040505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Century Schoolbook" panose="0204060405050502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'FB Field'!$F$4:$F$9</c:f>
              <c:numCache>
                <c:formatCode>"$"#,##0</c:formatCode>
                <c:ptCount val="6"/>
                <c:pt idx="0">
                  <c:v>80.852419968634337</c:v>
                </c:pt>
                <c:pt idx="1">
                  <c:v>78.852858358507405</c:v>
                </c:pt>
                <c:pt idx="2">
                  <c:v>120.68902354570639</c:v>
                </c:pt>
                <c:pt idx="3">
                  <c:v>124.17554709141274</c:v>
                </c:pt>
                <c:pt idx="4">
                  <c:v>86.891220000000018</c:v>
                </c:pt>
                <c:pt idx="5">
                  <c:v>54.99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53-49B9-B540-2DA7A88BDDC8}"/>
            </c:ext>
          </c:extLst>
        </c:ser>
        <c:ser>
          <c:idx val="1"/>
          <c:order val="1"/>
          <c:spPr>
            <a:solidFill>
              <a:srgbClr val="FFF200"/>
            </a:solidFill>
            <a:ln w="0">
              <a:solidFill>
                <a:schemeClr val="bg1"/>
              </a:solidFill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B53-49B9-B540-2DA7A88BDDC8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AB53-49B9-B540-2DA7A88BDDC8}"/>
              </c:ext>
            </c:extLst>
          </c:dPt>
          <c:dPt>
            <c:idx val="2"/>
            <c:invertIfNegative val="0"/>
            <c:bubble3D val="0"/>
            <c:spPr>
              <a:solidFill>
                <a:srgbClr val="0044B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B53-49B9-B540-2DA7A88BDDC8}"/>
              </c:ext>
            </c:extLst>
          </c:dPt>
          <c:dPt>
            <c:idx val="3"/>
            <c:invertIfNegative val="0"/>
            <c:bubble3D val="0"/>
            <c:spPr>
              <a:solidFill>
                <a:srgbClr val="0044B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AB53-49B9-B540-2DA7A88BDDC8}"/>
              </c:ext>
            </c:extLst>
          </c:dPt>
          <c:dPt>
            <c:idx val="4"/>
            <c:invertIfNegative val="0"/>
            <c:bubble3D val="0"/>
            <c:spPr>
              <a:solidFill>
                <a:srgbClr val="0044B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AB53-49B9-B540-2DA7A88BDDC8}"/>
              </c:ext>
            </c:extLst>
          </c:dPt>
          <c:dPt>
            <c:idx val="5"/>
            <c:invertIfNegative val="0"/>
            <c:bubble3D val="0"/>
            <c:spPr>
              <a:solidFill>
                <a:srgbClr val="0044BF"/>
              </a:solidFill>
              <a:ln w="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AB53-49B9-B540-2DA7A88BDDC8}"/>
              </c:ext>
            </c:extLst>
          </c:dPt>
          <c:dLbls>
            <c:delete val="1"/>
          </c:dLbls>
          <c:val>
            <c:numRef>
              <c:f>'FB Field'!$G$4:$G$9</c:f>
              <c:numCache>
                <c:formatCode>"$"#,##0</c:formatCode>
                <c:ptCount val="6"/>
                <c:pt idx="0">
                  <c:v>17.967204437474308</c:v>
                </c:pt>
                <c:pt idx="1">
                  <c:v>17.52285741300166</c:v>
                </c:pt>
                <c:pt idx="2">
                  <c:v>26.819783010156982</c:v>
                </c:pt>
                <c:pt idx="3">
                  <c:v>27.594566020313948</c:v>
                </c:pt>
                <c:pt idx="4">
                  <c:v>19.309160000000006</c:v>
                </c:pt>
                <c:pt idx="5">
                  <c:v>36.729999999999997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53-49B9-B540-2DA7A88BDDC8}"/>
            </c:ext>
          </c:extLst>
        </c:ser>
        <c:ser>
          <c:idx val="2"/>
          <c:order val="2"/>
          <c:spPr>
            <a:noFill/>
            <a:ln>
              <a:noFill/>
            </a:ln>
            <a:effectLst/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Century Schoolbook" panose="0204060405050502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'FB Field'!$D$4:$D$9</c:f>
              <c:numCache>
                <c:formatCode>"$"#,##0</c:formatCode>
                <c:ptCount val="6"/>
                <c:pt idx="0">
                  <c:v>98.819624406108645</c:v>
                </c:pt>
                <c:pt idx="1">
                  <c:v>96.375715771509064</c:v>
                </c:pt>
                <c:pt idx="2">
                  <c:v>147.50880655586337</c:v>
                </c:pt>
                <c:pt idx="3">
                  <c:v>151.77011311172669</c:v>
                </c:pt>
                <c:pt idx="4">
                  <c:v>106.20038000000002</c:v>
                </c:pt>
                <c:pt idx="5">
                  <c:v>91.72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B53-49B9-B540-2DA7A88BDDC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0"/>
        <c:overlap val="100"/>
        <c:axId val="1749888912"/>
        <c:axId val="1749893232"/>
      </c:barChart>
      <c:scatterChart>
        <c:scatterStyle val="lineMarker"/>
        <c:varyColors val="0"/>
        <c:ser>
          <c:idx val="3"/>
          <c:order val="3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'FB Field'!$C$12:$C$16</c:f>
              <c:numCache>
                <c:formatCode>_(* #,##0.00_);_(* \(#,##0.00\);_(* "-"??_);_(@_)</c:formatCode>
                <c:ptCount val="5"/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v>Intrinsic Average</c:v>
                </c15:tx>
              </c15:filteredSeriesTitle>
            </c:ext>
            <c:ext xmlns:c16="http://schemas.microsoft.com/office/drawing/2014/chart" uri="{C3380CC4-5D6E-409C-BE32-E72D297353CC}">
              <c16:uniqueId val="{0000000D-AB53-49B9-B540-2DA7A88BD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3562704"/>
        <c:axId val="1693562224"/>
      </c:scatterChart>
      <c:catAx>
        <c:axId val="1749888912"/>
        <c:scaling>
          <c:orientation val="minMax"/>
        </c:scaling>
        <c:delete val="1"/>
        <c:axPos val="l"/>
        <c:majorTickMark val="none"/>
        <c:minorTickMark val="none"/>
        <c:tickLblPos val="nextTo"/>
        <c:crossAx val="1749893232"/>
        <c:crosses val="autoZero"/>
        <c:auto val="1"/>
        <c:lblAlgn val="ctr"/>
        <c:lblOffset val="100"/>
        <c:noMultiLvlLbl val="0"/>
      </c:catAx>
      <c:valAx>
        <c:axId val="1749893232"/>
        <c:scaling>
          <c:orientation val="minMax"/>
          <c:max val="160"/>
          <c:min val="50"/>
        </c:scaling>
        <c:delete val="0"/>
        <c:axPos val="b"/>
        <c:numFmt formatCode="&quot;$&quot;#,##0" sourceLinked="1"/>
        <c:majorTickMark val="out"/>
        <c:minorTickMark val="none"/>
        <c:tickLblPos val="nextTo"/>
        <c:spPr>
          <a:solidFill>
            <a:schemeClr val="bg1"/>
          </a:solidFill>
          <a:ln>
            <a:solidFill>
              <a:schemeClr val="bg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1"/>
                </a:solidFill>
                <a:latin typeface="Century Schoolbook" panose="02040604050505020304" pitchFamily="18" charset="0"/>
                <a:ea typeface="+mn-ea"/>
                <a:cs typeface="+mn-cs"/>
              </a:defRPr>
            </a:pPr>
            <a:endParaRPr lang="en-US"/>
          </a:p>
        </c:txPr>
        <c:crossAx val="1749888912"/>
        <c:crosses val="autoZero"/>
        <c:crossBetween val="between"/>
      </c:valAx>
      <c:valAx>
        <c:axId val="1693562224"/>
        <c:scaling>
          <c:orientation val="minMax"/>
        </c:scaling>
        <c:delete val="1"/>
        <c:axPos val="r"/>
        <c:numFmt formatCode="_(* #,##0.00_);_(* \(#,##0.00\);_(* &quot;-&quot;??_);_(@_)" sourceLinked="1"/>
        <c:majorTickMark val="out"/>
        <c:minorTickMark val="none"/>
        <c:tickLblPos val="nextTo"/>
        <c:crossAx val="1693562704"/>
        <c:crosses val="max"/>
        <c:crossBetween val="midCat"/>
      </c:valAx>
      <c:valAx>
        <c:axId val="1693562704"/>
        <c:scaling>
          <c:orientation val="minMax"/>
        </c:scaling>
        <c:delete val="1"/>
        <c:axPos val="b"/>
        <c:majorTickMark val="out"/>
        <c:minorTickMark val="none"/>
        <c:tickLblPos val="nextTo"/>
        <c:crossAx val="1693562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1">
          <a:solidFill>
            <a:schemeClr val="tx1"/>
          </a:solidFill>
          <a:latin typeface="Century Schoolbook" panose="020406040505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552787</xdr:colOff>
      <xdr:row>29</xdr:row>
      <xdr:rowOff>121540</xdr:rowOff>
    </xdr:from>
    <xdr:to>
      <xdr:col>9</xdr:col>
      <xdr:colOff>539021</xdr:colOff>
      <xdr:row>48</xdr:row>
      <xdr:rowOff>80988</xdr:rowOff>
    </xdr:to>
    <xdr:graphicFrame macro="">
      <xdr:nvGraphicFramePr>
        <xdr:cNvPr id="11268" name="Chart 1">
          <a:extLst>
            <a:ext uri="{FF2B5EF4-FFF2-40B4-BE49-F238E27FC236}">
              <a16:creationId xmlns:a16="http://schemas.microsoft.com/office/drawing/2014/main" id="{5952BC19-99E8-78E6-1E9E-59321F0D67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971550</xdr:colOff>
      <xdr:row>182</xdr:row>
      <xdr:rowOff>31750</xdr:rowOff>
    </xdr:from>
    <xdr:to>
      <xdr:col>12</xdr:col>
      <xdr:colOff>361950</xdr:colOff>
      <xdr:row>195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EEFC842-8327-13F8-799C-399CA3022D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285750</xdr:colOff>
      <xdr:row>149</xdr:row>
      <xdr:rowOff>69850</xdr:rowOff>
    </xdr:from>
    <xdr:to>
      <xdr:col>28</xdr:col>
      <xdr:colOff>184150</xdr:colOff>
      <xdr:row>162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8AD257C-C05B-DAD7-F24F-F62F82B844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485645</xdr:colOff>
      <xdr:row>1</xdr:row>
      <xdr:rowOff>41122</xdr:rowOff>
    </xdr:from>
    <xdr:to>
      <xdr:col>25</xdr:col>
      <xdr:colOff>188939</xdr:colOff>
      <xdr:row>15</xdr:row>
      <xdr:rowOff>63690</xdr:rowOff>
    </xdr:to>
    <xdr:graphicFrame macro="">
      <xdr:nvGraphicFramePr>
        <xdr:cNvPr id="124" name="Chart 1">
          <a:extLst>
            <a:ext uri="{FF2B5EF4-FFF2-40B4-BE49-F238E27FC236}">
              <a16:creationId xmlns:a16="http://schemas.microsoft.com/office/drawing/2014/main" id="{4A538293-7D03-D2D5-F4F4-D92577446C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737917</xdr:colOff>
      <xdr:row>1</xdr:row>
      <xdr:rowOff>83214</xdr:rowOff>
    </xdr:from>
    <xdr:to>
      <xdr:col>31</xdr:col>
      <xdr:colOff>515916</xdr:colOff>
      <xdr:row>14</xdr:row>
      <xdr:rowOff>199164</xdr:rowOff>
    </xdr:to>
    <xdr:graphicFrame macro="">
      <xdr:nvGraphicFramePr>
        <xdr:cNvPr id="125" name="Chart 2">
          <a:extLst>
            <a:ext uri="{FF2B5EF4-FFF2-40B4-BE49-F238E27FC236}">
              <a16:creationId xmlns:a16="http://schemas.microsoft.com/office/drawing/2014/main" id="{6DBA62F3-DCA9-DA67-9BF4-55C5BF4BCB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10807</xdr:colOff>
      <xdr:row>27</xdr:row>
      <xdr:rowOff>128081</xdr:rowOff>
    </xdr:from>
    <xdr:to>
      <xdr:col>21</xdr:col>
      <xdr:colOff>797127</xdr:colOff>
      <xdr:row>57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7CAE62F-0B56-B491-5260-D0B0F7A18B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10</xdr:row>
      <xdr:rowOff>0</xdr:rowOff>
    </xdr:from>
    <xdr:to>
      <xdr:col>11</xdr:col>
      <xdr:colOff>474015</xdr:colOff>
      <xdr:row>20</xdr:row>
      <xdr:rowOff>134155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743C179-D9A2-4149-83AE-EA7074C53C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6</xdr:row>
      <xdr:rowOff>0</xdr:rowOff>
    </xdr:from>
    <xdr:to>
      <xdr:col>18</xdr:col>
      <xdr:colOff>281420</xdr:colOff>
      <xdr:row>15</xdr:row>
      <xdr:rowOff>43296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AB9ED1E-A395-481D-8703-CB50A6836C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149866</xdr:colOff>
      <xdr:row>13</xdr:row>
      <xdr:rowOff>147405</xdr:rowOff>
    </xdr:from>
    <xdr:to>
      <xdr:col>6</xdr:col>
      <xdr:colOff>307880</xdr:colOff>
      <xdr:row>42</xdr:row>
      <xdr:rowOff>86590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9C619F1-0621-4646-B86A-7905305A32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0</xdr:rowOff>
    </xdr:from>
    <xdr:to>
      <xdr:col>16</xdr:col>
      <xdr:colOff>371130</xdr:colOff>
      <xdr:row>32</xdr:row>
      <xdr:rowOff>36188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5687D77-9931-4819-8673-5BC57BE59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44</xdr:row>
      <xdr:rowOff>0</xdr:rowOff>
    </xdr:from>
    <xdr:to>
      <xdr:col>11</xdr:col>
      <xdr:colOff>544285</xdr:colOff>
      <xdr:row>61</xdr:row>
      <xdr:rowOff>11340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EC61702-60DB-4A54-B680-45D0489B09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vanderbilt365-my.sharepoint.com/personal/daniel_sonad_vanderbilt_edu/Documents/Microsoft%20Teams%20Chat%20Files/BBY%20Model.xlsx" TargetMode="External"/><Relationship Id="rId1" Type="http://schemas.openxmlformats.org/officeDocument/2006/relationships/externalLinkPath" Target="https://vanderbilt365-my.sharepoint.com/personal/daniel_sonad_vanderbilt_edu/Documents/Microsoft%20Teams%20Chat%20Files/BBY%20Mod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h40S54G0OkeXE6p2qgKoCDzVg-TodGNGnjg5OZi2EmB5g80vSt2fQbYPUe3wI4mv" itemId="01MCDFNFZAN76TIYIQDVHLERZUJQNDE6AN">
      <xxl21:absoluteUrl r:id="rId2"/>
    </xxl21:alternateUrls>
    <sheetNames>
      <sheetName val="Cover Page"/>
      <sheetName val="Sheet1"/>
      <sheetName val="Modeled Useful Life+SG&amp;A brkdn"/>
      <sheetName val="Three Statement Model"/>
      <sheetName val="DCF"/>
      <sheetName val="Formatted"/>
      <sheetName val="Multiples"/>
      <sheetName val="FB Field"/>
      <sheetName val="General Assumptions"/>
    </sheetNames>
    <sheetDataSet>
      <sheetData sheetId="0"/>
      <sheetData sheetId="1"/>
      <sheetData sheetId="2"/>
      <sheetData sheetId="3">
        <row r="28">
          <cell r="D28">
            <v>47262</v>
          </cell>
          <cell r="E28">
            <v>51761</v>
          </cell>
          <cell r="F28">
            <v>46298</v>
          </cell>
          <cell r="G28">
            <v>43452</v>
          </cell>
          <cell r="H28">
            <v>41528</v>
          </cell>
        </row>
        <row r="30">
          <cell r="D30">
            <v>10573</v>
          </cell>
          <cell r="E30">
            <v>11640</v>
          </cell>
          <cell r="F30">
            <v>9912</v>
          </cell>
          <cell r="G30">
            <v>9603</v>
          </cell>
          <cell r="H30">
            <v>9385</v>
          </cell>
        </row>
        <row r="33">
          <cell r="D33">
            <v>-839</v>
          </cell>
          <cell r="E33">
            <v>-869</v>
          </cell>
          <cell r="F33">
            <v>-918</v>
          </cell>
          <cell r="G33">
            <v>-923</v>
          </cell>
          <cell r="H33">
            <v>-866</v>
          </cell>
        </row>
        <row r="36">
          <cell r="D36">
            <v>2391</v>
          </cell>
          <cell r="E36">
            <v>3039</v>
          </cell>
          <cell r="F36">
            <v>1795</v>
          </cell>
          <cell r="G36">
            <v>1574</v>
          </cell>
          <cell r="H36">
            <v>1262</v>
          </cell>
        </row>
        <row r="44">
          <cell r="D44">
            <v>1798</v>
          </cell>
          <cell r="E44">
            <v>2454</v>
          </cell>
          <cell r="F44">
            <v>1419</v>
          </cell>
          <cell r="G44">
            <v>1241</v>
          </cell>
          <cell r="H44">
            <v>927</v>
          </cell>
        </row>
        <row r="46">
          <cell r="H46">
            <v>216.6</v>
          </cell>
        </row>
        <row r="49">
          <cell r="D49">
            <v>6.836501901140684</v>
          </cell>
          <cell r="E49">
            <v>9.8435619735258726</v>
          </cell>
          <cell r="F49">
            <v>6.2871067789100579</v>
          </cell>
          <cell r="G49">
            <v>5.6796338672768876</v>
          </cell>
          <cell r="H49">
            <v>4.2797783933518003</v>
          </cell>
        </row>
        <row r="122">
          <cell r="D122">
            <v>-568</v>
          </cell>
          <cell r="E122">
            <v>-688</v>
          </cell>
          <cell r="F122">
            <v>-789</v>
          </cell>
          <cell r="G122">
            <v>-801</v>
          </cell>
          <cell r="H122">
            <v>-807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3">
  <a r="1" c="1256">
    <v t="i">1</v>
    <v t="i">4</v>
    <v t="i">5</v>
    <v t="i">6</v>
    <v t="i">7</v>
    <v t="i">8</v>
    <v t="i">11</v>
    <v t="i">12</v>
    <v t="i">13</v>
    <v t="i">14</v>
    <v t="i">15</v>
    <v t="i">18</v>
    <v t="i">19</v>
    <v t="i">20</v>
    <v t="i">21</v>
    <v t="i">22</v>
    <v t="i">25</v>
    <v t="i">26</v>
    <v t="i">27</v>
    <v t="i">28</v>
    <v t="i">32</v>
    <v t="i">33</v>
    <v t="i">34</v>
    <v t="i">35</v>
    <v t="i">39</v>
    <v t="i">40</v>
    <v t="i">41</v>
    <v t="i">42</v>
    <v t="i">43</v>
    <v t="i">46</v>
    <v t="i">47</v>
    <v t="i">48</v>
    <v t="i">49</v>
    <v t="i">50</v>
    <v t="i">54</v>
    <v t="i">55</v>
    <v t="i">56</v>
    <v t="i">57</v>
    <v t="i">60</v>
    <v t="i">61</v>
    <v t="i">62</v>
    <v t="i">63</v>
    <v t="i">64</v>
    <v t="i">67</v>
    <v t="i">68</v>
    <v t="i">69</v>
    <v t="i">70</v>
    <v t="i">71</v>
    <v t="i">74</v>
    <v t="i">75</v>
    <v t="i">76</v>
    <v t="i">77</v>
    <v t="i">78</v>
    <v t="i">82</v>
    <v t="i">83</v>
    <v t="i">84</v>
    <v t="i">85</v>
    <v t="i">88</v>
    <v t="i">89</v>
    <v t="i">90</v>
    <v t="i">91</v>
    <v t="i">92</v>
    <v t="i">95</v>
    <v t="i">96</v>
    <v t="i">97</v>
    <v t="i">98</v>
    <v t="i">99</v>
    <v t="i">102</v>
    <v t="i">103</v>
    <v t="i">104</v>
    <v t="i">105</v>
    <v t="i">106</v>
    <v t="i">109</v>
    <v t="i">110</v>
    <v t="i">111</v>
    <v t="i">112</v>
    <v t="i">113</v>
    <v t="i">116</v>
    <v t="i">117</v>
    <v t="i">118</v>
    <v t="i">119</v>
    <v t="i">120</v>
    <v t="i">123</v>
    <v t="i">124</v>
    <v t="i">125</v>
    <v t="i">126</v>
    <v t="i">130</v>
    <v t="i">131</v>
    <v t="i">132</v>
    <v t="i">133</v>
    <v t="i">134</v>
    <v t="i">137</v>
    <v t="i">138</v>
    <v t="i">139</v>
    <v t="i">140</v>
    <v t="i">141</v>
    <v t="i">144</v>
    <v t="i">145</v>
    <v t="i">146</v>
    <v t="i">147</v>
    <v t="i">148</v>
    <v t="i">151</v>
    <v t="i">152</v>
    <v t="i">153</v>
    <v t="i">154</v>
    <v t="i">155</v>
    <v t="i">158</v>
    <v t="i">159</v>
    <v t="i">160</v>
    <v t="i">161</v>
    <v t="i">162</v>
    <v t="i">165</v>
    <v t="i">166</v>
    <v t="i">167</v>
    <v t="i">168</v>
    <v t="i">169</v>
    <v t="i">172</v>
    <v t="i">173</v>
    <v t="i">174</v>
    <v t="i">175</v>
    <v t="i">176</v>
    <v t="i">179</v>
    <v t="i">180</v>
    <v t="i">181</v>
    <v t="i">182</v>
    <v t="i">183</v>
    <v t="i">187</v>
    <v t="i">188</v>
    <v t="i">189</v>
    <v t="i">190</v>
    <v t="i">193</v>
    <v t="i">194</v>
    <v t="i">195</v>
    <v t="i">196</v>
    <v t="i">197</v>
    <v t="i">200</v>
    <v t="i">201</v>
    <v t="i">202</v>
    <v t="i">203</v>
    <v t="i">204</v>
    <v t="i">207</v>
    <v t="i">208</v>
    <v t="i">209</v>
    <v t="i">210</v>
    <v t="i">211</v>
    <v t="i">214</v>
    <v t="i">215</v>
    <v t="i">216</v>
    <v t="i">217</v>
    <v t="i">218</v>
    <v t="i">222</v>
    <v t="i">223</v>
    <v t="i">224</v>
    <v t="i">225</v>
    <v t="i">228</v>
    <v t="i">229</v>
    <v t="i">230</v>
    <v t="i">231</v>
    <v t="i">232</v>
    <v t="i">235</v>
    <v t="i">236</v>
    <v t="i">237</v>
    <v t="i">238</v>
    <v t="i">239</v>
    <v t="i">242</v>
    <v t="i">243</v>
    <v t="i">244</v>
    <v t="i">245</v>
    <v t="i">246</v>
    <v t="i">249</v>
    <v t="i">250</v>
    <v t="i">251</v>
    <v t="i">252</v>
    <v t="i">253</v>
    <v t="i">256</v>
    <v t="i">257</v>
    <v t="i">258</v>
    <v t="i">259</v>
    <v t="i">260</v>
    <v t="i">263</v>
    <v t="i">264</v>
    <v t="i">265</v>
    <v t="i">266</v>
    <v t="i">267</v>
    <v t="i">270</v>
    <v t="i">271</v>
    <v t="i">272</v>
    <v t="i">273</v>
    <v t="i">274</v>
    <v t="i">277</v>
    <v t="i">278</v>
    <v t="i">279</v>
    <v t="i">280</v>
    <v t="i">281</v>
    <v t="i">285</v>
    <v t="i">286</v>
    <v t="i">287</v>
    <v t="i">288</v>
    <v t="i">291</v>
    <v t="i">292</v>
    <v t="i">293</v>
    <v t="i">294</v>
    <v t="i">295</v>
    <v t="i">298</v>
    <v t="i">299</v>
    <v t="i">300</v>
    <v t="i">301</v>
    <v t="i">302</v>
    <v t="i">305</v>
    <v t="i">306</v>
    <v t="i">307</v>
    <v t="i">308</v>
    <v t="i">309</v>
    <v t="i">312</v>
    <v t="i">313</v>
    <v t="i">314</v>
    <v t="i">315</v>
    <v t="i">316</v>
    <v t="i">319</v>
    <v t="i">320</v>
    <v t="i">321</v>
    <v t="i">322</v>
    <v t="i">323</v>
    <v t="i">326</v>
    <v t="i">327</v>
    <v t="i">328</v>
    <v t="i">329</v>
    <v t="i">330</v>
    <v t="i">333</v>
    <v t="i">334</v>
    <v t="i">335</v>
    <v t="i">336</v>
    <v t="i">337</v>
    <v t="i">340</v>
    <v t="i">341</v>
    <v t="i">342</v>
    <v t="i">343</v>
    <v t="i">344</v>
    <v t="i">347</v>
    <v t="i">348</v>
    <v t="i">349</v>
    <v t="i">350</v>
    <v t="i">351</v>
    <v t="i">354</v>
    <v t="i">355</v>
    <v t="i">356</v>
    <v t="i">357</v>
    <v t="i">358</v>
    <v t="i">361</v>
    <v t="i">362</v>
    <v t="i">363</v>
    <v t="i">365</v>
    <v t="i">368</v>
    <v t="i">369</v>
    <v t="i">370</v>
    <v t="i">371</v>
    <v t="i">372</v>
    <v t="i">375</v>
    <v t="i">376</v>
    <v t="i">377</v>
    <v t="i">378</v>
    <v t="i">379</v>
    <v t="i">382</v>
    <v t="i">383</v>
    <v t="i">384</v>
    <v t="i">385</v>
    <v t="i">386</v>
    <v t="i">389</v>
    <v t="i">390</v>
    <v t="i">391</v>
    <v t="i">392</v>
    <v t="i">396</v>
    <v t="i">397</v>
    <v t="i">398</v>
    <v t="i">399</v>
    <v t="i">400</v>
    <v t="i">403</v>
    <v t="i">404</v>
    <v t="i">405</v>
    <v t="i">406</v>
    <v t="i">407</v>
    <v t="i">410</v>
    <v t="i">411</v>
    <v t="i">412</v>
    <v t="i">413</v>
    <v t="i">414</v>
    <v t="i">418</v>
    <v t="i">419</v>
    <v t="i">420</v>
    <v t="i">421</v>
    <v t="i">424</v>
    <v t="i">425</v>
    <v t="i">426</v>
    <v t="i">427</v>
    <v t="i">428</v>
    <v t="i">431</v>
    <v t="i">432</v>
    <v t="i">433</v>
    <v t="i">434</v>
    <v t="i">435</v>
    <v t="i">438</v>
    <v t="i">439</v>
    <v t="i">440</v>
    <v t="i">441</v>
    <v t="i">442</v>
    <v t="i">445</v>
    <v t="i">446</v>
    <v t="i">447</v>
    <v t="i">448</v>
    <v t="i">449</v>
    <v t="i">453</v>
    <v t="i">454</v>
    <v t="i">455</v>
    <v t="i">456</v>
    <v t="i">459</v>
    <v t="i">460</v>
    <v t="i">461</v>
    <v t="i">462</v>
    <v t="i">463</v>
    <v t="i">466</v>
    <v t="i">467</v>
    <v t="i">468</v>
    <v t="i">469</v>
    <v t="i">470</v>
    <v t="i">473</v>
    <v t="i">474</v>
    <v t="i">475</v>
    <v t="i">476</v>
    <v t="i">477</v>
    <v t="i">480</v>
    <v t="i">481</v>
    <v t="i">482</v>
    <v t="i">483</v>
    <v t="i">484</v>
    <v t="i">487</v>
    <v t="i">488</v>
    <v t="i">489</v>
    <v t="i">490</v>
    <v t="i">491</v>
    <v t="i">494</v>
    <v t="i">495</v>
    <v t="i">496</v>
    <v t="i">497</v>
    <v t="i">498</v>
    <v t="i">501</v>
    <v t="i">502</v>
    <v t="i">503</v>
    <v t="i">504</v>
    <v t="i">508</v>
    <v t="i">509</v>
    <v t="i">510</v>
    <v t="i">511</v>
    <v t="i">512</v>
    <v t="i">515</v>
    <v t="i">516</v>
    <v t="i">517</v>
    <v t="i">518</v>
    <v t="i">519</v>
    <v t="i">522</v>
    <v t="i">523</v>
    <v t="i">524</v>
    <v t="i">525</v>
    <v t="i">526</v>
    <v t="i">529</v>
    <v t="i">530</v>
    <v t="i">531</v>
    <v t="i">532</v>
    <v t="i">533</v>
    <v t="i">536</v>
    <v t="i">537</v>
    <v t="i">538</v>
    <v t="i">539</v>
    <v t="i">540</v>
    <v t="i">543</v>
    <v t="i">544</v>
    <v t="i">545</v>
    <v t="i">546</v>
    <v t="i">547</v>
    <v t="i">551</v>
    <v t="i">552</v>
    <v t="i">553</v>
    <v t="i">554</v>
    <v t="i">557</v>
    <v t="i">558</v>
    <v t="i">559</v>
    <v t="i">560</v>
    <v t="i">561</v>
    <v t="i">564</v>
    <v t="i">565</v>
    <v t="i">566</v>
    <v t="i">567</v>
    <v t="i">568</v>
    <v t="i">572</v>
    <v t="i">573</v>
    <v t="i">574</v>
    <v t="i">575</v>
    <v t="i">578</v>
    <v t="i">579</v>
    <v t="i">580</v>
    <v t="i">581</v>
    <v t="i">582</v>
    <v t="i">586</v>
    <v t="i">587</v>
    <v t="i">588</v>
    <v t="i">589</v>
    <v t="i">592</v>
    <v t="i">593</v>
    <v t="i">594</v>
    <v t="i">595</v>
    <v t="i">596</v>
    <v t="i">599</v>
    <v t="i">600</v>
    <v t="i">601</v>
    <v t="i">602</v>
    <v t="i">603</v>
    <v t="i">606</v>
    <v t="i">607</v>
    <v t="i">608</v>
    <v t="i">609</v>
    <v t="i">610</v>
    <v t="i">613</v>
    <v t="i">614</v>
    <v t="i">615</v>
    <v t="i">616</v>
    <v t="i">617</v>
    <v t="i">620</v>
    <v t="i">621</v>
    <v t="i">622</v>
    <v t="i">623</v>
    <v t="i">624</v>
    <v t="i">627</v>
    <v t="i">628</v>
    <v t="i">629</v>
    <v t="i">630</v>
    <v t="i">631</v>
    <v t="i">634</v>
    <v t="i">635</v>
    <v t="i">636</v>
    <v t="i">637</v>
    <v t="i">638</v>
    <v t="i">641</v>
    <v t="i">642</v>
    <v t="i">643</v>
    <v t="i">644</v>
    <v t="i">645</v>
    <v t="i">649</v>
    <v t="i">650</v>
    <v t="i">651</v>
    <v t="i">652</v>
    <v t="i">655</v>
    <v t="i">656</v>
    <v t="i">657</v>
    <v t="i">658</v>
    <v t="i">659</v>
    <v t="i">662</v>
    <v t="i">663</v>
    <v t="i">664</v>
    <v t="i">665</v>
    <v t="i">666</v>
    <v t="i">669</v>
    <v t="i">670</v>
    <v t="i">671</v>
    <v t="i">672</v>
    <v t="i">673</v>
    <v t="i">676</v>
    <v t="i">677</v>
    <v t="i">678</v>
    <v t="i">679</v>
    <v t="i">680</v>
    <v t="i">683</v>
    <v t="i">684</v>
    <v t="i">685</v>
    <v t="i">686</v>
    <v t="i">687</v>
    <v t="i">690</v>
    <v t="i">691</v>
    <v t="i">692</v>
    <v t="i">693</v>
    <v t="i">694</v>
    <v t="i">697</v>
    <v t="i">698</v>
    <v t="i">699</v>
    <v t="i">700</v>
    <v t="i">701</v>
    <v t="i">704</v>
    <v t="i">705</v>
    <v t="i">706</v>
    <v t="i">707</v>
    <v t="i">708</v>
    <v t="i">711</v>
    <v t="i">712</v>
    <v t="i">713</v>
    <v t="i">714</v>
    <v t="i">715</v>
    <v t="i">718</v>
    <v t="i">719</v>
    <v t="i">720</v>
    <v t="i">721</v>
    <v t="i">722</v>
    <v t="i">725</v>
    <v t="i">726</v>
    <v t="i">727</v>
    <v t="i">729</v>
    <v t="i">732</v>
    <v t="i">733</v>
    <v t="i">734</v>
    <v t="i">735</v>
    <v t="i">736</v>
    <v t="i">739</v>
    <v t="i">740</v>
    <v t="i">741</v>
    <v t="i">742</v>
    <v t="i">743</v>
    <v t="i">746</v>
    <v t="i">747</v>
    <v t="i">748</v>
    <v t="i">749</v>
    <v t="i">750</v>
    <v t="i">753</v>
    <v t="i">754</v>
    <v t="i">755</v>
    <v t="i">756</v>
    <v t="i">757</v>
    <v t="i">761</v>
    <v t="i">762</v>
    <v t="i">763</v>
    <v t="i">764</v>
    <v t="i">768</v>
    <v t="i">769</v>
    <v t="i">770</v>
    <v t="i">771</v>
    <v t="i">774</v>
    <v t="i">775</v>
    <v t="i">776</v>
    <v t="i">777</v>
    <v t="i">778</v>
    <v t="i">782</v>
    <v t="i">783</v>
    <v t="i">784</v>
    <v t="i">785</v>
    <v t="i">788</v>
    <v t="i">789</v>
    <v t="i">790</v>
    <v t="i">791</v>
    <v t="i">792</v>
    <v t="i">795</v>
    <v t="i">796</v>
    <v t="i">797</v>
    <v t="i">798</v>
    <v t="i">799</v>
    <v t="i">802</v>
    <v t="i">803</v>
    <v t="i">804</v>
    <v t="i">805</v>
    <v t="i">806</v>
    <v t="i">809</v>
    <v t="i">810</v>
    <v t="i">811</v>
    <v t="i">812</v>
    <v t="i">813</v>
    <v t="i">817</v>
    <v t="i">818</v>
    <v t="i">819</v>
    <v t="i">820</v>
    <v t="i">823</v>
    <v t="i">824</v>
    <v t="i">825</v>
    <v t="i">826</v>
    <v t="i">827</v>
    <v t="i">830</v>
    <v t="i">831</v>
    <v t="i">832</v>
    <v t="i">833</v>
    <v t="i">834</v>
    <v t="i">837</v>
    <v t="i">838</v>
    <v t="i">839</v>
    <v t="i">840</v>
    <v t="i">841</v>
    <v t="i">844</v>
    <v t="i">845</v>
    <v t="i">846</v>
    <v t="i">847</v>
    <v t="i">848</v>
    <v t="i">851</v>
    <v t="i">852</v>
    <v t="i">853</v>
    <v t="i">854</v>
    <v t="i">855</v>
    <v t="i">858</v>
    <v t="i">859</v>
    <v t="i">860</v>
    <v t="i">861</v>
    <v t="i">865</v>
    <v t="i">866</v>
    <v t="i">867</v>
    <v t="i">868</v>
    <v t="i">869</v>
    <v t="i">872</v>
    <v t="i">873</v>
    <v t="i">874</v>
    <v t="i">875</v>
    <v t="i">876</v>
    <v t="i">879</v>
    <v t="i">880</v>
    <v t="i">881</v>
    <v t="i">882</v>
    <v t="i">883</v>
    <v t="i">886</v>
    <v t="i">887</v>
    <v t="i">888</v>
    <v t="i">889</v>
    <v t="i">890</v>
    <v t="i">893</v>
    <v t="i">894</v>
    <v t="i">895</v>
    <v t="i">896</v>
    <v t="i">897</v>
    <v t="i">900</v>
    <v t="i">901</v>
    <v t="i">902</v>
    <v t="i">903</v>
    <v t="i">904</v>
    <v t="i">907</v>
    <v t="i">908</v>
    <v t="i">909</v>
    <v t="i">910</v>
    <v t="i">911</v>
    <v t="i">915</v>
    <v t="i">916</v>
    <v t="i">917</v>
    <v t="i">918</v>
    <v t="i">921</v>
    <v t="i">922</v>
    <v t="i">923</v>
    <v t="i">924</v>
    <v t="i">925</v>
    <v t="i">928</v>
    <v t="i">929</v>
    <v t="i">930</v>
    <v t="i">931</v>
    <v t="i">932</v>
    <v t="i">936</v>
    <v t="i">937</v>
    <v t="i">938</v>
    <v t="i">939</v>
    <v t="i">942</v>
    <v t="i">943</v>
    <v t="i">944</v>
    <v t="i">945</v>
    <v t="i">946</v>
    <v t="i">949</v>
    <v t="i">951</v>
    <v t="i">952</v>
    <v t="i">953</v>
    <v t="i">956</v>
    <v t="i">957</v>
    <v t="i">958</v>
    <v t="i">959</v>
    <v t="i">960</v>
    <v t="i">963</v>
    <v t="i">964</v>
    <v t="i">965</v>
    <v t="i">966</v>
    <v t="i">967</v>
    <v t="i">970</v>
    <v t="i">971</v>
    <v t="i">972</v>
    <v t="i">973</v>
    <v t="i">974</v>
    <v t="i">977</v>
    <v t="i">978</v>
    <v t="i">979</v>
    <v t="i">980</v>
    <v t="i">981</v>
    <v t="i">984</v>
    <v t="i">985</v>
    <v t="i">986</v>
    <v t="i">987</v>
    <v t="i">988</v>
    <v t="i">991</v>
    <v t="i">992</v>
    <v t="i">993</v>
    <v t="i">994</v>
    <v t="i">995</v>
    <v t="i">998</v>
    <v t="i">999</v>
    <v t="i">1000</v>
    <v t="i">1001</v>
    <v t="i">1002</v>
    <v t="i">1005</v>
    <v t="i">1006</v>
    <v t="i">1007</v>
    <v t="i">1008</v>
    <v t="i">1009</v>
    <v t="i">1013</v>
    <v t="i">1014</v>
    <v t="i">1015</v>
    <v t="i">1016</v>
    <v t="i">1019</v>
    <v t="i">1020</v>
    <v t="i">1021</v>
    <v t="i">1022</v>
    <v t="i">1023</v>
    <v t="i">1026</v>
    <v t="i">1027</v>
    <v t="i">1028</v>
    <v t="i">1029</v>
    <v t="i">1030</v>
    <v t="i">1033</v>
    <v t="i">1034</v>
    <v t="i">1035</v>
    <v t="i">1036</v>
    <v t="i">1037</v>
    <v t="i">1040</v>
    <v t="i">1041</v>
    <v t="i">1042</v>
    <v t="i">1043</v>
    <v t="i">1044</v>
    <v t="i">1047</v>
    <v t="i">1048</v>
    <v t="i">1049</v>
    <v t="i">1050</v>
    <v t="i">1051</v>
    <v t="i">1054</v>
    <v t="i">1055</v>
    <v t="i">1056</v>
    <v t="i">1057</v>
    <v t="i">1058</v>
    <v t="i">1061</v>
    <v t="i">1062</v>
    <v t="i">1063</v>
    <v t="i">1064</v>
    <v t="i">1065</v>
    <v t="i">1068</v>
    <v t="i">1069</v>
    <v t="i">1070</v>
    <v t="i">1071</v>
    <v t="i">1072</v>
    <v t="i">1075</v>
    <v t="i">1076</v>
    <v t="i">1077</v>
    <v t="i">1078</v>
    <v t="i">1079</v>
    <v t="i">1082</v>
    <v t="i">1083</v>
    <v t="i">1084</v>
    <v t="i">1085</v>
    <v t="i">1086</v>
    <v t="i">1089</v>
    <v t="i">1090</v>
    <v t="i">1091</v>
    <v t="i">1093</v>
    <v t="i">1096</v>
    <v t="i">1097</v>
    <v t="i">1098</v>
    <v t="i">1099</v>
    <v t="i">1100</v>
    <v t="i">1103</v>
    <v t="i">1104</v>
    <v t="i">1105</v>
    <v t="i">1106</v>
    <v t="i">1107</v>
    <v t="i">1110</v>
    <v t="i">1111</v>
    <v t="i">1112</v>
    <v t="i">1113</v>
    <v t="i">1114</v>
    <v t="i">1117</v>
    <v t="i">1118</v>
    <v t="i">1119</v>
    <v t="i">1120</v>
    <v t="i">1121</v>
    <v t="i">1125</v>
    <v t="i">1126</v>
    <v t="i">1127</v>
    <v t="i">1128</v>
    <v t="i">1132</v>
    <v t="i">1133</v>
    <v t="i">1134</v>
    <v t="i">1135</v>
    <v t="i">1138</v>
    <v t="i">1139</v>
    <v t="i">1140</v>
    <v t="i">1141</v>
    <v t="i">1142</v>
    <v t="i">1146</v>
    <v t="i">1147</v>
    <v t="i">1148</v>
    <v t="i">1149</v>
    <v t="i">1152</v>
    <v t="i">1153</v>
    <v t="i">1154</v>
    <v t="i">1155</v>
    <v t="i">1156</v>
    <v t="i">1159</v>
    <v t="i">1160</v>
    <v t="i">1161</v>
    <v t="i">1162</v>
    <v t="i">1163</v>
    <v t="i">1166</v>
    <v t="i">1167</v>
    <v t="i">1168</v>
    <v t="i">1169</v>
    <v t="i">1170</v>
    <v t="i">1173</v>
    <v t="i">1174</v>
    <v t="i">1175</v>
    <v t="i">1176</v>
    <v t="i">1177</v>
    <v t="i">1181</v>
    <v t="i">1182</v>
    <v t="i">1183</v>
    <v t="i">1184</v>
    <v t="i">1187</v>
    <v t="i">1188</v>
    <v t="i">1189</v>
    <v t="i">1190</v>
    <v t="i">1191</v>
    <v t="i">1194</v>
    <v t="i">1195</v>
    <v t="i">1196</v>
    <v t="i">1197</v>
    <v t="i">1198</v>
    <v t="i">1201</v>
    <v t="i">1202</v>
    <v t="i">1203</v>
    <v t="i">1204</v>
    <v t="i">1205</v>
    <v t="i">1208</v>
    <v t="i">1209</v>
    <v t="i">1210</v>
    <v t="i">1211</v>
    <v t="i">1212</v>
    <v t="i">1215</v>
    <v t="i">1216</v>
    <v t="i">1217</v>
    <v t="i">1218</v>
    <v t="i">1222</v>
    <v t="i">1223</v>
    <v t="i">1224</v>
    <v t="i">1225</v>
    <v t="i">1226</v>
    <v t="i">1229</v>
    <v t="i">1230</v>
    <v t="i">1231</v>
    <v t="i">1232</v>
    <v t="i">1233</v>
    <v t="i">1236</v>
    <v t="i">1237</v>
    <v t="i">1238</v>
    <v t="i">1239</v>
    <v t="i">1240</v>
    <v t="i">1243</v>
    <v t="i">1244</v>
    <v t="i">1245</v>
    <v t="i">1246</v>
    <v t="i">1247</v>
    <v t="i">1250</v>
    <v t="i">1251</v>
    <v t="i">1252</v>
    <v t="i">1253</v>
    <v t="i">1254</v>
    <v t="i">1257</v>
    <v t="i">1258</v>
    <v t="i">1259</v>
    <v t="i">1260</v>
    <v t="i">1261</v>
    <v t="i">1264</v>
    <v t="i">1265</v>
    <v t="i">1266</v>
    <v t="i">1267</v>
    <v t="i">1268</v>
    <v t="i">1271</v>
    <v t="i">1272</v>
    <v t="i">1273</v>
    <v t="i">1274</v>
    <v t="i">1275</v>
    <v t="i">1279</v>
    <v t="i">1280</v>
    <v t="i">1281</v>
    <v t="i">1282</v>
    <v t="i">1285</v>
    <v t="i">1286</v>
    <v t="i">1287</v>
    <v t="i">1288</v>
    <v t="i">1289</v>
    <v t="i">1292</v>
    <v t="i">1293</v>
    <v t="i">1294</v>
    <v t="i">1295</v>
    <v t="i">1296</v>
    <v t="i">1299</v>
    <v t="i">1300</v>
    <v t="i">1302</v>
    <v t="i">1303</v>
    <v t="i">1306</v>
    <v t="i">1307</v>
    <v t="i">1308</v>
    <v t="i">1309</v>
    <v t="i">1310</v>
    <v t="i">1313</v>
    <v t="i">1314</v>
    <v t="i">1315</v>
    <v t="i">1317</v>
    <v t="i">1320</v>
    <v t="i">1321</v>
    <v t="i">1322</v>
    <v t="i">1323</v>
    <v t="i">1324</v>
    <v t="i">1327</v>
    <v t="i">1328</v>
    <v t="i">1329</v>
    <v t="i">1330</v>
    <v t="i">1331</v>
    <v t="i">1334</v>
    <v t="i">1335</v>
    <v t="i">1336</v>
    <v t="i">1337</v>
    <v t="i">1338</v>
    <v t="i">1341</v>
    <v t="i">1342</v>
    <v t="i">1343</v>
    <v t="i">1344</v>
    <v t="i">1345</v>
    <v t="i">1348</v>
    <v t="i">1349</v>
    <v t="i">1350</v>
    <v t="i">1351</v>
    <v t="i">1352</v>
    <v t="i">1355</v>
    <v t="i">1356</v>
    <v t="i">1357</v>
    <v t="i">1358</v>
    <v t="i">1359</v>
    <v t="i">1362</v>
    <v t="i">1363</v>
    <v t="i">1364</v>
    <v t="i">1365</v>
    <v t="i">1366</v>
    <v t="i">1369</v>
    <v t="i">1370</v>
    <v t="i">1371</v>
    <v t="i">1372</v>
    <v t="i">1373</v>
    <v t="i">1377</v>
    <v t="i">1378</v>
    <v t="i">1379</v>
    <v t="i">1380</v>
    <v t="i">1383</v>
    <v t="i">1384</v>
    <v t="i">1385</v>
    <v t="i">1386</v>
    <v t="i">1387</v>
    <v t="i">1390</v>
    <v t="i">1391</v>
    <v t="i">1392</v>
    <v t="i">1393</v>
    <v t="i">1394</v>
    <v t="i">1397</v>
    <v t="i">1398</v>
    <v t="i">1399</v>
    <v t="i">1400</v>
    <v t="i">1401</v>
    <v t="i">1404</v>
    <v t="i">1405</v>
    <v t="i">1406</v>
    <v t="i">1407</v>
    <v t="i">1408</v>
    <v t="i">1411</v>
    <v t="i">1412</v>
    <v t="i">1413</v>
    <v t="i">1414</v>
    <v t="i">1415</v>
    <v t="i">1418</v>
    <v t="i">1419</v>
    <v t="i">1420</v>
    <v t="i">1421</v>
    <v t="i">1422</v>
    <v t="i">1425</v>
    <v t="i">1426</v>
    <v t="i">1427</v>
    <v t="i">1428</v>
    <v t="i">1429</v>
    <v t="i">1432</v>
    <v t="i">1433</v>
    <v t="i">1434</v>
    <v t="i">1435</v>
    <v t="i">1436</v>
    <v t="i">1439</v>
    <v t="i">1440</v>
    <v t="i">1441</v>
    <v t="i">1442</v>
    <v t="i">1443</v>
    <v t="i">1446</v>
    <v t="i">1447</v>
    <v t="i">1448</v>
    <v t="i">1449</v>
    <v t="i">1450</v>
    <v t="i">1453</v>
    <v t="i">1454</v>
    <v t="i">1455</v>
    <v t="i">1456</v>
    <v t="i">1457</v>
    <v t="i">1460</v>
    <v t="i">1461</v>
    <v t="i">1462</v>
    <v t="i">1464</v>
    <v t="i">1467</v>
    <v t="i">1468</v>
    <v t="i">1469</v>
    <v t="i">1470</v>
    <v t="i">1471</v>
    <v t="i">1474</v>
    <v t="i">1475</v>
    <v t="i">1476</v>
    <v t="i">1477</v>
    <v t="i">1478</v>
    <v t="i">1481</v>
    <v t="i">1482</v>
    <v t="i">1483</v>
    <v t="i">1484</v>
    <v t="i">1485</v>
    <v t="i">1488</v>
    <v t="i">1489</v>
    <v t="i">1491</v>
    <v t="i">1492</v>
    <v t="i">1495</v>
    <v t="i">1496</v>
    <v t="i">1498</v>
    <v t="i">1499</v>
    <v t="i">1502</v>
    <v t="i">1503</v>
    <v t="i">1504</v>
    <v t="i">1506</v>
    <v t="i">1509</v>
    <v t="i">1510</v>
    <v t="i">1511</v>
    <v t="i">1512</v>
    <v t="i">1513</v>
    <v t="i">1517</v>
    <v t="i">1518</v>
    <v t="i">1519</v>
    <v t="i">1520</v>
    <v t="i">1523</v>
    <v t="i">1524</v>
    <v t="i">1525</v>
    <v t="i">1526</v>
    <v t="i">1527</v>
    <v t="i">1530</v>
    <v t="i">1531</v>
    <v t="i">1532</v>
    <v t="i">1533</v>
    <v t="i">1534</v>
    <v t="i">1537</v>
    <v t="i">1538</v>
    <v t="i">1539</v>
    <v t="i">1540</v>
    <v t="i">1541</v>
    <v t="i">1545</v>
    <v t="i">1546</v>
    <v t="i">1547</v>
    <v t="i">1548</v>
    <v t="i">1551</v>
    <v t="i">1552</v>
    <v t="i">1553</v>
    <v t="i">1554</v>
    <v t="i">1555</v>
    <v t="i">1558</v>
    <v t="i">1559</v>
    <v t="i">1560</v>
    <v t="i">1561</v>
    <v t="i">1562</v>
    <v t="i">1565</v>
    <v t="i">1566</v>
    <v t="i">1567</v>
    <v t="i">1568</v>
    <v t="i">1569</v>
    <v t="i">1572</v>
    <v t="i">1573</v>
    <v t="i">1574</v>
    <v t="i">1575</v>
    <v t="i">1576</v>
    <v t="i">1579</v>
    <v t="i">1580</v>
    <v t="i">1581</v>
    <v t="i">1582</v>
    <v t="i">1583</v>
    <v t="i">1586</v>
    <v t="i">1587</v>
    <v t="i">1588</v>
    <v t="i">1589</v>
    <v t="i">1590</v>
    <v t="i">1593</v>
    <v t="i">1594</v>
    <v t="i">1595</v>
    <v t="i">1596</v>
    <v t="i">1597</v>
    <v t="i">1600</v>
    <v t="i">1601</v>
    <v t="i">1602</v>
    <v t="i">1603</v>
    <v t="i">1607</v>
    <v t="i">1608</v>
    <v t="i">1609</v>
    <v t="i">1610</v>
    <v t="i">1611</v>
    <v t="i">1614</v>
    <v t="i">1615</v>
    <v t="i">1616</v>
    <v t="i">1617</v>
    <v t="i">1618</v>
    <v t="i">1621</v>
    <v t="i">1622</v>
    <v t="i">1623</v>
    <v t="i">1624</v>
    <v t="i">1625</v>
    <v t="i">1628</v>
    <v t="i">1629</v>
    <v t="i">1630</v>
    <v t="i">1631</v>
    <v t="i">1632</v>
    <v t="i">1635</v>
    <v t="i">1636</v>
    <v t="i">1637</v>
    <v t="i">1638</v>
    <v t="i">1639</v>
    <v t="i">1643</v>
    <v t="i">1644</v>
    <v t="i">1645</v>
    <v t="i">1646</v>
    <v t="i">1649</v>
    <v t="i">1650</v>
    <v t="i">1651</v>
    <v t="i">1652</v>
    <v t="i">1653</v>
    <v t="i">1656</v>
    <v t="i">1657</v>
    <v t="i">1658</v>
    <v t="i">1659</v>
    <v t="i">1660</v>
    <v t="i">1663</v>
    <v t="i">1664</v>
    <v t="i">1665</v>
    <v t="i">1667</v>
    <v t="i">1670</v>
    <v t="i">1671</v>
    <v t="i">1672</v>
    <v t="i">1673</v>
    <v t="i">1674</v>
    <v t="i">1677</v>
    <v t="i">1678</v>
    <v t="i">1679</v>
    <v t="i">1680</v>
    <v t="i">1684</v>
    <v t="i">1685</v>
    <v t="i">1686</v>
    <v t="i">1687</v>
    <v t="i">1688</v>
    <v t="i">1691</v>
    <v t="i">1692</v>
    <v t="i">1693</v>
    <v t="i">1694</v>
    <v t="i">1695</v>
    <v t="i">1698</v>
    <v t="i">1699</v>
    <v t="i">1700</v>
    <v t="i">1701</v>
    <v t="i">1702</v>
    <v t="i">1705</v>
    <v t="i">1706</v>
    <v t="i">1707</v>
    <v t="i">1708</v>
    <v t="i">1709</v>
    <v t="i">1712</v>
    <v t="i">1713</v>
    <v t="i">1714</v>
    <v t="i">1715</v>
    <v t="i">1716</v>
    <v t="i">1719</v>
    <v t="i">1720</v>
    <v t="i">1721</v>
    <v t="i">1722</v>
    <v t="i">1723</v>
    <v t="i">1726</v>
    <v t="i">1727</v>
    <v t="i">1728</v>
    <v t="i">1729</v>
    <v t="i">1730</v>
    <v t="i">1733</v>
    <v t="i">1734</v>
    <v t="i">1735</v>
    <v t="i">1736</v>
    <v t="i">1737</v>
    <v t="i">1741</v>
    <v t="i">1742</v>
    <v t="i">1743</v>
    <v t="i">1744</v>
    <v t="i">1747</v>
    <v t="i">1748</v>
    <v t="i">1749</v>
    <v t="i">1750</v>
    <v t="i">1751</v>
    <v t="i">1754</v>
    <v t="i">1755</v>
    <v t="i">1756</v>
    <v t="i">1757</v>
    <v t="i">1758</v>
    <v t="i">1761</v>
    <v t="i">1762</v>
    <v t="i">1763</v>
    <v t="i">1764</v>
    <v t="i">1765</v>
    <v t="i">1768</v>
    <v t="i">1769</v>
    <v t="i">1770</v>
    <v t="i">1771</v>
    <v t="i">1772</v>
    <v t="i">1775</v>
    <v t="i">1776</v>
    <v t="i">1777</v>
    <v t="i">1778</v>
    <v t="i">1779</v>
    <v t="i">1782</v>
    <v t="i">1783</v>
    <v t="i">1784</v>
    <v t="i">1785</v>
    <v t="i">1786</v>
    <v t="i">1789</v>
    <v t="i">1790</v>
    <v t="i">1791</v>
    <v t="i">1792</v>
    <v t="i">1793</v>
    <v t="i">1796</v>
    <v t="i">1797</v>
    <v t="i">1798</v>
    <v t="i">1799</v>
    <v t="i">1800</v>
    <v t="i">1803</v>
    <v t="i">1804</v>
    <v t="i">1805</v>
    <v t="i">1806</v>
    <v t="i">1807</v>
    <v t="i">1810</v>
    <v t="i">1811</v>
    <v t="i">1812</v>
    <v t="i">1813</v>
    <v t="i">1814</v>
    <v t="i">1817</v>
    <v t="i">1818</v>
    <v t="i">1819</v>
    <v t="i">1820</v>
    <v t="i">1821</v>
    <v t="i">1824</v>
    <v t="i">1825</v>
    <v t="i">1826</v>
  </a>
  <a r="1" c="1256">
    <v>112.63</v>
    <v>108.8</v>
    <v>108.86</v>
    <v>107.47</v>
    <v>106.54</v>
    <v>105.57</v>
    <v>102.73</v>
    <v>102.99</v>
    <v>104.76</v>
    <v>103.03</v>
    <v>100.6</v>
    <v>101.28</v>
    <v>102.99</v>
    <v>103.5</v>
    <v>102.34</v>
    <v>101.95</v>
    <v>103.3</v>
    <v>104.13</v>
    <v>102.34</v>
    <v>102.55</v>
    <v>102.58</v>
    <v>100.76</v>
    <v>101.38</v>
    <v>99.79</v>
    <v>100.49</v>
    <v>101</v>
    <v>105.91</v>
    <v>107.71</v>
    <v>107.57</v>
    <v>110.78</v>
    <v>114.71</v>
    <v>113.22</v>
    <v>113.92</v>
    <v>114</v>
    <v>111.62</v>
    <v>112.23</v>
    <v>114.5</v>
    <v>114.93</v>
    <v>113.74</v>
    <v>114.7</v>
    <v>113.57</v>
    <v>112.31</v>
    <v>108.82</v>
    <v>107.69</v>
    <v>108.78</v>
    <v>110.32</v>
    <v>113.84</v>
    <v>114.53</v>
    <v>117.9</v>
    <v>118.46</v>
    <v>118.81</v>
    <v>119.59</v>
    <v>120.51</v>
    <v>120.75</v>
    <v>118.34</v>
    <v>116.76</v>
    <v>118</v>
    <v>116.73</v>
    <v>115.5</v>
    <v>113.46</v>
    <v>102.94</v>
    <v>100.35</v>
    <v>101.69</v>
    <v>102.52</v>
    <v>100.37</v>
    <v>98.24</v>
    <v>102.85</v>
    <v>106.57</v>
    <v>105.82</v>
    <v>108.15</v>
    <v>108.58</v>
    <v>110.99</v>
    <v>113.92</v>
    <v>113.45</v>
    <v>112.25</v>
    <v>113.38</v>
    <v>118.19</v>
    <v>120.96</v>
    <v>118.81</v>
    <v>114.32</v>
    <v>116.18</v>
    <v>119.26</v>
    <v>114.8</v>
    <v>115.72</v>
    <v>114.81</v>
    <v>115.76</v>
    <v>117.99</v>
    <v>120.74</v>
    <v>120.59</v>
    <v>119.62</v>
    <v>122.48</v>
    <v>121.56</v>
    <v>120.82</v>
    <v>120.17</v>
    <v>119.3</v>
    <v>119.87</v>
    <v>118.84</v>
    <v>118.45</v>
    <v>118.97</v>
    <v>118.04</v>
    <v>117.74</v>
    <v>117.02</v>
    <v>118.35</v>
    <v>117.19</v>
    <v>118.29</v>
    <v>116.27</v>
    <v>117.47</v>
    <v>117.73</v>
    <v>116.38</v>
    <v>120.04</v>
    <v>122.34</v>
    <v>125.79</v>
    <v>121.67</v>
    <v>116.15</v>
    <v>119</v>
    <v>120.39</v>
    <v>120.11</v>
    <v>116.92</v>
    <v>113.69</v>
    <v>114.52</v>
    <v>114.93</v>
    <v>114.7</v>
    <v>114.42</v>
    <v>116.96</v>
    <v>118.14</v>
    <v>116.24</v>
    <v>114.9</v>
    <v>118.35</v>
    <v>115.56</v>
    <v>115.99</v>
    <v>117.1</v>
    <v>118.22</v>
    <v>114.99</v>
    <v>112.54</v>
    <v>114.45</v>
    <v>114.03</v>
    <v>113.26</v>
    <v>109.9</v>
    <v>109.5</v>
    <v>107.63</v>
    <v>108.68</v>
    <v>111.04</v>
    <v>111.25</v>
    <v>111.38</v>
    <v>113.05</v>
    <v>114.83</v>
    <v>114.97</v>
    <v>114.98</v>
    <v>116.37</v>
    <v>115.65</v>
    <v>110.55</v>
    <v>109.75</v>
    <v>108.16</v>
    <v>110.86</v>
    <v>111.25</v>
    <v>109.87</v>
    <v>109.91</v>
    <v>112</v>
    <v>110.59</v>
    <v>108.48</v>
    <v>110.61</v>
    <v>110.78</v>
    <v>109.98</v>
    <v>113.28</v>
    <v>114.83</v>
    <v>114.36</v>
    <v>113.06</v>
    <v>114.26</v>
    <v>112.35</v>
    <v>112.49</v>
    <v>114.65</v>
    <v>113.27</v>
    <v>115.37</v>
    <v>114.84</v>
    <v>112.54</v>
    <v>115.02</v>
    <v>118.06</v>
    <v>118.13</v>
    <v>113.78</v>
    <v>115.36</v>
    <v>110.75</v>
    <v>110.1</v>
    <v>109.76</v>
    <v>112.63</v>
    <v>112.16</v>
    <v>121.49</v>
    <v>121.89</v>
    <v>118.09</v>
    <v>117.5</v>
    <v>118.35</v>
    <v>116.51</v>
    <v>116.78</v>
    <v>116.26</v>
    <v>114.02</v>
    <v>111.5</v>
    <v>110.99</v>
    <v>112.39</v>
    <v>111.35</v>
    <v>112.07</v>
    <v>110.17</v>
    <v>109.27</v>
    <v>109.56</v>
    <v>109.62</v>
    <v>106.67</v>
    <v>106.89</v>
    <v>106.8</v>
    <v>106.17</v>
    <v>104.74</v>
    <v>110.18</v>
    <v>109.39</v>
    <v>109.43</v>
    <v>105.71</v>
    <v>105.31</v>
    <v>105.49</v>
    <v>106.37</v>
    <v>105.77</v>
    <v>107.59</v>
    <v>107.25</v>
    <v>108.88</v>
    <v>109.32</v>
    <v>110.78</v>
    <v>112.66</v>
    <v>113.64</v>
    <v>115.61</v>
    <v>113.94</v>
    <v>114.53</v>
    <v>117.6</v>
    <v>118.39</v>
    <v>120.48</v>
    <v>121.23</v>
    <v>118.75</v>
    <v>121.12</v>
    <v>122.24</v>
    <v>123.91</v>
    <v>123.83</v>
    <v>125.1</v>
    <v>128.61000000000001</v>
    <v>129.07</v>
    <v>130.09</v>
    <v>132.94</v>
    <v>131.25</v>
    <v>132.9</v>
    <v>135.63</v>
    <v>132.36000000000001</v>
    <v>134.93</v>
    <v>132.86000000000001</v>
    <v>135.61000000000001</v>
    <v>136.13</v>
    <v>138</v>
    <v>121.01</v>
    <v>116.69</v>
    <v>114.77</v>
    <v>110.95</v>
    <v>106.86</v>
    <v>102.25</v>
    <v>103.92</v>
    <v>105.87</v>
    <v>104.66</v>
    <v>106.68</v>
    <v>106.93</v>
    <v>104.38</v>
    <v>103.82</v>
    <v>100.24</v>
    <v>101.37</v>
    <v>102.49</v>
    <v>100.22</v>
    <v>100.03</v>
    <v>95.77</v>
    <v>97.48</v>
    <v>97.37</v>
    <v>98.08</v>
    <v>99.08</v>
    <v>99.52</v>
    <v>100.86</v>
    <v>101.55</v>
    <v>101.6</v>
    <v>102.12</v>
    <v>105.14</v>
    <v>103</v>
    <v>102.88</v>
    <v>102.5</v>
    <v>102.75</v>
    <v>104.09</v>
    <v>102.68</v>
    <v>102.6</v>
    <v>100.04</v>
    <v>98.64</v>
    <v>99.35</v>
    <v>94.9</v>
    <v>96.45</v>
    <v>101.38</v>
    <v>98.03</v>
    <v>96.92</v>
    <v>96.1</v>
    <v>97.64</v>
    <v>99.28</v>
    <v>100.45</v>
    <v>99.05</v>
    <v>97.1</v>
    <v>96.83</v>
    <v>97.58</v>
    <v>99.46</v>
    <v>102.22</v>
    <v>100.47</v>
    <v>100.57</v>
    <v>100.64</v>
    <v>102.19</v>
    <v>99.63</v>
    <v>98.63</v>
    <v>97.71</v>
    <v>90.55</v>
    <v>88.63</v>
    <v>91.58</v>
    <v>95.83</v>
    <v>96.64</v>
    <v>97.18</v>
    <v>100.84</v>
    <v>110.14</v>
    <v>106.1</v>
    <v>104.71</v>
    <v>101.13</v>
    <v>101.74</v>
    <v>98.66</v>
    <v>94.59</v>
    <v>94.64</v>
    <v>99.06</v>
    <v>98.84</v>
    <v>99.29</v>
    <v>101.84</v>
    <v>99.04</v>
    <v>99.3</v>
    <v>96.59</v>
    <v>96.71</v>
    <v>96.3</v>
    <v>96.73</v>
    <v>100.75</v>
    <v>96.43</v>
    <v>90.9</v>
    <v>90.38</v>
    <v>94.34</v>
    <v>92.52</v>
    <v>91.06</v>
    <v>92.07</v>
    <v>93.36</v>
    <v>94.16</v>
    <v>93.23</v>
    <v>95.23</v>
    <v>93.84</v>
    <v>93.48</v>
    <v>95.57</v>
    <v>94.4</v>
    <v>93.64</v>
    <v>91.28</v>
    <v>93.07</v>
    <v>92.83</v>
    <v>93.03</v>
    <v>93.58</v>
    <v>89.93</v>
    <v>93.81</v>
    <v>94.65</v>
    <v>97.79</v>
    <v>92.21</v>
    <v>91.41</v>
    <v>91.08</v>
    <v>88.74</v>
    <v>83.79</v>
    <v>87.36</v>
    <v>86.36</v>
    <v>84.77</v>
    <v>84.5</v>
    <v>75.62</v>
    <v>73.319999999999993</v>
    <v>72.36</v>
    <v>72.59</v>
    <v>73.47</v>
    <v>80.06</v>
    <v>82.05</v>
    <v>83.99</v>
    <v>82.06</v>
    <v>80.08</v>
    <v>81.260000000000005</v>
    <v>80.39</v>
    <v>79.27</v>
    <v>78.349999999999994</v>
    <v>77.12</v>
    <v>74.930000000000007</v>
    <v>72.599999999999994</v>
    <v>69.45</v>
    <v>70.59</v>
    <v>71.760000000000005</v>
    <v>68.48</v>
    <v>70.510000000000005</v>
    <v>70.47</v>
    <v>69.88</v>
    <v>71.290000000000006</v>
    <v>74.69</v>
    <v>72.14</v>
    <v>68.849999999999994</v>
    <v>67.150000000000006</v>
    <v>65.19</v>
    <v>66.77</v>
    <v>69.98</v>
    <v>68.52</v>
    <v>70.89</v>
    <v>71.17</v>
    <v>69.91</v>
    <v>70.42</v>
    <v>71.290000000000006</v>
    <v>71.14</v>
    <v>72.47</v>
    <v>73.34</v>
    <v>75.97</v>
    <v>78.12</v>
    <v>78.2</v>
    <v>76.8</v>
    <v>75.84</v>
    <v>72.010000000000005</v>
    <v>74.489999999999995</v>
    <v>77.989999999999995</v>
    <v>76.989999999999995</v>
    <v>76.98</v>
    <v>74.61</v>
    <v>75.69</v>
    <v>76.290000000000006</v>
    <v>76.38</v>
    <v>78.540000000000006</v>
    <v>76.34</v>
    <v>78.510000000000005</v>
    <v>80.42</v>
    <v>80.3</v>
    <v>81.33</v>
    <v>84.95</v>
    <v>82.26</v>
    <v>82.42</v>
    <v>79.53</v>
    <v>77.42</v>
    <v>78.84</v>
    <v>77.63</v>
    <v>78.19</v>
    <v>74.150000000000006</v>
    <v>73.7</v>
    <v>74.89</v>
    <v>70.69</v>
    <v>71.849999999999994</v>
    <v>71.14</v>
    <v>71.38</v>
    <v>73.239999999999995</v>
    <v>74.7</v>
    <v>76.239999999999995</v>
    <v>77.819999999999993</v>
    <v>73.69</v>
    <v>73.55</v>
    <v>72.42</v>
    <v>72.63</v>
    <v>73.97</v>
    <v>70.92</v>
    <v>69.98</v>
    <v>68.569999999999993</v>
    <v>68.78</v>
    <v>65.319999999999993</v>
    <v>65.41</v>
    <v>67.44</v>
    <v>65.08</v>
    <v>63.34</v>
    <v>63.67</v>
    <v>67.400000000000006</v>
    <v>67.900000000000006</v>
    <v>66.81</v>
    <v>64.53</v>
    <v>63.34</v>
    <v>63.85</v>
    <v>63.2</v>
    <v>64.510000000000005</v>
    <v>63.35</v>
    <v>65.59</v>
    <v>66.56</v>
    <v>63.74</v>
    <v>62.85</v>
    <v>63.77</v>
    <v>63.8</v>
    <v>65.69</v>
    <v>65.989999999999995</v>
    <v>65.84</v>
    <v>68.349999999999994</v>
    <v>68.41</v>
    <v>68.88</v>
    <v>66.010000000000005</v>
    <v>67.069999999999993</v>
    <v>68.2</v>
    <v>68.66</v>
    <v>68.819999999999993</v>
    <v>67.3</v>
    <v>72.03</v>
    <v>74.55</v>
    <v>74.260000000000005</v>
    <v>75.599999999999994</v>
    <v>69.12</v>
    <v>70.03</v>
    <v>72.05</v>
    <v>70.83</v>
    <v>79.88</v>
    <v>82.39</v>
    <v>81.23</v>
    <v>82.09</v>
    <v>84.16</v>
    <v>85.3</v>
    <v>86.47</v>
    <v>86.6</v>
    <v>84.32</v>
    <v>83.28</v>
    <v>81.37</v>
    <v>83.4</v>
    <v>81.81</v>
    <v>82.47</v>
    <v>84.07</v>
    <v>80.819999999999993</v>
    <v>80.78</v>
    <v>79.48</v>
    <v>79.8</v>
    <v>79.239999999999995</v>
    <v>80.63</v>
    <v>80.459999999999994</v>
    <v>81.349999999999994</v>
    <v>81.86</v>
    <v>80.17</v>
    <v>81.239999999999995</v>
    <v>80.209999999999994</v>
    <v>80.41</v>
    <v>81.94</v>
    <v>81.510000000000005</v>
    <v>83.04</v>
    <v>82.06</v>
    <v>84.27</v>
    <v>85.85</v>
    <v>86.4</v>
    <v>85.78</v>
    <v>84.42</v>
    <v>82.96</v>
    <v>81.52</v>
    <v>82.67</v>
    <v>84.24</v>
    <v>83.63</v>
    <v>84</v>
    <v>83.95</v>
    <v>85.18</v>
    <v>86.38</v>
    <v>88.72</v>
    <v>89.65</v>
    <v>91.42</v>
    <v>90.32</v>
    <v>87.97</v>
    <v>87.79</v>
    <v>86.4</v>
    <v>84.96</v>
    <v>85.52</v>
    <v>87.26</v>
    <v>88.31</v>
    <v>88.95</v>
    <v>88.2</v>
    <v>86.94</v>
    <v>83.13</v>
    <v>83.18</v>
    <v>83</v>
    <v>83.82</v>
    <v>82.63</v>
    <v>83.11</v>
    <v>82.54</v>
    <v>80.790000000000006</v>
    <v>83.26</v>
    <v>82.3</v>
    <v>82.26</v>
    <v>81.150000000000006</v>
    <v>79</v>
    <v>78.61</v>
    <v>75.77</v>
    <v>74.84</v>
    <v>75.55</v>
    <v>77.09</v>
    <v>76.73</v>
    <v>78.13</v>
    <v>77.77</v>
    <v>75.94</v>
    <v>74.59</v>
    <v>74.319999999999993</v>
    <v>73.849999999999994</v>
    <v>73.319999999999993</v>
    <v>74.86</v>
    <v>75.319999999999993</v>
    <v>78.27</v>
    <v>78.510000000000005</v>
    <v>77.84</v>
    <v>76.28</v>
    <v>75.08</v>
    <v>74.959999999999994</v>
    <v>75.25</v>
    <v>73.17</v>
    <v>73.19</v>
    <v>73.38</v>
    <v>73.31</v>
    <v>73.98</v>
    <v>72.709999999999994</v>
    <v>72.58</v>
    <v>72.760000000000005</v>
    <v>73.55</v>
    <v>71.37</v>
    <v>71.510000000000005</v>
    <v>73.53</v>
    <v>74.52</v>
    <v>73.650000000000006</v>
    <v>73.2</v>
    <v>72.78</v>
    <v>71.599999999999994</v>
    <v>73.569999999999993</v>
    <v>72.459999999999994</v>
    <v>72.650000000000006</v>
    <v>72.22</v>
    <v>71.62</v>
    <v>71.73</v>
    <v>72.7</v>
    <v>70.739999999999995</v>
    <v>73.94</v>
    <v>73.040000000000006</v>
    <v>70.53</v>
    <v>70.319999999999993</v>
    <v>69.489999999999995</v>
    <v>69.150000000000006</v>
    <v>71.28</v>
    <v>74.33</v>
    <v>73.400000000000006</v>
    <v>72.67</v>
    <v>72.900000000000006</v>
    <v>73.209999999999994</v>
    <v>72.83</v>
    <v>74.349999999999994</v>
    <v>75.680000000000007</v>
    <v>75.36</v>
    <v>75.239999999999995</v>
    <v>76.400000000000006</v>
    <v>77.36</v>
    <v>76.64</v>
    <v>78.98</v>
    <v>79.790000000000006</v>
    <v>78.819999999999993</v>
    <v>79.02</v>
    <v>79.05</v>
    <v>79.13</v>
    <v>81.400000000000006</v>
    <v>82.91</v>
    <v>82.28</v>
    <v>83.21</v>
    <v>81.95</v>
    <v>82.17</v>
    <v>81.05</v>
    <v>80.59</v>
    <v>79.3</v>
    <v>79.88</v>
    <v>81.760000000000005</v>
    <v>81.08</v>
    <v>81.3</v>
    <v>80.23</v>
    <v>82.27</v>
    <v>83.57</v>
    <v>84.22</v>
    <v>83.62</v>
    <v>82.76</v>
    <v>84.79</v>
    <v>84.95</v>
    <v>84.22</v>
    <v>83.54</v>
    <v>82.9</v>
    <v>83.05</v>
    <v>82.77</v>
    <v>81.239999999999995</v>
    <v>81.31</v>
    <v>79.83</v>
    <v>80.069999999999993</v>
    <v>79.16</v>
    <v>79.05</v>
    <v>80.41</v>
    <v>79.290000000000006</v>
    <v>79.180000000000007</v>
    <v>78.48</v>
    <v>78.44</v>
    <v>77.72</v>
    <v>78.59</v>
    <v>78.88</v>
    <v>74.23</v>
    <v>74.7</v>
    <v>73.13</v>
    <v>72.67</v>
    <v>74.069999999999993</v>
    <v>76.930000000000007</v>
    <v>75.930000000000007</v>
    <v>76.45</v>
    <v>75.27</v>
    <v>73.95</v>
    <v>73.739999999999995</v>
    <v>72.67</v>
    <v>73.23</v>
    <v>72.650000000000006</v>
    <v>72.78</v>
    <v>72.27</v>
    <v>73.45</v>
    <v>72.39</v>
    <v>70.64</v>
    <v>71.44</v>
    <v>70.75</v>
    <v>70.45</v>
    <v>69.25</v>
    <v>69.790000000000006</v>
    <v>68.03</v>
    <v>68.37</v>
    <v>68.900000000000006</v>
    <v>69.47</v>
    <v>69.09</v>
    <v>67.61</v>
    <v>68.56</v>
    <v>67.63</v>
    <v>68.760000000000005</v>
    <v>70.25</v>
    <v>70.38</v>
    <v>70.95</v>
    <v>70.38</v>
    <v>69.489999999999995</v>
    <v>70.760000000000005</v>
    <v>71.03</v>
    <v>70.2</v>
    <v>69.5</v>
    <v>68.680000000000007</v>
    <v>68.2</v>
    <v>67.989999999999995</v>
    <v>67.59</v>
    <v>66.11</v>
    <v>64.41</v>
    <v>64.489999999999995</v>
    <v>66.819999999999993</v>
    <v>65.97</v>
    <v>66.349999999999994</v>
    <v>67.19</v>
    <v>66.959999999999994</v>
    <v>65.569999999999993</v>
    <v>63.94</v>
    <v>62.88</v>
    <v>64.12</v>
    <v>63.84</v>
    <v>66.48</v>
    <v>68.88</v>
    <v>66.75</v>
    <v>68.22</v>
    <v>68.11</v>
    <v>67.62</v>
    <v>68.03</v>
    <v>69.510000000000005</v>
    <v>69.36</v>
    <v>71.02</v>
    <v>70.78</v>
    <v>70.94</v>
    <v>73.42</v>
    <v>74.69</v>
    <v>74</v>
    <v>75.09</v>
    <v>74.56</v>
    <v>73.989999999999995</v>
    <v>74.14</v>
    <v>73.209999999999994</v>
    <v>72.37</v>
    <v>77.5</v>
    <v>77.319999999999993</v>
    <v>77.319999999999993</v>
    <v>77.44</v>
    <v>75.61</v>
    <v>75.819999999999993</v>
    <v>76.14</v>
    <v>77.88</v>
    <v>77.95</v>
    <v>78.459999999999994</v>
    <v>78.28</v>
    <v>77.260000000000005</v>
    <v>75.430000000000007</v>
    <v>75.3</v>
    <v>75.83</v>
    <v>75.540000000000006</v>
    <v>75.16</v>
    <v>75.77</v>
    <v>74.650000000000006</v>
    <v>73.86</v>
    <v>71.86</v>
    <v>71.14</v>
    <v>70.94</v>
    <v>71</v>
    <v>73.489999999999995</v>
    <v>73.069999999999993</v>
    <v>73.33</v>
    <v>75.209999999999994</v>
    <v>74.819999999999993</v>
    <v>73.34</v>
    <v>73.319999999999993</v>
    <v>72.489999999999995</v>
    <v>75.239999999999995</v>
    <v>75.69</v>
    <v>74.209999999999994</v>
    <v>74.84</v>
    <v>75.48</v>
    <v>75.489999999999995</v>
    <v>75.599999999999994</v>
    <v>75.92</v>
    <v>72.900000000000006</v>
    <v>74.599999999999994</v>
    <v>74.650000000000006</v>
    <v>73.75</v>
    <v>73.27</v>
    <v>74.12</v>
    <v>75.209999999999994</v>
    <v>76.28</v>
    <v>76.45</v>
    <v>79.06</v>
    <v>79.680000000000007</v>
    <v>80.88</v>
    <v>77.92</v>
    <v>77.540000000000006</v>
    <v>75.959999999999994</v>
    <v>78.209999999999994</v>
    <v>79.52</v>
    <v>78.58</v>
    <v>76.400000000000006</v>
    <v>77.34</v>
    <v>77.52</v>
    <v>77.459999999999994</v>
    <v>78.02</v>
    <v>77.13</v>
    <v>78.23</v>
    <v>78.59</v>
    <v>80.44</v>
    <v>81.66</v>
    <v>80.72</v>
    <v>80.06</v>
    <v>81.87</v>
    <v>82.03</v>
    <v>81.64</v>
    <v>80.17</v>
    <v>79.31</v>
    <v>79</v>
    <v>79.61</v>
    <v>80.14</v>
    <v>82.55</v>
    <v>79.89</v>
    <v>80.010000000000005</v>
    <v>78</v>
    <v>76.290000000000006</v>
    <v>75.17</v>
    <v>76.23</v>
    <v>76</v>
    <v>76.150000000000006</v>
    <v>75.12</v>
    <v>75.040000000000006</v>
    <v>74.430000000000007</v>
    <v>75.239999999999995</v>
    <v>75.05</v>
    <v>75</v>
    <v>73.64</v>
    <v>72.03</v>
    <v>72.44</v>
    <v>74.47</v>
    <v>74.400000000000006</v>
    <v>73.06</v>
    <v>73.23</v>
    <v>74.16</v>
    <v>74.17</v>
    <v>74.7</v>
    <v>74.349999999999994</v>
    <v>73.34</v>
    <v>73.64</v>
    <v>73.349999999999994</v>
    <v>73.91</v>
    <v>72.67</v>
    <v>70.5</v>
    <v>69.63</v>
    <v>71.5</v>
    <v>72.55</v>
    <v>71.900000000000006</v>
    <v>81.55</v>
    <v>84.82</v>
    <v>86.94</v>
    <v>87.85</v>
    <v>88.94</v>
    <v>88.16</v>
    <v>87.92</v>
    <v>87.15</v>
    <v>87.11</v>
    <v>86.38</v>
    <v>87.73</v>
    <v>87.21</v>
    <v>91.26</v>
    <v>93.63</v>
    <v>92.37</v>
    <v>90.4</v>
    <v>89.33</v>
    <v>86.52</v>
    <v>84.26</v>
    <v>84.32</v>
    <v>84.29</v>
    <v>82.29</v>
    <v>82.17</v>
    <v>82.33</v>
    <v>82.45</v>
    <v>85.51</v>
    <v>86.42</v>
    <v>85.57</v>
    <v>86.01</v>
    <v>86.27</v>
    <v>85.5</v>
    <v>87.25</v>
    <v>89.16</v>
    <v>88.1</v>
    <v>88.6</v>
    <v>88.96</v>
    <v>88.95</v>
    <v>87.73</v>
    <v>87.35</v>
    <v>87.35</v>
    <v>85.48</v>
    <v>85.35</v>
    <v>86.52</v>
    <v>85.67</v>
    <v>82.36</v>
    <v>80.23</v>
    <v>82</v>
    <v>80.7</v>
    <v>82.56</v>
    <v>83.73</v>
    <v>81.2</v>
    <v>83.14</v>
    <v>82.91</v>
    <v>84.06</v>
    <v>85.24</v>
    <v>85.04</v>
    <v>84.74</v>
    <v>87.04</v>
    <v>85.75</v>
    <v>88.15</v>
    <v>88.89</v>
    <v>88.88</v>
    <v>87.79</v>
    <v>100.18</v>
    <v>100.4</v>
    <v>100.94</v>
    <v>99.96</v>
    <v>99.41</v>
    <v>98.5</v>
    <v>98.09</v>
    <v>96.37</v>
    <v>97.6</v>
    <v>97.75</v>
    <v>98.45</v>
    <v>98.79</v>
    <v>99.48</v>
    <v>99.07</v>
    <v>98.46</v>
    <v>97.3</v>
    <v>97.86</v>
    <v>98.98</v>
    <v>97.84</v>
    <v>100</v>
    <v>102.26</v>
    <v>103.3</v>
    <v>101.35</v>
    <v>99.71</v>
    <v>98.19</v>
    <v>99.61</v>
    <v>97.82</v>
    <v>98.33</v>
    <v>98.64</v>
    <v>97.52</v>
    <v>97.44</v>
    <v>96.91</v>
    <v>97.57</v>
    <v>98.68</v>
    <v>96.28</v>
    <v>96.14</v>
    <v>93.17</v>
    <v>93.77</v>
    <v>93.35</v>
    <v>94.12</v>
    <v>92.68</v>
    <v>91.54</v>
    <v>89.97</v>
    <v>90.41</v>
    <v>90.43</v>
    <v>90.9</v>
    <v>92.82</v>
    <v>92.84</v>
    <v>89.4</v>
    <v>90.11</v>
    <v>89.2</v>
    <v>89.29</v>
    <v>90.2</v>
    <v>90.7</v>
    <v>91.58</v>
    <v>92.66</v>
    <v>89</v>
    <v>87.02</v>
    <v>86.77</v>
    <v>86.51</v>
    <v>89.54</v>
    <v>93.03</v>
    <v>88.48</v>
    <v>88.17</v>
    <v>90</v>
    <v>90.93</v>
    <v>88.97</v>
    <v>90.49</v>
    <v>89.8</v>
    <v>88.17</v>
    <v>87.32</v>
    <v>86.71</v>
    <v>87.07</v>
    <v>88.4</v>
    <v>87.6</v>
    <v>88.56</v>
    <v>87.48</v>
    <v>86.01</v>
    <v>85.2</v>
    <v>85.55</v>
    <v>85.32</v>
    <v>86.85</v>
    <v>89.37</v>
    <v>88.03</v>
    <v>85.85</v>
    <v>85.8</v>
    <v>86.17</v>
    <v>83.62</v>
    <v>84.77</v>
    <v>84.28</v>
    <v>84.19</v>
    <v>83.27</v>
    <v>84.31</v>
    <v>82.8</v>
    <v>83.21</v>
    <v>82.21</v>
    <v>81.900000000000006</v>
    <v>84.53</v>
    <v>83.92</v>
    <v>85.63</v>
    <v>84.73</v>
    <v>85.24</v>
    <v>86.78</v>
    <v>85.09</v>
    <v>86.86</v>
    <v>85.86</v>
    <v>83.78</v>
    <v>85.05</v>
    <v>86.48</v>
    <v>85.94</v>
    <v>84.89</v>
    <v>88.07</v>
    <v>88.01</v>
    <v>86.79</v>
    <v>89.17</v>
    <v>91.1</v>
    <v>91.07</v>
    <v>91.1</v>
    <v>90.94</v>
    <v>89.78</v>
    <v>88.7</v>
    <v>90.09</v>
    <v>90.41</v>
    <v>88.62</v>
    <v>89.91</v>
    <v>86.74</v>
    <v>75.2</v>
    <v>75.53</v>
    <v>78.599999999999994</v>
    <v>79.41</v>
    <v>78.86</v>
    <v>74.819999999999993</v>
    <v>72.64</v>
    <v>70.3</v>
    <v>71.489999999999995</v>
    <v>73.77</v>
    <v>73.13</v>
    <v>73.790000000000006</v>
    <v>73.48</v>
    <v>73.56</v>
    <v>75.67</v>
    <v>74.62</v>
    <v>74.83</v>
    <v>74.87</v>
    <v>72.45</v>
    <v>73.61</v>
    <v>74.37</v>
    <v>75.73</v>
    <v>62.22</v>
    <v>60.44</v>
    <v>61.23</v>
    <v>56.17</v>
    <v>63.65</v>
    <v>59.75</v>
    <v>60.43</v>
    <v>61.76</v>
    <v>61.14</v>
    <v>59.63</v>
    <v>61.97</v>
    <v>62.11</v>
    <v>63.38</v>
    <v>63.47</v>
    <v>66</v>
    <v>67.709999999999994</v>
    <v>67.48</v>
    <v>66.680000000000007</v>
    <v>66.69</v>
    <v>67.040000000000006</v>
    <v>68.069999999999993</v>
    <v>67.66</v>
    <v>66.680000000000007</v>
    <v>68.38</v>
    <v>69.42</v>
    <v>68.849999999999994</v>
    <v>73.37</v>
    <v>73.77</v>
    <v>73.39</v>
    <v>72.84</v>
    <v>73.8</v>
    <v>71.599999999999994</v>
    <v>71.150000000000006</v>
    <v>70.150000000000006</v>
    <v>70.760000000000005</v>
    <v>69.92</v>
    <v>72.22</v>
    <v>71.52</v>
    <v>66.319999999999993</v>
    <v>66.28</v>
    <v>68.27</v>
    <v>69.84</v>
    <v>69.67</v>
    <v>70.459999999999994</v>
    <v>73.02</v>
    <v>72.75</v>
    <v>74.91</v>
    <v>72.650000000000006</v>
    <v>72.540000000000006</v>
    <v>69.599999999999994</v>
    <v>71.23</v>
    <v>69.39</v>
    <v>67.760000000000005</v>
    <v>67.52</v>
    <v>66.37</v>
    <v>68.84</v>
    <v>68</v>
    <v>68.430000000000007</v>
    <v>68.22</v>
    <v>67.13</v>
    <v>70.650000000000006</v>
    <v>71.59</v>
    <v>72.099999999999994</v>
    <v>70.510000000000005</v>
    <v>72.239999999999995</v>
    <v>72.459999999999994</v>
    <v>73.72</v>
    <v>71.790000000000006</v>
    <v>70.95</v>
    <v>68.87</v>
    <v>66.849999999999994</v>
    <v>67.67</v>
    <v>67.55</v>
    <v>66.19</v>
    <v>68.150000000000006</v>
    <v>68.459999999999994</v>
    <v>67.290000000000006</v>
    <v>67.44</v>
    <v>67.790000000000006</v>
    <v>66.44</v>
    <v>65.790000000000006</v>
    <v>65.06</v>
    <v>64.12</v>
    <v>66.22</v>
    <v>66.98</v>
    <v>67.430000000000007</v>
    <v>67.55</v>
    <v>68.97</v>
    <v>68.59</v>
    <v>70.239999999999995</v>
    <v>72.73</v>
    <v>71.739999999999995</v>
    <v>71.63</v>
    <v>71.8</v>
    <v>74.099999999999994</v>
    <v>72.27</v>
    <v>72.39</v>
    <v>75.39</v>
    <v>74.319999999999993</v>
    <v>73.67</v>
    <v>75.45</v>
    <v>72.66</v>
    <v>73.64</v>
    <v>74.459999999999994</v>
    <v>74.89</v>
    <v>77.05</v>
    <v>76.17</v>
    <v>77.59</v>
    <v>77.02</v>
    <v>76.61</v>
    <v>78.459999999999994</v>
    <v>75.87</v>
    <v>74.55</v>
    <v>74.040000000000006</v>
    <v>74.52</v>
    <v>73.73</v>
    <v>72.23</v>
    <v>72.33</v>
    <v>73.010000000000005</v>
    <v>74.17</v>
    <v>74.19</v>
    <v>76.150000000000006</v>
    <v>75.66</v>
    <v>75.62</v>
    <v>77.349999999999994</v>
    <v>76.62</v>
    <v>76.86</v>
    <v>75.599999999999994</v>
    <v>75.23</v>
    <v>76.95</v>
    <v>75.23</v>
    <v>70.430000000000007</v>
    <v>77.45</v>
    <v>77.209999999999994</v>
    <v>78.41</v>
    <v>78.540000000000006</v>
    <v>79.709999999999994</v>
    <v>81.010000000000005</v>
    <v>82.66</v>
    <v>81.37</v>
    <v>82.43</v>
    <v>83.26</v>
    <v>82.88</v>
    <v>83.86</v>
    <v>84</v>
    <v>83.18</v>
    <v>82.14</v>
    <v>81.52</v>
    <v>79.37</v>
    <v>80.88</v>
    <v>78.67</v>
    <v>79.03</v>
    <v>78.150000000000006</v>
    <v>77.680000000000007</v>
    <v>77.709999999999994</v>
    <v>76.180000000000007</v>
    <v>75.72</v>
    <v>74.650000000000006</v>
    <v>74.400000000000006</v>
    <v>74.38</v>
    <v>73.78</v>
    <v>76.45</v>
    <v>75.62</v>
    <v>79.66</v>
    <v>80.98</v>
  </a>
  <a r="1" c="1256">
    <v>3241331</v>
    <v>6421978</v>
    <v>5335390</v>
    <v>3384757</v>
    <v>4566979</v>
    <v>3649424</v>
    <v>5506910</v>
    <v>2974795</v>
    <v>4754711</v>
    <v>4406626</v>
    <v>4003662</v>
    <v>3926184</v>
    <v>3310013</v>
    <v>3125572</v>
    <v>3040170</v>
    <v>4856832</v>
    <v>2991853</v>
    <v>3517411</v>
    <v>2304532</v>
    <v>996700</v>
    <v>2598521</v>
    <v>2201084</v>
    <v>1634037</v>
    <v>2147248</v>
    <v>3612410</v>
    <v>2396387</v>
    <v>4662820</v>
    <v>3643880</v>
    <v>3536556</v>
    <v>3425985</v>
    <v>4575477</v>
    <v>2986841</v>
    <v>1966336</v>
    <v>3123286</v>
    <v>2630748</v>
    <v>1929671</v>
    <v>2599803</v>
    <v>1619709</v>
    <v>2250110</v>
    <v>2140626</v>
    <v>2445861</v>
    <v>2429896</v>
    <v>2481444</v>
    <v>2706876</v>
    <v>2530444</v>
    <v>1503510</v>
    <v>2421960</v>
    <v>1632937</v>
    <v>1715093</v>
    <v>1528206</v>
    <v>1274888</v>
    <v>1636075</v>
    <v>1858078</v>
    <v>1880185</v>
    <v>2242046</v>
    <v>1890521</v>
    <v>2044450</v>
    <v>1742940</v>
    <v>2198416</v>
    <v>3279761</v>
    <v>10053655</v>
    <v>4570055</v>
    <v>3709209</v>
    <v>3011692</v>
    <v>2848834</v>
    <v>4288709</v>
    <v>5128100</v>
    <v>3830841</v>
    <v>3294996</v>
    <v>3175770</v>
    <v>2407275</v>
    <v>1963080</v>
    <v>3347188</v>
    <v>2328194</v>
    <v>2584396</v>
    <v>2906572</v>
    <v>9098446</v>
    <v>2809867</v>
    <v>3663054</v>
    <v>2883992</v>
    <v>2250687</v>
    <v>1872814</v>
    <v>2598410</v>
    <v>1934061</v>
    <v>1938988</v>
    <v>2486520</v>
    <v>1641946</v>
    <v>3604147</v>
    <v>2502827</v>
    <v>1776773</v>
    <v>2126799</v>
    <v>2390279</v>
    <v>2449617</v>
    <v>1525686</v>
    <v>1453870</v>
    <v>1845117</v>
    <v>2912640</v>
    <v>1750384</v>
    <v>1509417</v>
    <v>2405443</v>
    <v>1547803</v>
    <v>2275740</v>
    <v>1355305</v>
    <v>1190431</v>
    <v>1274410</v>
    <v>1633849</v>
    <v>1507740</v>
    <v>1330307</v>
    <v>1270024</v>
    <v>2293554</v>
    <v>1764030</v>
    <v>3980393</v>
    <v>2044846</v>
    <v>2158221</v>
    <v>1706262</v>
    <v>1677329</v>
    <v>1403762</v>
    <v>1982562</v>
    <v>2555674</v>
    <v>2063838</v>
    <v>2549052</v>
    <v>2145751</v>
    <v>1907332</v>
    <v>2969367</v>
    <v>7719442</v>
    <v>4573422</v>
    <v>2818757</v>
    <v>3302812</v>
    <v>2476095</v>
    <v>1641216</v>
    <v>1502981</v>
    <v>1537433</v>
    <v>2195403</v>
    <v>3373290</v>
    <v>2364358</v>
    <v>1801108</v>
    <v>1949628</v>
    <v>2944314</v>
    <v>2338472</v>
    <v>4255079</v>
    <v>2020351</v>
    <v>2477784</v>
    <v>1554561</v>
    <v>1660066</v>
    <v>2592653</v>
    <v>1942960</v>
    <v>1890779</v>
    <v>1879200</v>
    <v>1554541</v>
    <v>1634550</v>
    <v>2952219</v>
    <v>2079127</v>
    <v>2010459</v>
    <v>2096759</v>
    <v>1704077</v>
    <v>2306958</v>
    <v>1334112</v>
    <v>2742161</v>
    <v>1844356</v>
    <v>2527945</v>
    <v>1784226</v>
    <v>1659874</v>
    <v>1819944</v>
    <v>1620079</v>
    <v>1767492</v>
    <v>1423245</v>
    <v>1404397</v>
    <v>1386704</v>
    <v>1752991</v>
    <v>1302763</v>
    <v>1265655</v>
    <v>1134253</v>
    <v>1907251</v>
    <v>1699609</v>
    <v>1346934</v>
    <v>1315600</v>
    <v>2565561</v>
    <v>1248620</v>
    <v>2293423</v>
    <v>1833084</v>
    <v>2212558</v>
    <v>2079348</v>
    <v>1954927</v>
    <v>2131117</v>
    <v>3630776</v>
    <v>11896879</v>
    <v>3685333</v>
    <v>2700206</v>
    <v>2013209</v>
    <v>1722810</v>
    <v>2877251</v>
    <v>2709506</v>
    <v>1788091</v>
    <v>1762613</v>
    <v>2426490</v>
    <v>2558765</v>
    <v>2211869</v>
    <v>1728852</v>
    <v>1592684</v>
    <v>1564810</v>
    <v>2068826</v>
    <v>1511146</v>
    <v>2946200</v>
    <v>2101635</v>
    <v>2240898</v>
    <v>1500742</v>
    <v>2053877</v>
    <v>3377751</v>
    <v>4675022</v>
    <v>2933793</v>
    <v>1771138</v>
    <v>3692936</v>
    <v>2134120</v>
    <v>1739025</v>
    <v>2050116</v>
    <v>1808955</v>
    <v>2188169</v>
    <v>1729191</v>
    <v>1790484</v>
    <v>1604964</v>
    <v>2069164</v>
    <v>2140630</v>
    <v>2133544</v>
    <v>2392933</v>
    <v>2087847</v>
    <v>1588751</v>
    <v>1756052</v>
    <v>1736185</v>
    <v>2225992</v>
    <v>2605774</v>
    <v>2172988</v>
    <v>1646300</v>
    <v>2283773</v>
    <v>1901377</v>
    <v>1794293</v>
    <v>2224933</v>
    <v>2952510</v>
    <v>2217390</v>
    <v>2595198</v>
    <v>2025453</v>
    <v>1924623</v>
    <v>1843348</v>
    <v>2313531</v>
    <v>2681913</v>
    <v>2232033</v>
    <v>1928459</v>
    <v>2357754</v>
    <v>1955641</v>
    <v>5417609</v>
    <v>15941013</v>
    <v>5990012</v>
    <v>2345969</v>
    <v>4595728</v>
    <v>5747856</v>
    <v>4550237</v>
    <v>4235756</v>
    <v>4048764</v>
    <v>4489385</v>
    <v>3097468</v>
    <v>2525590</v>
    <v>2934177</v>
    <v>3169509</v>
    <v>4043454</v>
    <v>3924362</v>
    <v>3237997</v>
    <v>3600455</v>
    <v>5112548</v>
    <v>4640172</v>
    <v>2887938</v>
    <v>2331398</v>
    <v>2488242</v>
    <v>2511627</v>
    <v>2148905</v>
    <v>2599871</v>
    <v>2258391</v>
    <v>2037955</v>
    <v>2829004</v>
    <v>4085528</v>
    <v>2818191</v>
    <v>3565519</v>
    <v>3137122</v>
    <v>5354128</v>
    <v>2524595</v>
    <v>3009007</v>
    <v>2298061</v>
    <v>3728107</v>
    <v>3696132</v>
    <v>2609551</v>
    <v>3846069</v>
    <v>3406534</v>
    <v>5150383</v>
    <v>3751376</v>
    <v>2787352</v>
    <v>2213632</v>
    <v>1904319</v>
    <v>2362451</v>
    <v>1763695</v>
    <v>2408002</v>
    <v>1878554</v>
    <v>2132920</v>
    <v>1474020</v>
    <v>1780977</v>
    <v>1761884</v>
    <v>2283266</v>
    <v>3466953</v>
    <v>2315287</v>
    <v>1660134</v>
    <v>2288952</v>
    <v>1408092</v>
    <v>1853092</v>
    <v>5404710</v>
    <v>3588988</v>
    <v>2908729</v>
    <v>2929385</v>
    <v>3390555</v>
    <v>2629093</v>
    <v>6182676</v>
    <v>18352707</v>
    <v>7700709</v>
    <v>4679535</v>
    <v>3764319</v>
    <v>2980681</v>
    <v>2966583</v>
    <v>3159064</v>
    <v>2350412</v>
    <v>2971483</v>
    <v>2438711</v>
    <v>1990575</v>
    <v>4606242</v>
    <v>2393374</v>
    <v>2957037</v>
    <v>1747576</v>
    <v>1849065</v>
    <v>1679729</v>
    <v>2027084</v>
    <v>2565442</v>
    <v>2160918</v>
    <v>5580839</v>
    <v>2939654</v>
    <v>2633729</v>
    <v>2381667</v>
    <v>2647804</v>
    <v>2398094</v>
    <v>3967273</v>
    <v>1988140</v>
    <v>3146778</v>
    <v>1874199</v>
    <v>2019552</v>
    <v>1628040</v>
    <v>1809352</v>
    <v>1340284</v>
    <v>1643123</v>
    <v>1956037</v>
    <v>1648726</v>
    <v>2719341</v>
    <v>2296149</v>
    <v>1442072</v>
    <v>2125960</v>
    <v>2066794</v>
    <v>2029453</v>
    <v>2336431</v>
    <v>2258815</v>
    <v>1977005</v>
    <v>2681544</v>
    <v>2847614</v>
    <v>3045405</v>
    <v>3235751</v>
    <v>3076335</v>
    <v>3024621</v>
    <v>4333070</v>
    <v>9388976</v>
    <v>5333310</v>
    <v>4858606</v>
    <v>7655031</v>
    <v>14827775</v>
    <v>10136608</v>
    <v>4552300</v>
    <v>3316716</v>
    <v>4922963</v>
    <v>3363787</v>
    <v>2228354</v>
    <v>2295953</v>
    <v>2568588</v>
    <v>3447085</v>
    <v>2775436</v>
    <v>3138750</v>
    <v>3738865</v>
    <v>4405216</v>
    <v>4571646</v>
    <v>3347757</v>
    <v>3848810</v>
    <v>8384719</v>
    <v>3271629</v>
    <v>2729181</v>
    <v>2421943</v>
    <v>5060878</v>
    <v>2562427</v>
    <v>2591633</v>
    <v>3337193</v>
    <v>3485479</v>
    <v>2866441</v>
    <v>3260646</v>
    <v>2645791</v>
    <v>2356081</v>
    <v>2072267</v>
    <v>1778852</v>
    <v>2268598</v>
    <v>2207732</v>
    <v>1997311</v>
    <v>2477193</v>
    <v>2545341</v>
    <v>2743665</v>
    <v>3359025</v>
    <v>2338722</v>
    <v>2959247</v>
    <v>2214948</v>
    <v>3297159</v>
    <v>2476269</v>
    <v>7888418</v>
    <v>5035284</v>
    <v>2640955</v>
    <v>2367248</v>
    <v>3085281</v>
    <v>2011152</v>
    <v>1337379</v>
    <v>2552439</v>
    <v>2145302</v>
    <v>2426798</v>
    <v>2060211</v>
    <v>2131555</v>
    <v>1872481</v>
    <v>3701909</v>
    <v>2692585</v>
    <v>1285470</v>
    <v>2700933</v>
    <v>2028253</v>
    <v>2047877</v>
    <v>1801992</v>
    <v>1678217</v>
    <v>2648276</v>
    <v>3160763</v>
    <v>11709425</v>
    <v>7554228</v>
    <v>3369453</v>
    <v>2131743</v>
    <v>2617540</v>
    <v>2197996</v>
    <v>2228688</v>
    <v>2279286</v>
    <v>2519811</v>
    <v>3040116</v>
    <v>2306684</v>
    <v>3550583</v>
    <v>3052938</v>
    <v>2228198</v>
    <v>2099325</v>
    <v>1812340</v>
    <v>1907293</v>
    <v>1970870</v>
    <v>2993915</v>
    <v>2854242</v>
    <v>3146220</v>
    <v>2666469</v>
    <v>2909911</v>
    <v>3227168</v>
    <v>2487944</v>
    <v>2927791</v>
    <v>1772988</v>
    <v>1878437</v>
    <v>2026295</v>
    <v>2404144</v>
    <v>1662063</v>
    <v>2733867</v>
    <v>1753914</v>
    <v>2786504</v>
    <v>2320295</v>
    <v>3884198</v>
    <v>1900722</v>
    <v>2328889</v>
    <v>2813654</v>
    <v>2602126</v>
    <v>2340622</v>
    <v>2451235</v>
    <v>2344638</v>
    <v>4338960</v>
    <v>3128009</v>
    <v>3223701</v>
    <v>2604001</v>
    <v>2107015</v>
    <v>1978512</v>
    <v>1917722</v>
    <v>2138449</v>
    <v>2653902</v>
    <v>2400572</v>
    <v>2472122</v>
    <v>2277542</v>
    <v>4475854</v>
    <v>3350883</v>
    <v>3266734</v>
    <v>4034809</v>
    <v>17603088</v>
    <v>6270950</v>
    <v>2343631</v>
    <v>4056672</v>
    <v>4073590</v>
    <v>6200976</v>
    <v>3357711</v>
    <v>2693267</v>
    <v>3812254</v>
    <v>3617471</v>
    <v>3710062</v>
    <v>3105907</v>
    <v>2443095</v>
    <v>2801076</v>
    <v>3229654</v>
    <v>4318304</v>
    <v>3623330</v>
    <v>4094817</v>
    <v>2312218</v>
    <v>2322663</v>
    <v>1811002</v>
    <v>2067882</v>
    <v>1422319</v>
    <v>1560106</v>
    <v>1694784</v>
    <v>1606721</v>
    <v>1397157</v>
    <v>2542157</v>
    <v>1937324</v>
    <v>2122363</v>
    <v>1706325</v>
    <v>1796534</v>
    <v>1555011</v>
    <v>2899027</v>
    <v>2584248</v>
    <v>1739039</v>
    <v>2092903</v>
    <v>2172735</v>
    <v>1880923</v>
    <v>2417257</v>
    <v>2266546</v>
    <v>2050635</v>
    <v>2645670</v>
    <v>1442786</v>
    <v>1986394</v>
    <v>2462792</v>
    <v>2787741</v>
    <v>2689709</v>
    <v>2893264</v>
    <v>1428042</v>
    <v>1682659</v>
    <v>1966733</v>
    <v>1291058</v>
    <v>1273411</v>
    <v>1639693</v>
    <v>1580025</v>
    <v>2123452</v>
    <v>1908002</v>
    <v>1394494</v>
    <v>2307366</v>
    <v>1860254</v>
    <v>2905102</v>
    <v>1743991</v>
    <v>2461046</v>
    <v>3333023</v>
    <v>2387536</v>
    <v>3240996</v>
    <v>5525968</v>
    <v>3028028</v>
    <v>2503875</v>
    <v>1889410</v>
    <v>2018710</v>
    <v>2051377</v>
    <v>2172167</v>
    <v>3794757</v>
    <v>3326835</v>
    <v>3135353</v>
    <v>2949823</v>
    <v>7806082</v>
    <v>3113285</v>
    <v>3634204</v>
    <v>2522364</v>
    <v>2161073</v>
    <v>1603996</v>
    <v>2021854</v>
    <v>2022295</v>
    <v>2026969</v>
    <v>1588359</v>
    <v>2621806</v>
    <v>2220825</v>
    <v>2178320</v>
    <v>2529892</v>
    <v>1791260</v>
    <v>2074202</v>
    <v>2334813</v>
    <v>1945054</v>
    <v>1868998</v>
    <v>1737321</v>
    <v>1541718</v>
    <v>1965987</v>
    <v>2068026</v>
    <v>1906670</v>
    <v>1686487</v>
    <v>1844430</v>
    <v>2061277</v>
    <v>1868131</v>
    <v>1683075</v>
    <v>1645639</v>
    <v>1985137</v>
    <v>1431078</v>
    <v>1662897</v>
    <v>1658906</v>
    <v>1383855</v>
    <v>1645697</v>
    <v>1808813</v>
    <v>1401068</v>
    <v>2153231</v>
    <v>2147283</v>
    <v>2800865</v>
    <v>2480859</v>
    <v>2541440</v>
    <v>2048666</v>
    <v>3444939</v>
    <v>2941449</v>
    <v>2526158</v>
    <v>3316702</v>
    <v>6052792</v>
    <v>4690551</v>
    <v>3303018</v>
    <v>4305185</v>
    <v>2343891</v>
    <v>2522260</v>
    <v>1910334</v>
    <v>2254134</v>
    <v>2016727</v>
    <v>2221211</v>
    <v>2595053</v>
    <v>2044158</v>
    <v>2690097</v>
    <v>2274576</v>
    <v>2585371</v>
    <v>6435115</v>
    <v>2157149</v>
    <v>1672722</v>
    <v>1342284</v>
    <v>2807724</v>
    <v>2448678</v>
    <v>2568460</v>
    <v>2121749</v>
    <v>1719934</v>
    <v>2387029</v>
    <v>1359980</v>
    <v>2274094</v>
    <v>3145889</v>
    <v>2749405</v>
    <v>1578758</v>
    <v>1633069</v>
    <v>1602866</v>
    <v>1606465</v>
    <v>1342627</v>
    <v>1777265</v>
    <v>2662264</v>
    <v>2485573</v>
    <v>1516190</v>
    <v>1500122</v>
    <v>2618941</v>
    <v>1758119</v>
    <v>1500358</v>
    <v>1685488</v>
    <v>1893961</v>
    <v>2349543</v>
    <v>1958219</v>
    <v>1757899</v>
    <v>1877066</v>
    <v>2054542</v>
    <v>1595278</v>
    <v>1972694</v>
    <v>1560946</v>
    <v>1980128</v>
    <v>1494231</v>
    <v>1259955</v>
    <v>2037913</v>
    <v>2104539</v>
    <v>1548689</v>
    <v>1645341</v>
    <v>1458325</v>
    <v>3612718</v>
    <v>2904871</v>
    <v>2068425</v>
    <v>2414263</v>
    <v>4469578</v>
    <v>7571198</v>
    <v>3055055</v>
    <v>3089511</v>
    <v>2610045</v>
    <v>2364875</v>
    <v>2452307</v>
    <v>2767877</v>
    <v>1631440</v>
    <v>2156455</v>
    <v>1411407</v>
    <v>1433446</v>
    <v>1992278</v>
    <v>2463072</v>
    <v>1788334</v>
    <v>2137259</v>
    <v>1912749</v>
    <v>2288773</v>
    <v>2319364</v>
    <v>1923616</v>
    <v>2185779</v>
    <v>1939042</v>
    <v>1364461</v>
    <v>1926173</v>
    <v>2143536</v>
    <v>1875008</v>
    <v>2334074</v>
    <v>1827653</v>
    <v>2256327</v>
    <v>2052215</v>
    <v>2167511</v>
    <v>1659027</v>
    <v>1910946</v>
    <v>2047661</v>
    <v>1760483</v>
    <v>1650727</v>
    <v>1999831</v>
    <v>2803060</v>
    <v>1903854</v>
    <v>1893150</v>
    <v>1667277</v>
    <v>1833462</v>
    <v>2080712</v>
    <v>2223287</v>
    <v>1891226</v>
    <v>2982813</v>
    <v>1989814</v>
    <v>2195162</v>
    <v>2010108</v>
    <v>2539345</v>
    <v>2791231</v>
    <v>3205441</v>
    <v>2177148</v>
    <v>2575487</v>
    <v>2372336</v>
    <v>3889547</v>
    <v>5425080</v>
    <v>4205359</v>
    <v>4317345</v>
    <v>5177241</v>
    <v>8199617</v>
    <v>3632286</v>
    <v>1701461</v>
    <v>3034966</v>
    <v>2951510</v>
    <v>2775376</v>
    <v>4275567</v>
    <v>3064919</v>
    <v>2916355</v>
    <v>2759624</v>
    <v>2595081</v>
    <v>2824687</v>
    <v>2834089</v>
    <v>3109647</v>
    <v>2411646</v>
    <v>4435983</v>
    <v>6269625</v>
    <v>6057220</v>
    <v>2397791</v>
    <v>2272939</v>
    <v>2448020</v>
    <v>1800207</v>
    <v>2100128</v>
    <v>2505494</v>
    <v>1497122</v>
    <v>1470505</v>
    <v>1834659</v>
    <v>3204355</v>
    <v>2116757</v>
    <v>1890479</v>
    <v>3027244</v>
    <v>2346177</v>
    <v>2653052</v>
    <v>1757330</v>
    <v>2447829</v>
    <v>2383499</v>
    <v>2970784</v>
    <v>2364018</v>
    <v>2296548</v>
    <v>2219189</v>
    <v>3636600</v>
    <v>2492258</v>
    <v>1917933</v>
    <v>3480462</v>
    <v>1973209</v>
    <v>3007842</v>
    <v>2442198</v>
    <v>9978894</v>
    <v>2374540</v>
    <v>2399692</v>
    <v>1859737</v>
    <v>1683703</v>
    <v>2014542</v>
    <v>1877548</v>
    <v>1532922</v>
    <v>2578000</v>
    <v>2719718</v>
    <v>2427051</v>
    <v>1873775</v>
    <v>1919827</v>
    <v>3180286</v>
    <v>1821385</v>
    <v>1791427</v>
    <v>1896013</v>
    <v>2426458</v>
    <v>3756633</v>
    <v>4756157</v>
    <v>9020668</v>
    <v>4911827</v>
    <v>4453154</v>
    <v>5229209</v>
    <v>4223568</v>
    <v>2773306</v>
    <v>3295879</v>
    <v>2455982</v>
    <v>2825079</v>
    <v>2517646</v>
    <v>2685623</v>
    <v>8646933</v>
    <v>3451755</v>
    <v>3597175</v>
    <v>4083792</v>
    <v>4898114</v>
    <v>4950015</v>
    <v>2813711</v>
    <v>2106669</v>
    <v>3906812</v>
    <v>2571276</v>
    <v>1888154</v>
    <v>2020327</v>
    <v>2063047</v>
    <v>2252673</v>
    <v>1680105</v>
    <v>2444284</v>
    <v>3370902</v>
    <v>4456723</v>
    <v>2461609</v>
    <v>2710637</v>
    <v>3084696</v>
    <v>3936727</v>
    <v>2307495</v>
    <v>1659918</v>
    <v>1368396</v>
    <v>2504837</v>
    <v>2412086</v>
    <v>3495043</v>
    <v>1857831</v>
    <v>2125289</v>
    <v>1859109</v>
    <v>3431131</v>
    <v>2466362</v>
    <v>1894227</v>
    <v>2058529</v>
    <v>2066164</v>
    <v>2615337</v>
    <v>1699674</v>
    <v>1284035</v>
    <v>1415230</v>
    <v>2108493</v>
    <v>2443671</v>
    <v>2412304</v>
    <v>2208820</v>
    <v>1603929</v>
    <v>2399797</v>
    <v>2452591</v>
    <v>4399403</v>
    <v>2247724</v>
    <v>2983427</v>
    <v>3371285</v>
    <v>5764428</v>
    <v>13938443</v>
    <v>9814637</v>
    <v>9941070</v>
    <v>4427667</v>
    <v>3443226</v>
    <v>2883789</v>
    <v>2380483</v>
    <v>3247564</v>
    <v>2331928</v>
    <v>2674062</v>
    <v>2944188</v>
    <v>2857587</v>
    <v>5237664</v>
    <v>5575901</v>
    <v>3586551</v>
    <v>7165835</v>
    <v>2308871</v>
    <v>3942141</v>
    <v>3970071</v>
    <v>2392820</v>
    <v>3627853</v>
    <v>2571900</v>
    <v>3112437</v>
    <v>1471263</v>
    <v>3627790</v>
    <v>4763097</v>
    <v>3608898</v>
    <v>3623267</v>
    <v>2738426</v>
    <v>2423799</v>
    <v>2442128</v>
    <v>2590056</v>
    <v>3977372</v>
    <v>3610439</v>
    <v>3024049</v>
    <v>3756922</v>
    <v>2589706</v>
    <v>2586525</v>
    <v>1823888</v>
    <v>1734759</v>
    <v>2973776</v>
    <v>2326480</v>
    <v>5801862</v>
    <v>2521174</v>
    <v>2875392</v>
    <v>3048361</v>
    <v>2871855</v>
    <v>2055702</v>
    <v>1688543</v>
    <v>1679514</v>
    <v>2493329</v>
    <v>2111552</v>
    <v>1403600</v>
    <v>2300821</v>
    <v>1919730</v>
    <v>1464097</v>
    <v>1193675</v>
    <v>1902262</v>
    <v>2184244</v>
    <v>2067168</v>
    <v>3658613</v>
    <v>2838897</v>
    <v>4293729</v>
    <v>12091229</v>
    <v>5553076</v>
    <v>3501366</v>
    <v>3301861</v>
    <v>1965398</v>
    <v>2463218</v>
    <v>3263725</v>
    <v>3651746</v>
    <v>3063175</v>
    <v>1957358</v>
    <v>1942976</v>
    <v>2617815</v>
    <v>2128074</v>
    <v>2319243</v>
    <v>2897367</v>
    <v>3241760</v>
    <v>2079147</v>
    <v>2047249</v>
    <v>2147002</v>
    <v>2839739</v>
    <v>4033504</v>
    <v>2807317</v>
    <v>2375673</v>
    <v>1782655</v>
    <v>3608278</v>
    <v>2171504</v>
    <v>3012531</v>
    <v>1988663</v>
    <v>1689926</v>
    <v>1981153</v>
    <v>2137664</v>
    <v>2321480</v>
    <v>2369590</v>
    <v>2454411</v>
    <v>2392945</v>
    <v>1864675</v>
    <v>2323444</v>
    <v>2032925</v>
    <v>1500828</v>
    <v>1324498</v>
    <v>2023236</v>
    <v>2197779</v>
    <v>3407992</v>
    <v>2201720</v>
    <v>2670412</v>
    <v>1975668</v>
    <v>2585508</v>
    <v>2260635</v>
    <v>4943185</v>
    <v>2453515</v>
    <v>2631707</v>
    <v>2609217</v>
    <v>2773637</v>
    <v>2452045</v>
    <v>2669920</v>
    <v>3766490</v>
    <v>3501453</v>
    <v>2880064</v>
    <v>4051926</v>
    <v>3295315</v>
    <v>4553058</v>
    <v>8716813</v>
    <v>10598099</v>
    <v>4011994</v>
    <v>2411691</v>
    <v>4253229</v>
    <v>3994057</v>
    <v>3654550</v>
    <v>2873639</v>
    <v>3295477</v>
    <v>3610059</v>
    <v>5305718</v>
    <v>2892907</v>
    <v>2829171</v>
    <v>2238124</v>
    <v>4909704</v>
    <v>2619209</v>
    <v>3440848</v>
    <v>2854133</v>
    <v>5213777</v>
    <v>2049240</v>
    <v>1025004</v>
    <v>2630185</v>
    <v>1773835</v>
    <v>2045336</v>
    <v>1962207</v>
    <v>1758597</v>
    <v>3413240</v>
    <v>2804864</v>
    <v>1921041</v>
    <v>2208013</v>
    <v>2139404</v>
    <v>2756651</v>
    <v>1943132</v>
    <v>2429231</v>
    <v>2354483</v>
    <v>2975015</v>
    <v>2713743</v>
    <v>1742835</v>
    <v>1863082</v>
    <v>2082789</v>
    <v>2453901</v>
    <v>2770709</v>
    <v>2116619</v>
    <v>2236192</v>
    <v>2864032</v>
    <v>3879280</v>
    <v>2454073</v>
    <v>2181099</v>
    <v>1640781</v>
    <v>2805409</v>
    <v>3053385</v>
    <v>2028606</v>
    <v>1874166</v>
    <v>1699749</v>
    <v>2721439</v>
    <v>3397502</v>
    <v>2284443</v>
    <v>3452746</v>
    <v>2728111</v>
    <v>2676955</v>
    <v>2992780</v>
    <v>1990846</v>
    <v>3213885</v>
    <v>3352779</v>
    <v>4065806</v>
    <v>14831570</v>
    <v>5763989</v>
    <v>4627735</v>
    <v>3116617</v>
    <v>3257997</v>
    <v>4017983</v>
    <v>4249632</v>
    <v>3387319</v>
    <v>4177086</v>
    <v>4399374</v>
    <v>2396896</v>
    <v>2489090</v>
    <v>2664750</v>
    <v>6849589</v>
    <v>3256081</v>
    <v>2310817</v>
    <v>2398276</v>
    <v>2327613</v>
    <v>2547781</v>
    <v>3529034</v>
    <v>2346605</v>
    <v>2160669</v>
    <v>10734600</v>
    <v>8429559</v>
    <v>9968218</v>
    <v>7836984</v>
    <v>12482549</v>
    <v>7115385</v>
    <v>5163791</v>
    <v>9499282</v>
    <v>4036810</v>
    <v>3158071</v>
    <v>3862549</v>
    <v>3088529</v>
    <v>4699347</v>
    <v>4941709</v>
    <v>3671655</v>
    <v>5171811</v>
    <v>3462329</v>
    <v>2453212</v>
    <v>3534901</v>
    <v>2596273</v>
    <v>3315535</v>
    <v>2103699</v>
    <v>2235821</v>
    <v>2983545</v>
    <v>2519304</v>
    <v>1881824</v>
    <v>5019260</v>
    <v>2935706</v>
    <v>3529120</v>
    <v>2148487</v>
    <v>2137780</v>
    <v>3356691</v>
    <v>4254566</v>
    <v>3541131</v>
    <v>3125242</v>
    <v>3591184</v>
    <v>3619872</v>
    <v>4761970</v>
    <v>11678831</v>
    <v>6442231</v>
    <v>4785817</v>
    <v>4007423</v>
    <v>2496318</v>
    <v>3325544</v>
    <v>3845723</v>
    <v>4425001</v>
    <v>4247307</v>
    <v>3485708</v>
    <v>2455931</v>
    <v>2916820</v>
    <v>2989265</v>
    <v>4375057</v>
    <v>2799138</v>
    <v>5188012</v>
    <v>3985173</v>
    <v>4386404</v>
    <v>2837641</v>
    <v>2148147</v>
    <v>4742994</v>
    <v>3711762</v>
    <v>5341174</v>
    <v>3687538</v>
    <v>1784955</v>
    <v>4196100</v>
    <v>3915112</v>
    <v>2800133</v>
    <v>3650413</v>
    <v>3039934</v>
    <v>4043414</v>
    <v>3330113</v>
    <v>4335237</v>
    <v>3058857</v>
    <v>3540311</v>
    <v>4405273</v>
    <v>3466748</v>
    <v>4195981</v>
    <v>3232534</v>
    <v>2553494</v>
    <v>2443416</v>
    <v>3172012</v>
    <v>3284753</v>
    <v>3149417</v>
    <v>3189002</v>
    <v>2822761</v>
    <v>2047188</v>
    <v>3191200</v>
    <v>2135740</v>
    <v>2441579</v>
    <v>2862507</v>
    <v>3175822</v>
    <v>3560266</v>
    <v>2650595</v>
    <v>2297460</v>
    <v>3490228</v>
    <v>5736079</v>
    <v>2593810</v>
    <v>2805932</v>
    <v>4186390</v>
    <v>3488389</v>
    <v>4830535</v>
    <v>4001492</v>
    <v>9369590</v>
    <v>4436377</v>
    <v>4838981</v>
    <v>3391157</v>
    <v>4477624</v>
    <v>2870902</v>
    <v>3770910</v>
    <v>2842242</v>
    <v>2858486</v>
    <v>2720782</v>
    <v>2140315</v>
    <v>2713670</v>
    <v>2708463</v>
    <v>4525611</v>
    <v>4474502</v>
    <v>5600585</v>
    <v>3626658</v>
    <v>3342143</v>
    <v>3169627</v>
    <v>3022967</v>
    <v>3016274</v>
    <v>2683873</v>
    <v>2265503</v>
    <v>3139722</v>
    <v>2533218</v>
    <v>2172647</v>
    <v>3043621</v>
    <v>2348713</v>
    <v>2555694</v>
    <v>2337872</v>
    <v>4963257</v>
    <v>4981619</v>
    <v>4214578</v>
    <v>3292265</v>
    <v>3189188</v>
    <v>2332086</v>
    <v>4272929</v>
    <v>3971215</v>
    <v>2896874</v>
    <v>2055376</v>
    <v>3804914</v>
    <v>5060899</v>
    <v>4529359</v>
    <v>3640120</v>
    <v>2490473</v>
    <v>3305692</v>
    <v>3287599</v>
    <v>4082827</v>
    <v>3327665</v>
    <v>2330237</v>
    <v>3130859</v>
    <v>3036126</v>
    <v>2658020</v>
    <v>2232216</v>
    <v>3566029</v>
    <v>2601058</v>
    <v>3195148</v>
    <v>3248228</v>
    <v>3316499</v>
    <v>3017265</v>
    <v>4072702</v>
    <v>7166147</v>
    <v>7625390</v>
    <v>5607862</v>
  </a>
</arrayData>
</file>

<file path=xl/richData/rdrichvalue.xml><?xml version="1.0" encoding="utf-8"?>
<rvData xmlns="http://schemas.microsoft.com/office/spreadsheetml/2017/richdata" count="2375">
  <rv s="0">
    <fb>44162</fb>
    <v>0</v>
  </rv>
  <rv s="0">
    <fb>112.63</fb>
    <v>1</v>
  </rv>
  <rv s="0">
    <fb>44165</fb>
    <v>0</v>
  </rv>
  <rv s="0">
    <fb>108.8</fb>
    <v>1</v>
  </rv>
  <rv s="0">
    <fb>44166</fb>
    <v>0</v>
  </rv>
  <rv s="0">
    <fb>108.86</fb>
    <v>1</v>
  </rv>
  <rv s="0">
    <fb>44167</fb>
    <v>0</v>
  </rv>
  <rv s="0">
    <fb>107.47</fb>
    <v>1</v>
  </rv>
  <rv s="0">
    <fb>44168</fb>
    <v>0</v>
  </rv>
  <rv s="0">
    <fb>106.54</fb>
    <v>1</v>
  </rv>
  <rv s="0">
    <fb>44169</fb>
    <v>0</v>
  </rv>
  <rv s="0">
    <fb>105.57</fb>
    <v>1</v>
  </rv>
  <rv s="0">
    <fb>44172</fb>
    <v>0</v>
  </rv>
  <rv s="0">
    <fb>102.73</fb>
    <v>1</v>
  </rv>
  <rv s="0">
    <fb>44173</fb>
    <v>0</v>
  </rv>
  <rv s="0">
    <fb>102.99</fb>
    <v>1</v>
  </rv>
  <rv s="0">
    <fb>44174</fb>
    <v>0</v>
  </rv>
  <rv s="0">
    <fb>104.76</fb>
    <v>1</v>
  </rv>
  <rv s="0">
    <fb>44175</fb>
    <v>0</v>
  </rv>
  <rv s="0">
    <fb>103.03</fb>
    <v>1</v>
  </rv>
  <rv s="0">
    <fb>44176</fb>
    <v>0</v>
  </rv>
  <rv s="0">
    <fb>100.6</fb>
    <v>1</v>
  </rv>
  <rv s="0">
    <fb>44179</fb>
    <v>0</v>
  </rv>
  <rv s="0">
    <fb>101.28</fb>
    <v>1</v>
  </rv>
  <rv s="0">
    <fb>44180</fb>
    <v>0</v>
  </rv>
  <rv s="0">
    <fb>44181</fb>
    <v>0</v>
  </rv>
  <rv s="0">
    <fb>103.5</fb>
    <v>1</v>
  </rv>
  <rv s="0">
    <fb>44182</fb>
    <v>0</v>
  </rv>
  <rv s="0">
    <fb>102.34</fb>
    <v>1</v>
  </rv>
  <rv s="0">
    <fb>44183</fb>
    <v>0</v>
  </rv>
  <rv s="0">
    <fb>101.95</fb>
    <v>1</v>
  </rv>
  <rv s="0">
    <fb>44186</fb>
    <v>0</v>
  </rv>
  <rv s="0">
    <fb>103.3</fb>
    <v>1</v>
  </rv>
  <rv s="0">
    <fb>44187</fb>
    <v>0</v>
  </rv>
  <rv s="0">
    <fb>104.13</fb>
    <v>1</v>
  </rv>
  <rv s="0">
    <fb>44188</fb>
    <v>0</v>
  </rv>
  <rv s="0">
    <fb>44189</fb>
    <v>0</v>
  </rv>
  <rv s="0">
    <fb>102.55</fb>
    <v>1</v>
  </rv>
  <rv s="0">
    <fb>44193</fb>
    <v>0</v>
  </rv>
  <rv s="0">
    <fb>102.58</fb>
    <v>1</v>
  </rv>
  <rv s="0">
    <fb>44194</fb>
    <v>0</v>
  </rv>
  <rv s="0">
    <fb>100.76</fb>
    <v>1</v>
  </rv>
  <rv s="0">
    <fb>44195</fb>
    <v>0</v>
  </rv>
  <rv s="0">
    <fb>101.38</fb>
    <v>1</v>
  </rv>
  <rv s="0">
    <fb>44196</fb>
    <v>0</v>
  </rv>
  <rv s="0">
    <fb>99.79</fb>
    <v>1</v>
  </rv>
  <rv s="0">
    <fb>44200</fb>
    <v>0</v>
  </rv>
  <rv s="0">
    <fb>100.49</fb>
    <v>1</v>
  </rv>
  <rv s="0">
    <fb>44201</fb>
    <v>0</v>
  </rv>
  <rv s="0">
    <fb>101</fb>
    <v>1</v>
  </rv>
  <rv s="0">
    <fb>44202</fb>
    <v>0</v>
  </rv>
  <rv s="0">
    <fb>105.91</fb>
    <v>1</v>
  </rv>
  <rv s="0">
    <fb>44203</fb>
    <v>0</v>
  </rv>
  <rv s="0">
    <fb>107.71</fb>
    <v>1</v>
  </rv>
  <rv s="0">
    <fb>44204</fb>
    <v>0</v>
  </rv>
  <rv s="0">
    <fb>107.57</fb>
    <v>1</v>
  </rv>
  <rv s="0">
    <fb>44207</fb>
    <v>0</v>
  </rv>
  <rv s="0">
    <fb>110.78</fb>
    <v>1</v>
  </rv>
  <rv s="0">
    <fb>44208</fb>
    <v>0</v>
  </rv>
  <rv s="0">
    <fb>114.71</fb>
    <v>1</v>
  </rv>
  <rv s="0">
    <fb>44209</fb>
    <v>0</v>
  </rv>
  <rv s="0">
    <fb>113.22</fb>
    <v>1</v>
  </rv>
  <rv s="0">
    <fb>44210</fb>
    <v>0</v>
  </rv>
  <rv s="0">
    <fb>113.92</fb>
    <v>1</v>
  </rv>
  <rv s="0">
    <fb>44211</fb>
    <v>0</v>
  </rv>
  <rv s="0">
    <fb>114</fb>
    <v>1</v>
  </rv>
  <rv s="0">
    <fb>44215</fb>
    <v>0</v>
  </rv>
  <rv s="0">
    <fb>111.62</fb>
    <v>1</v>
  </rv>
  <rv s="0">
    <fb>44216</fb>
    <v>0</v>
  </rv>
  <rv s="0">
    <fb>112.23</fb>
    <v>1</v>
  </rv>
  <rv s="0">
    <fb>44217</fb>
    <v>0</v>
  </rv>
  <rv s="0">
    <fb>114.5</fb>
    <v>1</v>
  </rv>
  <rv s="0">
    <fb>44218</fb>
    <v>0</v>
  </rv>
  <rv s="0">
    <fb>114.93</fb>
    <v>1</v>
  </rv>
  <rv s="0">
    <fb>44221</fb>
    <v>0</v>
  </rv>
  <rv s="0">
    <fb>113.74</fb>
    <v>1</v>
  </rv>
  <rv s="0">
    <fb>44222</fb>
    <v>0</v>
  </rv>
  <rv s="0">
    <fb>114.7</fb>
    <v>1</v>
  </rv>
  <rv s="0">
    <fb>44223</fb>
    <v>0</v>
  </rv>
  <rv s="0">
    <fb>113.57</fb>
    <v>1</v>
  </rv>
  <rv s="0">
    <fb>44224</fb>
    <v>0</v>
  </rv>
  <rv s="0">
    <fb>112.31</fb>
    <v>1</v>
  </rv>
  <rv s="0">
    <fb>44225</fb>
    <v>0</v>
  </rv>
  <rv s="0">
    <fb>108.82</fb>
    <v>1</v>
  </rv>
  <rv s="0">
    <fb>44228</fb>
    <v>0</v>
  </rv>
  <rv s="0">
    <fb>107.69</fb>
    <v>1</v>
  </rv>
  <rv s="0">
    <fb>44229</fb>
    <v>0</v>
  </rv>
  <rv s="0">
    <fb>108.78</fb>
    <v>1</v>
  </rv>
  <rv s="0">
    <fb>44230</fb>
    <v>0</v>
  </rv>
  <rv s="0">
    <fb>110.32</fb>
    <v>1</v>
  </rv>
  <rv s="0">
    <fb>44231</fb>
    <v>0</v>
  </rv>
  <rv s="0">
    <fb>113.84</fb>
    <v>1</v>
  </rv>
  <rv s="0">
    <fb>44232</fb>
    <v>0</v>
  </rv>
  <rv s="0">
    <fb>114.53</fb>
    <v>1</v>
  </rv>
  <rv s="0">
    <fb>44235</fb>
    <v>0</v>
  </rv>
  <rv s="0">
    <fb>117.9</fb>
    <v>1</v>
  </rv>
  <rv s="0">
    <fb>44236</fb>
    <v>0</v>
  </rv>
  <rv s="0">
    <fb>118.46</fb>
    <v>1</v>
  </rv>
  <rv s="0">
    <fb>44237</fb>
    <v>0</v>
  </rv>
  <rv s="0">
    <fb>118.81</fb>
    <v>1</v>
  </rv>
  <rv s="0">
    <fb>44238</fb>
    <v>0</v>
  </rv>
  <rv s="0">
    <fb>119.59</fb>
    <v>1</v>
  </rv>
  <rv s="0">
    <fb>44239</fb>
    <v>0</v>
  </rv>
  <rv s="0">
    <fb>120.51</fb>
    <v>1</v>
  </rv>
  <rv s="0">
    <fb>44243</fb>
    <v>0</v>
  </rv>
  <rv s="0">
    <fb>120.75</fb>
    <v>1</v>
  </rv>
  <rv s="0">
    <fb>44244</fb>
    <v>0</v>
  </rv>
  <rv s="0">
    <fb>118.34</fb>
    <v>1</v>
  </rv>
  <rv s="0">
    <fb>44245</fb>
    <v>0</v>
  </rv>
  <rv s="0">
    <fb>116.76</fb>
    <v>1</v>
  </rv>
  <rv s="0">
    <fb>44246</fb>
    <v>0</v>
  </rv>
  <rv s="0">
    <fb>118</fb>
    <v>1</v>
  </rv>
  <rv s="0">
    <fb>44249</fb>
    <v>0</v>
  </rv>
  <rv s="0">
    <fb>116.73</fb>
    <v>1</v>
  </rv>
  <rv s="0">
    <fb>44250</fb>
    <v>0</v>
  </rv>
  <rv s="0">
    <fb>115.5</fb>
    <v>1</v>
  </rv>
  <rv s="0">
    <fb>44251</fb>
    <v>0</v>
  </rv>
  <rv s="0">
    <fb>113.46</fb>
    <v>1</v>
  </rv>
  <rv s="0">
    <fb>44252</fb>
    <v>0</v>
  </rv>
  <rv s="0">
    <fb>102.94</fb>
    <v>1</v>
  </rv>
  <rv s="0">
    <fb>44253</fb>
    <v>0</v>
  </rv>
  <rv s="0">
    <fb>100.35</fb>
    <v>1</v>
  </rv>
  <rv s="0">
    <fb>44256</fb>
    <v>0</v>
  </rv>
  <rv s="0">
    <fb>101.69</fb>
    <v>1</v>
  </rv>
  <rv s="0">
    <fb>44257</fb>
    <v>0</v>
  </rv>
  <rv s="0">
    <fb>102.52</fb>
    <v>1</v>
  </rv>
  <rv s="0">
    <fb>44258</fb>
    <v>0</v>
  </rv>
  <rv s="0">
    <fb>100.37</fb>
    <v>1</v>
  </rv>
  <rv s="0">
    <fb>44259</fb>
    <v>0</v>
  </rv>
  <rv s="0">
    <fb>98.24</fb>
    <v>1</v>
  </rv>
  <rv s="0">
    <fb>44260</fb>
    <v>0</v>
  </rv>
  <rv s="0">
    <fb>102.85</fb>
    <v>1</v>
  </rv>
  <rv s="0">
    <fb>44263</fb>
    <v>0</v>
  </rv>
  <rv s="0">
    <fb>106.57</fb>
    <v>1</v>
  </rv>
  <rv s="0">
    <fb>44264</fb>
    <v>0</v>
  </rv>
  <rv s="0">
    <fb>105.82</fb>
    <v>1</v>
  </rv>
  <rv s="0">
    <fb>44265</fb>
    <v>0</v>
  </rv>
  <rv s="0">
    <fb>108.15</fb>
    <v>1</v>
  </rv>
  <rv s="0">
    <fb>44266</fb>
    <v>0</v>
  </rv>
  <rv s="0">
    <fb>108.58</fb>
    <v>1</v>
  </rv>
  <rv s="0">
    <fb>44267</fb>
    <v>0</v>
  </rv>
  <rv s="0">
    <fb>110.99</fb>
    <v>1</v>
  </rv>
  <rv s="0">
    <fb>44270</fb>
    <v>0</v>
  </rv>
  <rv s="0">
    <fb>44271</fb>
    <v>0</v>
  </rv>
  <rv s="0">
    <fb>113.45</fb>
    <v>1</v>
  </rv>
  <rv s="0">
    <fb>44272</fb>
    <v>0</v>
  </rv>
  <rv s="0">
    <fb>112.25</fb>
    <v>1</v>
  </rv>
  <rv s="0">
    <fb>44273</fb>
    <v>0</v>
  </rv>
  <rv s="0">
    <fb>113.38</fb>
    <v>1</v>
  </rv>
  <rv s="0">
    <fb>44274</fb>
    <v>0</v>
  </rv>
  <rv s="0">
    <fb>118.19</fb>
    <v>1</v>
  </rv>
  <rv s="0">
    <fb>44277</fb>
    <v>0</v>
  </rv>
  <rv s="0">
    <fb>120.96</fb>
    <v>1</v>
  </rv>
  <rv s="0">
    <fb>44278</fb>
    <v>0</v>
  </rv>
  <rv s="0">
    <fb>44279</fb>
    <v>0</v>
  </rv>
  <rv s="0">
    <fb>114.32</fb>
    <v>1</v>
  </rv>
  <rv s="0">
    <fb>44280</fb>
    <v>0</v>
  </rv>
  <rv s="0">
    <fb>116.18</fb>
    <v>1</v>
  </rv>
  <rv s="0">
    <fb>44281</fb>
    <v>0</v>
  </rv>
  <rv s="0">
    <fb>119.26</fb>
    <v>1</v>
  </rv>
  <rv s="0">
    <fb>44284</fb>
    <v>0</v>
  </rv>
  <rv s="0">
    <fb>114.8</fb>
    <v>1</v>
  </rv>
  <rv s="0">
    <fb>44285</fb>
    <v>0</v>
  </rv>
  <rv s="0">
    <fb>115.72</fb>
    <v>1</v>
  </rv>
  <rv s="0">
    <fb>44286</fb>
    <v>0</v>
  </rv>
  <rv s="0">
    <fb>114.81</fb>
    <v>1</v>
  </rv>
  <rv s="0">
    <fb>44287</fb>
    <v>0</v>
  </rv>
  <rv s="0">
    <fb>115.76</fb>
    <v>1</v>
  </rv>
  <rv s="0">
    <fb>44291</fb>
    <v>0</v>
  </rv>
  <rv s="0">
    <fb>117.99</fb>
    <v>1</v>
  </rv>
  <rv s="0">
    <fb>44292</fb>
    <v>0</v>
  </rv>
  <rv s="0">
    <fb>120.74</fb>
    <v>1</v>
  </rv>
  <rv s="0">
    <fb>44293</fb>
    <v>0</v>
  </rv>
  <rv s="0">
    <fb>120.59</fb>
    <v>1</v>
  </rv>
  <rv s="0">
    <fb>44294</fb>
    <v>0</v>
  </rv>
  <rv s="0">
    <fb>119.62</fb>
    <v>1</v>
  </rv>
  <rv s="0">
    <fb>44295</fb>
    <v>0</v>
  </rv>
  <rv s="0">
    <fb>122.48</fb>
    <v>1</v>
  </rv>
  <rv s="0">
    <fb>44298</fb>
    <v>0</v>
  </rv>
  <rv s="0">
    <fb>121.56</fb>
    <v>1</v>
  </rv>
  <rv s="0">
    <fb>44299</fb>
    <v>0</v>
  </rv>
  <rv s="0">
    <fb>120.82</fb>
    <v>1</v>
  </rv>
  <rv s="0">
    <fb>44300</fb>
    <v>0</v>
  </rv>
  <rv s="0">
    <fb>120.17</fb>
    <v>1</v>
  </rv>
  <rv s="0">
    <fb>44301</fb>
    <v>0</v>
  </rv>
  <rv s="0">
    <fb>119.3</fb>
    <v>1</v>
  </rv>
  <rv s="0">
    <fb>44302</fb>
    <v>0</v>
  </rv>
  <rv s="0">
    <fb>119.87</fb>
    <v>1</v>
  </rv>
  <rv s="0">
    <fb>44305</fb>
    <v>0</v>
  </rv>
  <rv s="0">
    <fb>118.84</fb>
    <v>1</v>
  </rv>
  <rv s="0">
    <fb>44306</fb>
    <v>0</v>
  </rv>
  <rv s="0">
    <fb>118.45</fb>
    <v>1</v>
  </rv>
  <rv s="0">
    <fb>44307</fb>
    <v>0</v>
  </rv>
  <rv s="0">
    <fb>118.97</fb>
    <v>1</v>
  </rv>
  <rv s="0">
    <fb>44308</fb>
    <v>0</v>
  </rv>
  <rv s="0">
    <fb>118.04</fb>
    <v>1</v>
  </rv>
  <rv s="0">
    <fb>44309</fb>
    <v>0</v>
  </rv>
  <rv s="0">
    <fb>117.74</fb>
    <v>1</v>
  </rv>
  <rv s="0">
    <fb>44312</fb>
    <v>0</v>
  </rv>
  <rv s="0">
    <fb>117.02</fb>
    <v>1</v>
  </rv>
  <rv s="0">
    <fb>44313</fb>
    <v>0</v>
  </rv>
  <rv s="0">
    <fb>118.35</fb>
    <v>1</v>
  </rv>
  <rv s="0">
    <fb>44314</fb>
    <v>0</v>
  </rv>
  <rv s="0">
    <fb>117.19</fb>
    <v>1</v>
  </rv>
  <rv s="0">
    <fb>44315</fb>
    <v>0</v>
  </rv>
  <rv s="0">
    <fb>118.29</fb>
    <v>1</v>
  </rv>
  <rv s="0">
    <fb>44316</fb>
    <v>0</v>
  </rv>
  <rv s="0">
    <fb>116.27</fb>
    <v>1</v>
  </rv>
  <rv s="0">
    <fb>44319</fb>
    <v>0</v>
  </rv>
  <rv s="0">
    <fb>117.47</fb>
    <v>1</v>
  </rv>
  <rv s="0">
    <fb>44320</fb>
    <v>0</v>
  </rv>
  <rv s="0">
    <fb>117.73</fb>
    <v>1</v>
  </rv>
  <rv s="0">
    <fb>44321</fb>
    <v>0</v>
  </rv>
  <rv s="0">
    <fb>116.38</fb>
    <v>1</v>
  </rv>
  <rv s="0">
    <fb>44322</fb>
    <v>0</v>
  </rv>
  <rv s="0">
    <fb>120.04</fb>
    <v>1</v>
  </rv>
  <rv s="0">
    <fb>44323</fb>
    <v>0</v>
  </rv>
  <rv s="0">
    <fb>122.34</fb>
    <v>1</v>
  </rv>
  <rv s="0">
    <fb>44326</fb>
    <v>0</v>
  </rv>
  <rv s="0">
    <fb>125.79</fb>
    <v>1</v>
  </rv>
  <rv s="0">
    <fb>44327</fb>
    <v>0</v>
  </rv>
  <rv s="0">
    <fb>121.67</fb>
    <v>1</v>
  </rv>
  <rv s="0">
    <fb>44328</fb>
    <v>0</v>
  </rv>
  <rv s="0">
    <fb>116.15</fb>
    <v>1</v>
  </rv>
  <rv s="0">
    <fb>44329</fb>
    <v>0</v>
  </rv>
  <rv s="0">
    <fb>119</fb>
    <v>1</v>
  </rv>
  <rv s="0">
    <fb>44330</fb>
    <v>0</v>
  </rv>
  <rv s="0">
    <fb>120.39</fb>
    <v>1</v>
  </rv>
  <rv s="0">
    <fb>44333</fb>
    <v>0</v>
  </rv>
  <rv s="0">
    <fb>120.11</fb>
    <v>1</v>
  </rv>
  <rv s="0">
    <fb>44334</fb>
    <v>0</v>
  </rv>
  <rv s="0">
    <fb>116.92</fb>
    <v>1</v>
  </rv>
  <rv s="0">
    <fb>44335</fb>
    <v>0</v>
  </rv>
  <rv s="0">
    <fb>113.69</fb>
    <v>1</v>
  </rv>
  <rv s="0">
    <fb>44336</fb>
    <v>0</v>
  </rv>
  <rv s="0">
    <fb>114.52</fb>
    <v>1</v>
  </rv>
  <rv s="0">
    <fb>44337</fb>
    <v>0</v>
  </rv>
  <rv s="0">
    <fb>44340</fb>
    <v>0</v>
  </rv>
  <rv s="0">
    <fb>44341</fb>
    <v>0</v>
  </rv>
  <rv s="0">
    <fb>114.42</fb>
    <v>1</v>
  </rv>
  <rv s="0">
    <fb>44342</fb>
    <v>0</v>
  </rv>
  <rv s="0">
    <fb>116.96</fb>
    <v>1</v>
  </rv>
  <rv s="0">
    <fb>44343</fb>
    <v>0</v>
  </rv>
  <rv s="0">
    <fb>118.14</fb>
    <v>1</v>
  </rv>
  <rv s="0">
    <fb>44344</fb>
    <v>0</v>
  </rv>
  <rv s="0">
    <fb>116.24</fb>
    <v>1</v>
  </rv>
  <rv s="0">
    <fb>44348</fb>
    <v>0</v>
  </rv>
  <rv s="0">
    <fb>114.9</fb>
    <v>1</v>
  </rv>
  <rv s="0">
    <fb>44349</fb>
    <v>0</v>
  </rv>
  <rv s="0">
    <fb>44350</fb>
    <v>0</v>
  </rv>
  <rv s="0">
    <fb>115.56</fb>
    <v>1</v>
  </rv>
  <rv s="0">
    <fb>44351</fb>
    <v>0</v>
  </rv>
  <rv s="0">
    <fb>115.99</fb>
    <v>1</v>
  </rv>
  <rv s="0">
    <fb>44354</fb>
    <v>0</v>
  </rv>
  <rv s="0">
    <fb>117.1</fb>
    <v>1</v>
  </rv>
  <rv s="0">
    <fb>44355</fb>
    <v>0</v>
  </rv>
  <rv s="0">
    <fb>118.22</fb>
    <v>1</v>
  </rv>
  <rv s="0">
    <fb>44356</fb>
    <v>0</v>
  </rv>
  <rv s="0">
    <fb>114.99</fb>
    <v>1</v>
  </rv>
  <rv s="0">
    <fb>44357</fb>
    <v>0</v>
  </rv>
  <rv s="0">
    <fb>112.54</fb>
    <v>1</v>
  </rv>
  <rv s="0">
    <fb>44358</fb>
    <v>0</v>
  </rv>
  <rv s="0">
    <fb>114.45</fb>
    <v>1</v>
  </rv>
  <rv s="0">
    <fb>44361</fb>
    <v>0</v>
  </rv>
  <rv s="0">
    <fb>114.03</fb>
    <v>1</v>
  </rv>
  <rv s="0">
    <fb>44362</fb>
    <v>0</v>
  </rv>
  <rv s="0">
    <fb>113.26</fb>
    <v>1</v>
  </rv>
  <rv s="0">
    <fb>44363</fb>
    <v>0</v>
  </rv>
  <rv s="0">
    <fb>109.9</fb>
    <v>1</v>
  </rv>
  <rv s="0">
    <fb>44364</fb>
    <v>0</v>
  </rv>
  <rv s="0">
    <fb>109.5</fb>
    <v>1</v>
  </rv>
  <rv s="0">
    <fb>44365</fb>
    <v>0</v>
  </rv>
  <rv s="0">
    <fb>107.63</fb>
    <v>1</v>
  </rv>
  <rv s="0">
    <fb>44368</fb>
    <v>0</v>
  </rv>
  <rv s="0">
    <fb>108.68</fb>
    <v>1</v>
  </rv>
  <rv s="0">
    <fb>44369</fb>
    <v>0</v>
  </rv>
  <rv s="0">
    <fb>111.04</fb>
    <v>1</v>
  </rv>
  <rv s="0">
    <fb>44370</fb>
    <v>0</v>
  </rv>
  <rv s="0">
    <fb>111.25</fb>
    <v>1</v>
  </rv>
  <rv s="0">
    <fb>44371</fb>
    <v>0</v>
  </rv>
  <rv s="0">
    <fb>111.38</fb>
    <v>1</v>
  </rv>
  <rv s="0">
    <fb>44372</fb>
    <v>0</v>
  </rv>
  <rv s="0">
    <fb>113.05</fb>
    <v>1</v>
  </rv>
  <rv s="0">
    <fb>44375</fb>
    <v>0</v>
  </rv>
  <rv s="0">
    <fb>114.83</fb>
    <v>1</v>
  </rv>
  <rv s="0">
    <fb>44376</fb>
    <v>0</v>
  </rv>
  <rv s="0">
    <fb>114.97</fb>
    <v>1</v>
  </rv>
  <rv s="0">
    <fb>44377</fb>
    <v>0</v>
  </rv>
  <rv s="0">
    <fb>114.98</fb>
    <v>1</v>
  </rv>
  <rv s="0">
    <fb>44378</fb>
    <v>0</v>
  </rv>
  <rv s="0">
    <fb>116.37</fb>
    <v>1</v>
  </rv>
  <rv s="0">
    <fb>44379</fb>
    <v>0</v>
  </rv>
  <rv s="0">
    <fb>115.65</fb>
    <v>1</v>
  </rv>
  <rv s="0">
    <fb>44383</fb>
    <v>0</v>
  </rv>
  <rv s="0">
    <fb>110.55</fb>
    <v>1</v>
  </rv>
  <rv s="0">
    <fb>44384</fb>
    <v>0</v>
  </rv>
  <rv s="0">
    <fb>109.75</fb>
    <v>1</v>
  </rv>
  <rv s="0">
    <fb>44385</fb>
    <v>0</v>
  </rv>
  <rv s="0">
    <fb>108.16</fb>
    <v>1</v>
  </rv>
  <rv s="0">
    <fb>44386</fb>
    <v>0</v>
  </rv>
  <rv s="0">
    <fb>110.86</fb>
    <v>1</v>
  </rv>
  <rv s="0">
    <fb>44389</fb>
    <v>0</v>
  </rv>
  <rv s="0">
    <fb>44390</fb>
    <v>0</v>
  </rv>
  <rv s="0">
    <fb>109.87</fb>
    <v>1</v>
  </rv>
  <rv s="0">
    <fb>44391</fb>
    <v>0</v>
  </rv>
  <rv s="0">
    <fb>109.91</fb>
    <v>1</v>
  </rv>
  <rv s="0">
    <fb>44392</fb>
    <v>0</v>
  </rv>
  <rv s="0">
    <fb>112</fb>
    <v>1</v>
  </rv>
  <rv s="0">
    <fb>44393</fb>
    <v>0</v>
  </rv>
  <rv s="0">
    <fb>110.59</fb>
    <v>1</v>
  </rv>
  <rv s="0">
    <fb>44396</fb>
    <v>0</v>
  </rv>
  <rv s="0">
    <fb>108.48</fb>
    <v>1</v>
  </rv>
  <rv s="0">
    <fb>44397</fb>
    <v>0</v>
  </rv>
  <rv s="0">
    <fb>110.61</fb>
    <v>1</v>
  </rv>
  <rv s="0">
    <fb>44398</fb>
    <v>0</v>
  </rv>
  <rv s="0">
    <fb>44399</fb>
    <v>0</v>
  </rv>
  <rv s="0">
    <fb>109.98</fb>
    <v>1</v>
  </rv>
  <rv s="0">
    <fb>44400</fb>
    <v>0</v>
  </rv>
  <rv s="0">
    <fb>113.28</fb>
    <v>1</v>
  </rv>
  <rv s="0">
    <fb>44403</fb>
    <v>0</v>
  </rv>
  <rv s="0">
    <fb>44404</fb>
    <v>0</v>
  </rv>
  <rv s="0">
    <fb>114.36</fb>
    <v>1</v>
  </rv>
  <rv s="0">
    <fb>44405</fb>
    <v>0</v>
  </rv>
  <rv s="0">
    <fb>113.06</fb>
    <v>1</v>
  </rv>
  <rv s="0">
    <fb>44406</fb>
    <v>0</v>
  </rv>
  <rv s="0">
    <fb>114.26</fb>
    <v>1</v>
  </rv>
  <rv s="0">
    <fb>44407</fb>
    <v>0</v>
  </rv>
  <rv s="0">
    <fb>112.35</fb>
    <v>1</v>
  </rv>
  <rv s="0">
    <fb>44410</fb>
    <v>0</v>
  </rv>
  <rv s="0">
    <fb>112.49</fb>
    <v>1</v>
  </rv>
  <rv s="0">
    <fb>44411</fb>
    <v>0</v>
  </rv>
  <rv s="0">
    <fb>114.65</fb>
    <v>1</v>
  </rv>
  <rv s="0">
    <fb>44412</fb>
    <v>0</v>
  </rv>
  <rv s="0">
    <fb>113.27</fb>
    <v>1</v>
  </rv>
  <rv s="0">
    <fb>44413</fb>
    <v>0</v>
  </rv>
  <rv s="0">
    <fb>115.37</fb>
    <v>1</v>
  </rv>
  <rv s="0">
    <fb>44414</fb>
    <v>0</v>
  </rv>
  <rv s="0">
    <fb>114.84</fb>
    <v>1</v>
  </rv>
  <rv s="0">
    <fb>44417</fb>
    <v>0</v>
  </rv>
  <rv s="0">
    <fb>44418</fb>
    <v>0</v>
  </rv>
  <rv s="0">
    <fb>115.02</fb>
    <v>1</v>
  </rv>
  <rv s="0">
    <fb>44419</fb>
    <v>0</v>
  </rv>
  <rv s="0">
    <fb>118.06</fb>
    <v>1</v>
  </rv>
  <rv s="0">
    <fb>44420</fb>
    <v>0</v>
  </rv>
  <rv s="0">
    <fb>118.13</fb>
    <v>1</v>
  </rv>
  <rv s="0">
    <fb>44421</fb>
    <v>0</v>
  </rv>
  <rv s="0">
    <fb>113.78</fb>
    <v>1</v>
  </rv>
  <rv s="0">
    <fb>44424</fb>
    <v>0</v>
  </rv>
  <rv s="0">
    <fb>115.36</fb>
    <v>1</v>
  </rv>
  <rv s="0">
    <fb>44425</fb>
    <v>0</v>
  </rv>
  <rv s="0">
    <fb>110.75</fb>
    <v>1</v>
  </rv>
  <rv s="0">
    <fb>44426</fb>
    <v>0</v>
  </rv>
  <rv s="0">
    <fb>110.1</fb>
    <v>1</v>
  </rv>
  <rv s="0">
    <fb>44427</fb>
    <v>0</v>
  </rv>
  <rv s="0">
    <fb>109.76</fb>
    <v>1</v>
  </rv>
  <rv s="0">
    <fb>44428</fb>
    <v>0</v>
  </rv>
  <rv s="0">
    <fb>44431</fb>
    <v>0</v>
  </rv>
  <rv s="0">
    <fb>112.16</fb>
    <v>1</v>
  </rv>
  <rv s="0">
    <fb>44432</fb>
    <v>0</v>
  </rv>
  <rv s="0">
    <fb>121.49</fb>
    <v>1</v>
  </rv>
  <rv s="0">
    <fb>44433</fb>
    <v>0</v>
  </rv>
  <rv s="0">
    <fb>121.89</fb>
    <v>1</v>
  </rv>
  <rv s="0">
    <fb>44434</fb>
    <v>0</v>
  </rv>
  <rv s="0">
    <fb>118.09</fb>
    <v>1</v>
  </rv>
  <rv s="0">
    <fb>44435</fb>
    <v>0</v>
  </rv>
  <rv s="0">
    <fb>117.5</fb>
    <v>1</v>
  </rv>
  <rv s="0">
    <fb>44438</fb>
    <v>0</v>
  </rv>
  <rv s="0">
    <fb>44439</fb>
    <v>0</v>
  </rv>
  <rv s="0">
    <fb>116.51</fb>
    <v>1</v>
  </rv>
  <rv s="0">
    <fb>44440</fb>
    <v>0</v>
  </rv>
  <rv s="0">
    <fb>116.78</fb>
    <v>1</v>
  </rv>
  <rv s="0">
    <fb>44441</fb>
    <v>0</v>
  </rv>
  <rv s="0">
    <fb>116.26</fb>
    <v>1</v>
  </rv>
  <rv s="0">
    <fb>44442</fb>
    <v>0</v>
  </rv>
  <rv s="0">
    <fb>114.02</fb>
    <v>1</v>
  </rv>
  <rv s="0">
    <fb>44446</fb>
    <v>0</v>
  </rv>
  <rv s="0">
    <fb>111.5</fb>
    <v>1</v>
  </rv>
  <rv s="0">
    <fb>44447</fb>
    <v>0</v>
  </rv>
  <rv s="0">
    <fb>44448</fb>
    <v>0</v>
  </rv>
  <rv s="0">
    <fb>112.39</fb>
    <v>1</v>
  </rv>
  <rv s="0">
    <fb>44449</fb>
    <v>0</v>
  </rv>
  <rv s="0">
    <fb>111.35</fb>
    <v>1</v>
  </rv>
  <rv s="0">
    <fb>44452</fb>
    <v>0</v>
  </rv>
  <rv s="0">
    <fb>112.07</fb>
    <v>1</v>
  </rv>
  <rv s="0">
    <fb>44453</fb>
    <v>0</v>
  </rv>
  <rv s="0">
    <fb>110.17</fb>
    <v>1</v>
  </rv>
  <rv s="0">
    <fb>44454</fb>
    <v>0</v>
  </rv>
  <rv s="0">
    <fb>109.27</fb>
    <v>1</v>
  </rv>
  <rv s="0">
    <fb>44455</fb>
    <v>0</v>
  </rv>
  <rv s="0">
    <fb>109.56</fb>
    <v>1</v>
  </rv>
  <rv s="0">
    <fb>44456</fb>
    <v>0</v>
  </rv>
  <rv s="0">
    <fb>109.62</fb>
    <v>1</v>
  </rv>
  <rv s="0">
    <fb>44459</fb>
    <v>0</v>
  </rv>
  <rv s="0">
    <fb>106.67</fb>
    <v>1</v>
  </rv>
  <rv s="0">
    <fb>44460</fb>
    <v>0</v>
  </rv>
  <rv s="0">
    <fb>106.89</fb>
    <v>1</v>
  </rv>
  <rv s="0">
    <fb>44461</fb>
    <v>0</v>
  </rv>
  <rv s="0">
    <fb>106.8</fb>
    <v>1</v>
  </rv>
  <rv s="0">
    <fb>44462</fb>
    <v>0</v>
  </rv>
  <rv s="0">
    <fb>106.17</fb>
    <v>1</v>
  </rv>
  <rv s="0">
    <fb>44463</fb>
    <v>0</v>
  </rv>
  <rv s="0">
    <fb>104.74</fb>
    <v>1</v>
  </rv>
  <rv s="0">
    <fb>44466</fb>
    <v>0</v>
  </rv>
  <rv s="0">
    <fb>110.18</fb>
    <v>1</v>
  </rv>
  <rv s="0">
    <fb>44467</fb>
    <v>0</v>
  </rv>
  <rv s="0">
    <fb>109.39</fb>
    <v>1</v>
  </rv>
  <rv s="0">
    <fb>44468</fb>
    <v>0</v>
  </rv>
  <rv s="0">
    <fb>109.43</fb>
    <v>1</v>
  </rv>
  <rv s="0">
    <fb>44469</fb>
    <v>0</v>
  </rv>
  <rv s="0">
    <fb>105.71</fb>
    <v>1</v>
  </rv>
  <rv s="0">
    <fb>44470</fb>
    <v>0</v>
  </rv>
  <rv s="0">
    <fb>105.31</fb>
    <v>1</v>
  </rv>
  <rv s="0">
    <fb>44473</fb>
    <v>0</v>
  </rv>
  <rv s="0">
    <fb>105.49</fb>
    <v>1</v>
  </rv>
  <rv s="0">
    <fb>44474</fb>
    <v>0</v>
  </rv>
  <rv s="0">
    <fb>106.37</fb>
    <v>1</v>
  </rv>
  <rv s="0">
    <fb>44475</fb>
    <v>0</v>
  </rv>
  <rv s="0">
    <fb>105.77</fb>
    <v>1</v>
  </rv>
  <rv s="0">
    <fb>44476</fb>
    <v>0</v>
  </rv>
  <rv s="0">
    <fb>107.59</fb>
    <v>1</v>
  </rv>
  <rv s="0">
    <fb>44477</fb>
    <v>0</v>
  </rv>
  <rv s="0">
    <fb>107.25</fb>
    <v>1</v>
  </rv>
  <rv s="0">
    <fb>44480</fb>
    <v>0</v>
  </rv>
  <rv s="0">
    <fb>108.88</fb>
    <v>1</v>
  </rv>
  <rv s="0">
    <fb>44481</fb>
    <v>0</v>
  </rv>
  <rv s="0">
    <fb>109.32</fb>
    <v>1</v>
  </rv>
  <rv s="0">
    <fb>44482</fb>
    <v>0</v>
  </rv>
  <rv s="0">
    <fb>44483</fb>
    <v>0</v>
  </rv>
  <rv s="0">
    <fb>112.66</fb>
    <v>1</v>
  </rv>
  <rv s="0">
    <fb>44484</fb>
    <v>0</v>
  </rv>
  <rv s="0">
    <fb>113.64</fb>
    <v>1</v>
  </rv>
  <rv s="0">
    <fb>44487</fb>
    <v>0</v>
  </rv>
  <rv s="0">
    <fb>115.61</fb>
    <v>1</v>
  </rv>
  <rv s="0">
    <fb>44488</fb>
    <v>0</v>
  </rv>
  <rv s="0">
    <fb>113.94</fb>
    <v>1</v>
  </rv>
  <rv s="0">
    <fb>44489</fb>
    <v>0</v>
  </rv>
  <rv s="0">
    <fb>44490</fb>
    <v>0</v>
  </rv>
  <rv s="0">
    <fb>117.6</fb>
    <v>1</v>
  </rv>
  <rv s="0">
    <fb>44491</fb>
    <v>0</v>
  </rv>
  <rv s="0">
    <fb>118.39</fb>
    <v>1</v>
  </rv>
  <rv s="0">
    <fb>44494</fb>
    <v>0</v>
  </rv>
  <rv s="0">
    <fb>120.48</fb>
    <v>1</v>
  </rv>
  <rv s="0">
    <fb>44495</fb>
    <v>0</v>
  </rv>
  <rv s="0">
    <fb>121.23</fb>
    <v>1</v>
  </rv>
  <rv s="0">
    <fb>44496</fb>
    <v>0</v>
  </rv>
  <rv s="0">
    <fb>118.75</fb>
    <v>1</v>
  </rv>
  <rv s="0">
    <fb>44497</fb>
    <v>0</v>
  </rv>
  <rv s="0">
    <fb>121.12</fb>
    <v>1</v>
  </rv>
  <rv s="0">
    <fb>44498</fb>
    <v>0</v>
  </rv>
  <rv s="0">
    <fb>122.24</fb>
    <v>1</v>
  </rv>
  <rv s="0">
    <fb>44501</fb>
    <v>0</v>
  </rv>
  <rv s="0">
    <fb>123.91</fb>
    <v>1</v>
  </rv>
  <rv s="0">
    <fb>44502</fb>
    <v>0</v>
  </rv>
  <rv s="0">
    <fb>123.83</fb>
    <v>1</v>
  </rv>
  <rv s="0">
    <fb>44503</fb>
    <v>0</v>
  </rv>
  <rv s="0">
    <fb>125.1</fb>
    <v>1</v>
  </rv>
  <rv s="0">
    <fb>44504</fb>
    <v>0</v>
  </rv>
  <rv s="0">
    <fb>128.61000000000001</fb>
    <v>1</v>
  </rv>
  <rv s="0">
    <fb>44505</fb>
    <v>0</v>
  </rv>
  <rv s="0">
    <fb>129.07</fb>
    <v>1</v>
  </rv>
  <rv s="0">
    <fb>44508</fb>
    <v>0</v>
  </rv>
  <rv s="0">
    <fb>130.09</fb>
    <v>1</v>
  </rv>
  <rv s="0">
    <fb>44509</fb>
    <v>0</v>
  </rv>
  <rv s="0">
    <fb>132.94</fb>
    <v>1</v>
  </rv>
  <rv s="0">
    <fb>44510</fb>
    <v>0</v>
  </rv>
  <rv s="0">
    <fb>131.25</fb>
    <v>1</v>
  </rv>
  <rv s="0">
    <fb>44511</fb>
    <v>0</v>
  </rv>
  <rv s="0">
    <fb>132.9</fb>
    <v>1</v>
  </rv>
  <rv s="0">
    <fb>44512</fb>
    <v>0</v>
  </rv>
  <rv s="0">
    <fb>135.63</fb>
    <v>1</v>
  </rv>
  <rv s="0">
    <fb>44515</fb>
    <v>0</v>
  </rv>
  <rv s="0">
    <fb>132.36000000000001</fb>
    <v>1</v>
  </rv>
  <rv s="0">
    <fb>44516</fb>
    <v>0</v>
  </rv>
  <rv s="0">
    <fb>134.93</fb>
    <v>1</v>
  </rv>
  <rv s="0">
    <fb>44517</fb>
    <v>0</v>
  </rv>
  <rv s="0">
    <fb>132.86000000000001</fb>
    <v>1</v>
  </rv>
  <rv s="0">
    <fb>44518</fb>
    <v>0</v>
  </rv>
  <rv s="0">
    <fb>135.61000000000001</fb>
    <v>1</v>
  </rv>
  <rv s="0">
    <fb>44519</fb>
    <v>0</v>
  </rv>
  <rv s="0">
    <fb>136.13</fb>
    <v>1</v>
  </rv>
  <rv s="0">
    <fb>44522</fb>
    <v>0</v>
  </rv>
  <rv s="0">
    <fb>138</fb>
    <v>1</v>
  </rv>
  <rv s="0">
    <fb>44523</fb>
    <v>0</v>
  </rv>
  <rv s="0">
    <fb>121.01</fb>
    <v>1</v>
  </rv>
  <rv s="0">
    <fb>44524</fb>
    <v>0</v>
  </rv>
  <rv s="0">
    <fb>116.69</fb>
    <v>1</v>
  </rv>
  <rv s="0">
    <fb>44526</fb>
    <v>0</v>
  </rv>
  <rv s="0">
    <fb>114.77</fb>
    <v>1</v>
  </rv>
  <rv s="0">
    <fb>44529</fb>
    <v>0</v>
  </rv>
  <rv s="0">
    <fb>110.95</fb>
    <v>1</v>
  </rv>
  <rv s="0">
    <fb>44530</fb>
    <v>0</v>
  </rv>
  <rv s="0">
    <fb>106.86</fb>
    <v>1</v>
  </rv>
  <rv s="0">
    <fb>44531</fb>
    <v>0</v>
  </rv>
  <rv s="0">
    <fb>102.25</fb>
    <v>1</v>
  </rv>
  <rv s="0">
    <fb>44532</fb>
    <v>0</v>
  </rv>
  <rv s="0">
    <fb>103.92</fb>
    <v>1</v>
  </rv>
  <rv s="0">
    <fb>44533</fb>
    <v>0</v>
  </rv>
  <rv s="0">
    <fb>105.87</fb>
    <v>1</v>
  </rv>
  <rv s="0">
    <fb>44536</fb>
    <v>0</v>
  </rv>
  <rv s="0">
    <fb>104.66</fb>
    <v>1</v>
  </rv>
  <rv s="0">
    <fb>44537</fb>
    <v>0</v>
  </rv>
  <rv s="0">
    <fb>106.68</fb>
    <v>1</v>
  </rv>
  <rv s="0">
    <fb>44538</fb>
    <v>0</v>
  </rv>
  <rv s="0">
    <fb>106.93</fb>
    <v>1</v>
  </rv>
  <rv s="0">
    <fb>44539</fb>
    <v>0</v>
  </rv>
  <rv s="0">
    <fb>104.38</fb>
    <v>1</v>
  </rv>
  <rv s="0">
    <fb>44540</fb>
    <v>0</v>
  </rv>
  <rv s="0">
    <fb>103.82</fb>
    <v>1</v>
  </rv>
  <rv s="0">
    <fb>44543</fb>
    <v>0</v>
  </rv>
  <rv s="0">
    <fb>100.24</fb>
    <v>1</v>
  </rv>
  <rv s="0">
    <fb>44544</fb>
    <v>0</v>
  </rv>
  <rv s="0">
    <fb>101.37</fb>
    <v>1</v>
  </rv>
  <rv s="0">
    <fb>44545</fb>
    <v>0</v>
  </rv>
  <rv s="0">
    <fb>102.49</fb>
    <v>1</v>
  </rv>
  <rv s="0">
    <fb>44546</fb>
    <v>0</v>
  </rv>
  <rv s="0">
    <fb>100.22</fb>
    <v>1</v>
  </rv>
  <rv s="0">
    <fb>44547</fb>
    <v>0</v>
  </rv>
  <rv s="0">
    <fb>100.03</fb>
    <v>1</v>
  </rv>
  <rv s="0">
    <fb>44550</fb>
    <v>0</v>
  </rv>
  <rv s="0">
    <fb>95.77</fb>
    <v>1</v>
  </rv>
  <rv s="0">
    <fb>44551</fb>
    <v>0</v>
  </rv>
  <rv s="0">
    <fb>97.48</fb>
    <v>1</v>
  </rv>
  <rv s="0">
    <fb>44552</fb>
    <v>0</v>
  </rv>
  <rv s="0">
    <fb>97.37</fb>
    <v>1</v>
  </rv>
  <rv s="0">
    <fb>44553</fb>
    <v>0</v>
  </rv>
  <rv s="0">
    <fb>98.08</fb>
    <v>1</v>
  </rv>
  <rv s="0">
    <fb>44557</fb>
    <v>0</v>
  </rv>
  <rv s="0">
    <fb>99.08</fb>
    <v>1</v>
  </rv>
  <rv s="0">
    <fb>44558</fb>
    <v>0</v>
  </rv>
  <rv s="0">
    <fb>99.52</fb>
    <v>1</v>
  </rv>
  <rv s="0">
    <fb>44559</fb>
    <v>0</v>
  </rv>
  <rv s="0">
    <fb>100.86</fb>
    <v>1</v>
  </rv>
  <rv s="0">
    <fb>44560</fb>
    <v>0</v>
  </rv>
  <rv s="0">
    <fb>101.55</fb>
    <v>1</v>
  </rv>
  <rv s="0">
    <fb>44561</fb>
    <v>0</v>
  </rv>
  <rv s="0">
    <fb>101.6</fb>
    <v>1</v>
  </rv>
  <rv s="0">
    <fb>44564</fb>
    <v>0</v>
  </rv>
  <rv s="0">
    <fb>102.12</fb>
    <v>1</v>
  </rv>
  <rv s="0">
    <fb>44565</fb>
    <v>0</v>
  </rv>
  <rv s="0">
    <fb>105.14</fb>
    <v>1</v>
  </rv>
  <rv s="0">
    <fb>44566</fb>
    <v>0</v>
  </rv>
  <rv s="0">
    <fb>103</fb>
    <v>1</v>
  </rv>
  <rv s="0">
    <fb>44567</fb>
    <v>0</v>
  </rv>
  <rv s="0">
    <fb>102.88</fb>
    <v>1</v>
  </rv>
  <rv s="0">
    <fb>44568</fb>
    <v>0</v>
  </rv>
  <rv s="0">
    <fb>102.5</fb>
    <v>1</v>
  </rv>
  <rv s="0">
    <fb>44571</fb>
    <v>0</v>
  </rv>
  <rv s="0">
    <fb>102.75</fb>
    <v>1</v>
  </rv>
  <rv s="0">
    <fb>44572</fb>
    <v>0</v>
  </rv>
  <rv s="0">
    <fb>104.09</fb>
    <v>1</v>
  </rv>
  <rv s="0">
    <fb>44573</fb>
    <v>0</v>
  </rv>
  <rv s="0">
    <fb>102.68</fb>
    <v>1</v>
  </rv>
  <rv s="0">
    <fb>44574</fb>
    <v>0</v>
  </rv>
  <rv s="0">
    <fb>102.6</fb>
    <v>1</v>
  </rv>
  <rv s="0">
    <fb>44575</fb>
    <v>0</v>
  </rv>
  <rv s="0">
    <fb>100.04</fb>
    <v>1</v>
  </rv>
  <rv s="0">
    <fb>44579</fb>
    <v>0</v>
  </rv>
  <rv s="0">
    <fb>98.64</fb>
    <v>1</v>
  </rv>
  <rv s="0">
    <fb>44580</fb>
    <v>0</v>
  </rv>
  <rv s="0">
    <fb>99.35</fb>
    <v>1</v>
  </rv>
  <rv s="0">
    <fb>44581</fb>
    <v>0</v>
  </rv>
  <rv s="0">
    <fb>94.9</fb>
    <v>1</v>
  </rv>
  <rv s="0">
    <fb>44582</fb>
    <v>0</v>
  </rv>
  <rv s="0">
    <fb>96.45</fb>
    <v>1</v>
  </rv>
  <rv s="0">
    <fb>44585</fb>
    <v>0</v>
  </rv>
  <rv s="0">
    <fb>44586</fb>
    <v>0</v>
  </rv>
  <rv s="0">
    <fb>98.03</fb>
    <v>1</v>
  </rv>
  <rv s="0">
    <fb>44587</fb>
    <v>0</v>
  </rv>
  <rv s="0">
    <fb>96.92</fb>
    <v>1</v>
  </rv>
  <rv s="0">
    <fb>44588</fb>
    <v>0</v>
  </rv>
  <rv s="0">
    <fb>96.1</fb>
    <v>1</v>
  </rv>
  <rv s="0">
    <fb>44589</fb>
    <v>0</v>
  </rv>
  <rv s="0">
    <fb>97.64</fb>
    <v>1</v>
  </rv>
  <rv s="0">
    <fb>44592</fb>
    <v>0</v>
  </rv>
  <rv s="0">
    <fb>99.28</fb>
    <v>1</v>
  </rv>
  <rv s="0">
    <fb>44593</fb>
    <v>0</v>
  </rv>
  <rv s="0">
    <fb>100.45</fb>
    <v>1</v>
  </rv>
  <rv s="0">
    <fb>44594</fb>
    <v>0</v>
  </rv>
  <rv s="0">
    <fb>99.05</fb>
    <v>1</v>
  </rv>
  <rv s="0">
    <fb>44595</fb>
    <v>0</v>
  </rv>
  <rv s="0">
    <fb>97.1</fb>
    <v>1</v>
  </rv>
  <rv s="0">
    <fb>44596</fb>
    <v>0</v>
  </rv>
  <rv s="0">
    <fb>96.83</fb>
    <v>1</v>
  </rv>
  <rv s="0">
    <fb>44599</fb>
    <v>0</v>
  </rv>
  <rv s="0">
    <fb>97.58</fb>
    <v>1</v>
  </rv>
  <rv s="0">
    <fb>44600</fb>
    <v>0</v>
  </rv>
  <rv s="0">
    <fb>99.46</fb>
    <v>1</v>
  </rv>
  <rv s="0">
    <fb>44601</fb>
    <v>0</v>
  </rv>
  <rv s="0">
    <fb>102.22</fb>
    <v>1</v>
  </rv>
  <rv s="0">
    <fb>44602</fb>
    <v>0</v>
  </rv>
  <rv s="0">
    <fb>100.47</fb>
    <v>1</v>
  </rv>
  <rv s="0">
    <fb>44603</fb>
    <v>0</v>
  </rv>
  <rv s="0">
    <fb>100.57</fb>
    <v>1</v>
  </rv>
  <rv s="0">
    <fb>44606</fb>
    <v>0</v>
  </rv>
  <rv s="0">
    <fb>100.64</fb>
    <v>1</v>
  </rv>
  <rv s="0">
    <fb>44607</fb>
    <v>0</v>
  </rv>
  <rv s="0">
    <fb>102.19</fb>
    <v>1</v>
  </rv>
  <rv s="0">
    <fb>44608</fb>
    <v>0</v>
  </rv>
  <rv s="0">
    <fb>99.63</fb>
    <v>1</v>
  </rv>
  <rv s="0">
    <fb>44609</fb>
    <v>0</v>
  </rv>
  <rv s="0">
    <fb>98.63</fb>
    <v>1</v>
  </rv>
  <rv s="0">
    <fb>44610</fb>
    <v>0</v>
  </rv>
  <rv s="0">
    <fb>97.71</fb>
    <v>1</v>
  </rv>
  <rv s="0">
    <fb>44614</fb>
    <v>0</v>
  </rv>
  <rv s="0">
    <fb>90.55</fb>
    <v>1</v>
  </rv>
  <rv s="0">
    <fb>44615</fb>
    <v>0</v>
  </rv>
  <rv s="0">
    <fb>88.63</fb>
    <v>1</v>
  </rv>
  <rv s="0">
    <fb>44616</fb>
    <v>0</v>
  </rv>
  <rv s="0">
    <fb>91.58</fb>
    <v>1</v>
  </rv>
  <rv s="0">
    <fb>44617</fb>
    <v>0</v>
  </rv>
  <rv s="0">
    <fb>95.83</fb>
    <v>1</v>
  </rv>
  <rv s="0">
    <fb>44620</fb>
    <v>0</v>
  </rv>
  <rv s="0">
    <fb>96.64</fb>
    <v>1</v>
  </rv>
  <rv s="0">
    <fb>44621</fb>
    <v>0</v>
  </rv>
  <rv s="0">
    <fb>97.18</fb>
    <v>1</v>
  </rv>
  <rv s="0">
    <fb>44622</fb>
    <v>0</v>
  </rv>
  <rv s="0">
    <fb>100.84</fb>
    <v>1</v>
  </rv>
  <rv s="0">
    <fb>44623</fb>
    <v>0</v>
  </rv>
  <rv s="0">
    <fb>110.14</fb>
    <v>1</v>
  </rv>
  <rv s="0">
    <fb>44624</fb>
    <v>0</v>
  </rv>
  <rv s="0">
    <fb>106.1</fb>
    <v>1</v>
  </rv>
  <rv s="0">
    <fb>44627</fb>
    <v>0</v>
  </rv>
  <rv s="0">
    <fb>104.71</fb>
    <v>1</v>
  </rv>
  <rv s="0">
    <fb>44628</fb>
    <v>0</v>
  </rv>
  <rv s="0">
    <fb>101.13</fb>
    <v>1</v>
  </rv>
  <rv s="0">
    <fb>44629</fb>
    <v>0</v>
  </rv>
  <rv s="0">
    <fb>101.74</fb>
    <v>1</v>
  </rv>
  <rv s="0">
    <fb>44630</fb>
    <v>0</v>
  </rv>
  <rv s="0">
    <fb>98.66</fb>
    <v>1</v>
  </rv>
  <rv s="0">
    <fb>44631</fb>
    <v>0</v>
  </rv>
  <rv s="0">
    <fb>94.59</fb>
    <v>1</v>
  </rv>
  <rv s="0">
    <fb>44634</fb>
    <v>0</v>
  </rv>
  <rv s="0">
    <fb>94.64</fb>
    <v>1</v>
  </rv>
  <rv s="0">
    <fb>44635</fb>
    <v>0</v>
  </rv>
  <rv s="0">
    <fb>99.06</fb>
    <v>1</v>
  </rv>
  <rv s="0">
    <fb>44636</fb>
    <v>0</v>
  </rv>
  <rv s="0">
    <fb>98.84</fb>
    <v>1</v>
  </rv>
  <rv s="0">
    <fb>44637</fb>
    <v>0</v>
  </rv>
  <rv s="0">
    <fb>99.29</fb>
    <v>1</v>
  </rv>
  <rv s="0">
    <fb>44638</fb>
    <v>0</v>
  </rv>
  <rv s="0">
    <fb>101.84</fb>
    <v>1</v>
  </rv>
  <rv s="0">
    <fb>44641</fb>
    <v>0</v>
  </rv>
  <rv s="0">
    <fb>99.04</fb>
    <v>1</v>
  </rv>
  <rv s="0">
    <fb>44642</fb>
    <v>0</v>
  </rv>
  <rv s="0">
    <fb>99.3</fb>
    <v>1</v>
  </rv>
  <rv s="0">
    <fb>44643</fb>
    <v>0</v>
  </rv>
  <rv s="0">
    <fb>96.59</fb>
    <v>1</v>
  </rv>
  <rv s="0">
    <fb>44644</fb>
    <v>0</v>
  </rv>
  <rv s="0">
    <fb>96.71</fb>
    <v>1</v>
  </rv>
  <rv s="0">
    <fb>44645</fb>
    <v>0</v>
  </rv>
  <rv s="0">
    <fb>96.3</fb>
    <v>1</v>
  </rv>
  <rv s="0">
    <fb>44648</fb>
    <v>0</v>
  </rv>
  <rv s="0">
    <fb>96.73</fb>
    <v>1</v>
  </rv>
  <rv s="0">
    <fb>44649</fb>
    <v>0</v>
  </rv>
  <rv s="0">
    <fb>100.75</fb>
    <v>1</v>
  </rv>
  <rv s="0">
    <fb>44650</fb>
    <v>0</v>
  </rv>
  <rv s="0">
    <fb>96.43</fb>
    <v>1</v>
  </rv>
  <rv s="0">
    <fb>44651</fb>
    <v>0</v>
  </rv>
  <rv s="0">
    <fb>90.9</fb>
    <v>1</v>
  </rv>
  <rv s="0">
    <fb>44652</fb>
    <v>0</v>
  </rv>
  <rv s="0">
    <fb>90.38</fb>
    <v>1</v>
  </rv>
  <rv s="0">
    <fb>44655</fb>
    <v>0</v>
  </rv>
  <rv s="0">
    <fb>94.34</fb>
    <v>1</v>
  </rv>
  <rv s="0">
    <fb>44656</fb>
    <v>0</v>
  </rv>
  <rv s="0">
    <fb>92.52</fb>
    <v>1</v>
  </rv>
  <rv s="0">
    <fb>44657</fb>
    <v>0</v>
  </rv>
  <rv s="0">
    <fb>91.06</fb>
    <v>1</v>
  </rv>
  <rv s="0">
    <fb>44658</fb>
    <v>0</v>
  </rv>
  <rv s="0">
    <fb>92.07</fb>
    <v>1</v>
  </rv>
  <rv s="0">
    <fb>44659</fb>
    <v>0</v>
  </rv>
  <rv s="0">
    <fb>93.36</fb>
    <v>1</v>
  </rv>
  <rv s="0">
    <fb>44662</fb>
    <v>0</v>
  </rv>
  <rv s="0">
    <fb>94.16</fb>
    <v>1</v>
  </rv>
  <rv s="0">
    <fb>44663</fb>
    <v>0</v>
  </rv>
  <rv s="0">
    <fb>93.23</fb>
    <v>1</v>
  </rv>
  <rv s="0">
    <fb>44664</fb>
    <v>0</v>
  </rv>
  <rv s="0">
    <fb>95.23</fb>
    <v>1</v>
  </rv>
  <rv s="0">
    <fb>44665</fb>
    <v>0</v>
  </rv>
  <rv s="0">
    <fb>93.84</fb>
    <v>1</v>
  </rv>
  <rv s="0">
    <fb>44669</fb>
    <v>0</v>
  </rv>
  <rv s="0">
    <fb>93.48</fb>
    <v>1</v>
  </rv>
  <rv s="0">
    <fb>44670</fb>
    <v>0</v>
  </rv>
  <rv s="0">
    <fb>95.57</fb>
    <v>1</v>
  </rv>
  <rv s="0">
    <fb>44671</fb>
    <v>0</v>
  </rv>
  <rv s="0">
    <fb>94.4</fb>
    <v>1</v>
  </rv>
  <rv s="0">
    <fb>44672</fb>
    <v>0</v>
  </rv>
  <rv s="0">
    <fb>93.64</fb>
    <v>1</v>
  </rv>
  <rv s="0">
    <fb>44673</fb>
    <v>0</v>
  </rv>
  <rv s="0">
    <fb>91.28</fb>
    <v>1</v>
  </rv>
  <rv s="0">
    <fb>44676</fb>
    <v>0</v>
  </rv>
  <rv s="0">
    <fb>93.07</fb>
    <v>1</v>
  </rv>
  <rv s="0">
    <fb>44677</fb>
    <v>0</v>
  </rv>
  <rv s="0">
    <fb>92.83</fb>
    <v>1</v>
  </rv>
  <rv s="0">
    <fb>44678</fb>
    <v>0</v>
  </rv>
  <rv s="0">
    <fb>93.03</fb>
    <v>1</v>
  </rv>
  <rv s="0">
    <fb>44679</fb>
    <v>0</v>
  </rv>
  <rv s="0">
    <fb>93.58</fb>
    <v>1</v>
  </rv>
  <rv s="0">
    <fb>44680</fb>
    <v>0</v>
  </rv>
  <rv s="0">
    <fb>89.93</fb>
    <v>1</v>
  </rv>
  <rv s="0">
    <fb>44683</fb>
    <v>0</v>
  </rv>
  <rv s="0">
    <fb>93.81</fb>
    <v>1</v>
  </rv>
  <rv s="0">
    <fb>44684</fb>
    <v>0</v>
  </rv>
  <rv s="0">
    <fb>94.65</fb>
    <v>1</v>
  </rv>
  <rv s="0">
    <fb>44685</fb>
    <v>0</v>
  </rv>
  <rv s="0">
    <fb>97.79</fb>
    <v>1</v>
  </rv>
  <rv s="0">
    <fb>44686</fb>
    <v>0</v>
  </rv>
  <rv s="0">
    <fb>92.21</fb>
    <v>1</v>
  </rv>
  <rv s="0">
    <fb>44687</fb>
    <v>0</v>
  </rv>
  <rv s="0">
    <fb>91.41</fb>
    <v>1</v>
  </rv>
  <rv s="0">
    <fb>44690</fb>
    <v>0</v>
  </rv>
  <rv s="0">
    <fb>91.08</fb>
    <v>1</v>
  </rv>
  <rv s="0">
    <fb>44691</fb>
    <v>0</v>
  </rv>
  <rv s="0">
    <fb>88.74</fb>
    <v>1</v>
  </rv>
  <rv s="0">
    <fb>44692</fb>
    <v>0</v>
  </rv>
  <rv s="0">
    <fb>83.79</fb>
    <v>1</v>
  </rv>
  <rv s="0">
    <fb>44693</fb>
    <v>0</v>
  </rv>
  <rv s="0">
    <fb>87.36</fb>
    <v>1</v>
  </rv>
  <rv s="0">
    <fb>44694</fb>
    <v>0</v>
  </rv>
  <rv s="0">
    <fb>86.36</fb>
    <v>1</v>
  </rv>
  <rv s="0">
    <fb>44697</fb>
    <v>0</v>
  </rv>
  <rv s="0">
    <fb>84.77</fb>
    <v>1</v>
  </rv>
  <rv s="0">
    <fb>44698</fb>
    <v>0</v>
  </rv>
  <rv s="0">
    <fb>84.5</fb>
    <v>1</v>
  </rv>
  <rv s="0">
    <fb>44699</fb>
    <v>0</v>
  </rv>
  <rv s="0">
    <fb>75.62</fb>
    <v>1</v>
  </rv>
  <rv s="0">
    <fb>44700</fb>
    <v>0</v>
  </rv>
  <rv s="0">
    <fb>73.319999999999993</fb>
    <v>1</v>
  </rv>
  <rv s="0">
    <fb>44701</fb>
    <v>0</v>
  </rv>
  <rv s="0">
    <fb>72.36</fb>
    <v>1</v>
  </rv>
  <rv s="0">
    <fb>44704</fb>
    <v>0</v>
  </rv>
  <rv s="0">
    <fb>72.59</fb>
    <v>1</v>
  </rv>
  <rv s="0">
    <fb>44705</fb>
    <v>0</v>
  </rv>
  <rv s="0">
    <fb>73.47</fb>
    <v>1</v>
  </rv>
  <rv s="0">
    <fb>44706</fb>
    <v>0</v>
  </rv>
  <rv s="0">
    <fb>80.06</fb>
    <v>1</v>
  </rv>
  <rv s="0">
    <fb>44707</fb>
    <v>0</v>
  </rv>
  <rv s="0">
    <fb>82.05</fb>
    <v>1</v>
  </rv>
  <rv s="0">
    <fb>44708</fb>
    <v>0</v>
  </rv>
  <rv s="0">
    <fb>83.99</fb>
    <v>1</v>
  </rv>
  <rv s="0">
    <fb>44712</fb>
    <v>0</v>
  </rv>
  <rv s="0">
    <fb>82.06</fb>
    <v>1</v>
  </rv>
  <rv s="0">
    <fb>44713</fb>
    <v>0</v>
  </rv>
  <rv s="0">
    <fb>80.08</fb>
    <v>1</v>
  </rv>
  <rv s="0">
    <fb>44714</fb>
    <v>0</v>
  </rv>
  <rv s="0">
    <fb>81.260000000000005</fb>
    <v>1</v>
  </rv>
  <rv s="0">
    <fb>44715</fb>
    <v>0</v>
  </rv>
  <rv s="0">
    <fb>80.39</fb>
    <v>1</v>
  </rv>
  <rv s="0">
    <fb>44718</fb>
    <v>0</v>
  </rv>
  <rv s="0">
    <fb>79.27</fb>
    <v>1</v>
  </rv>
  <rv s="0">
    <fb>44719</fb>
    <v>0</v>
  </rv>
  <rv s="0">
    <fb>78.349999999999994</fb>
    <v>1</v>
  </rv>
  <rv s="0">
    <fb>44720</fb>
    <v>0</v>
  </rv>
  <rv s="0">
    <fb>77.12</fb>
    <v>1</v>
  </rv>
  <rv s="0">
    <fb>44721</fb>
    <v>0</v>
  </rv>
  <rv s="0">
    <fb>74.930000000000007</fb>
    <v>1</v>
  </rv>
  <rv s="0">
    <fb>44722</fb>
    <v>0</v>
  </rv>
  <rv s="0">
    <fb>72.599999999999994</fb>
    <v>1</v>
  </rv>
  <rv s="0">
    <fb>44725</fb>
    <v>0</v>
  </rv>
  <rv s="0">
    <fb>69.45</fb>
    <v>1</v>
  </rv>
  <rv s="0">
    <fb>44726</fb>
    <v>0</v>
  </rv>
  <rv s="0">
    <fb>70.59</fb>
    <v>1</v>
  </rv>
  <rv s="0">
    <fb>44727</fb>
    <v>0</v>
  </rv>
  <rv s="0">
    <fb>71.760000000000005</fb>
    <v>1</v>
  </rv>
  <rv s="0">
    <fb>44728</fb>
    <v>0</v>
  </rv>
  <rv s="0">
    <fb>68.48</fb>
    <v>1</v>
  </rv>
  <rv s="0">
    <fb>44729</fb>
    <v>0</v>
  </rv>
  <rv s="0">
    <fb>70.510000000000005</fb>
    <v>1</v>
  </rv>
  <rv s="0">
    <fb>44733</fb>
    <v>0</v>
  </rv>
  <rv s="0">
    <fb>70.47</fb>
    <v>1</v>
  </rv>
  <rv s="0">
    <fb>44734</fb>
    <v>0</v>
  </rv>
  <rv s="0">
    <fb>69.88</fb>
    <v>1</v>
  </rv>
  <rv s="0">
    <fb>44735</fb>
    <v>0</v>
  </rv>
  <rv s="0">
    <fb>71.290000000000006</fb>
    <v>1</v>
  </rv>
  <rv s="0">
    <fb>44736</fb>
    <v>0</v>
  </rv>
  <rv s="0">
    <fb>74.69</fb>
    <v>1</v>
  </rv>
  <rv s="0">
    <fb>44739</fb>
    <v>0</v>
  </rv>
  <rv s="0">
    <fb>72.14</fb>
    <v>1</v>
  </rv>
  <rv s="0">
    <fb>44740</fb>
    <v>0</v>
  </rv>
  <rv s="0">
    <fb>68.849999999999994</fb>
    <v>1</v>
  </rv>
  <rv s="0">
    <fb>44741</fb>
    <v>0</v>
  </rv>
  <rv s="0">
    <fb>67.150000000000006</fb>
    <v>1</v>
  </rv>
  <rv s="0">
    <fb>44742</fb>
    <v>0</v>
  </rv>
  <rv s="0">
    <fb>65.19</fb>
    <v>1</v>
  </rv>
  <rv s="0">
    <fb>44743</fb>
    <v>0</v>
  </rv>
  <rv s="0">
    <fb>66.77</fb>
    <v>1</v>
  </rv>
  <rv s="0">
    <fb>44747</fb>
    <v>0</v>
  </rv>
  <rv s="0">
    <fb>69.98</fb>
    <v>1</v>
  </rv>
  <rv s="0">
    <fb>44748</fb>
    <v>0</v>
  </rv>
  <rv s="0">
    <fb>68.52</fb>
    <v>1</v>
  </rv>
  <rv s="0">
    <fb>44749</fb>
    <v>0</v>
  </rv>
  <rv s="0">
    <fb>70.89</fb>
    <v>1</v>
  </rv>
  <rv s="0">
    <fb>44750</fb>
    <v>0</v>
  </rv>
  <rv s="0">
    <fb>71.17</fb>
    <v>1</v>
  </rv>
  <rv s="0">
    <fb>44753</fb>
    <v>0</v>
  </rv>
  <rv s="0">
    <fb>69.91</fb>
    <v>1</v>
  </rv>
  <rv s="0">
    <fb>44754</fb>
    <v>0</v>
  </rv>
  <rv s="0">
    <fb>70.42</fb>
    <v>1</v>
  </rv>
  <rv s="0">
    <fb>44755</fb>
    <v>0</v>
  </rv>
  <rv s="0">
    <fb>44756</fb>
    <v>0</v>
  </rv>
  <rv s="0">
    <fb>71.14</fb>
    <v>1</v>
  </rv>
  <rv s="0">
    <fb>44757</fb>
    <v>0</v>
  </rv>
  <rv s="0">
    <fb>72.47</fb>
    <v>1</v>
  </rv>
  <rv s="0">
    <fb>44760</fb>
    <v>0</v>
  </rv>
  <rv s="0">
    <fb>73.34</fb>
    <v>1</v>
  </rv>
  <rv s="0">
    <fb>44761</fb>
    <v>0</v>
  </rv>
  <rv s="0">
    <fb>75.97</fb>
    <v>1</v>
  </rv>
  <rv s="0">
    <fb>44762</fb>
    <v>0</v>
  </rv>
  <rv s="0">
    <fb>78.12</fb>
    <v>1</v>
  </rv>
  <rv s="0">
    <fb>44763</fb>
    <v>0</v>
  </rv>
  <rv s="0">
    <fb>78.2</fb>
    <v>1</v>
  </rv>
  <rv s="0">
    <fb>44764</fb>
    <v>0</v>
  </rv>
  <rv s="0">
    <fb>76.8</fb>
    <v>1</v>
  </rv>
  <rv s="0">
    <fb>44767</fb>
    <v>0</v>
  </rv>
  <rv s="0">
    <fb>75.84</fb>
    <v>1</v>
  </rv>
  <rv s="0">
    <fb>44768</fb>
    <v>0</v>
  </rv>
  <rv s="0">
    <fb>72.010000000000005</fb>
    <v>1</v>
  </rv>
  <rv s="0">
    <fb>44769</fb>
    <v>0</v>
  </rv>
  <rv s="0">
    <fb>74.489999999999995</fb>
    <v>1</v>
  </rv>
  <rv s="0">
    <fb>44770</fb>
    <v>0</v>
  </rv>
  <rv s="0">
    <fb>77.989999999999995</fb>
    <v>1</v>
  </rv>
  <rv s="0">
    <fb>44771</fb>
    <v>0</v>
  </rv>
  <rv s="0">
    <fb>76.989999999999995</fb>
    <v>1</v>
  </rv>
  <rv s="0">
    <fb>44774</fb>
    <v>0</v>
  </rv>
  <rv s="0">
    <fb>76.98</fb>
    <v>1</v>
  </rv>
  <rv s="0">
    <fb>44775</fb>
    <v>0</v>
  </rv>
  <rv s="0">
    <fb>74.61</fb>
    <v>1</v>
  </rv>
  <rv s="0">
    <fb>44776</fb>
    <v>0</v>
  </rv>
  <rv s="0">
    <fb>75.69</fb>
    <v>1</v>
  </rv>
  <rv s="0">
    <fb>44777</fb>
    <v>0</v>
  </rv>
  <rv s="0">
    <fb>76.290000000000006</fb>
    <v>1</v>
  </rv>
  <rv s="0">
    <fb>44778</fb>
    <v>0</v>
  </rv>
  <rv s="0">
    <fb>76.38</fb>
    <v>1</v>
  </rv>
  <rv s="0">
    <fb>44781</fb>
    <v>0</v>
  </rv>
  <rv s="0">
    <fb>78.540000000000006</fb>
    <v>1</v>
  </rv>
  <rv s="0">
    <fb>44782</fb>
    <v>0</v>
  </rv>
  <rv s="0">
    <fb>76.34</fb>
    <v>1</v>
  </rv>
  <rv s="0">
    <fb>44783</fb>
    <v>0</v>
  </rv>
  <rv s="0">
    <fb>78.510000000000005</fb>
    <v>1</v>
  </rv>
  <rv s="0">
    <fb>44784</fb>
    <v>0</v>
  </rv>
  <rv s="0">
    <fb>80.42</fb>
    <v>1</v>
  </rv>
  <rv s="0">
    <fb>44785</fb>
    <v>0</v>
  </rv>
  <rv s="0">
    <fb>80.3</fb>
    <v>1</v>
  </rv>
  <rv s="0">
    <fb>44788</fb>
    <v>0</v>
  </rv>
  <rv s="0">
    <fb>81.33</fb>
    <v>1</v>
  </rv>
  <rv s="0">
    <fb>44789</fb>
    <v>0</v>
  </rv>
  <rv s="0">
    <fb>84.95</fb>
    <v>1</v>
  </rv>
  <rv s="0">
    <fb>44790</fb>
    <v>0</v>
  </rv>
  <rv s="0">
    <fb>82.26</fb>
    <v>1</v>
  </rv>
  <rv s="0">
    <fb>44791</fb>
    <v>0</v>
  </rv>
  <rv s="0">
    <fb>82.42</fb>
    <v>1</v>
  </rv>
  <rv s="0">
    <fb>44792</fb>
    <v>0</v>
  </rv>
  <rv s="0">
    <fb>79.53</fb>
    <v>1</v>
  </rv>
  <rv s="0">
    <fb>44795</fb>
    <v>0</v>
  </rv>
  <rv s="0">
    <fb>77.42</fb>
    <v>1</v>
  </rv>
  <rv s="0">
    <fb>44796</fb>
    <v>0</v>
  </rv>
  <rv s="0">
    <fb>78.84</fb>
    <v>1</v>
  </rv>
  <rv s="0">
    <fb>44797</fb>
    <v>0</v>
  </rv>
  <rv s="0">
    <fb>77.63</fb>
    <v>1</v>
  </rv>
  <rv s="0">
    <fb>44798</fb>
    <v>0</v>
  </rv>
  <rv s="0">
    <fb>78.19</fb>
    <v>1</v>
  </rv>
  <rv s="0">
    <fb>44799</fb>
    <v>0</v>
  </rv>
  <rv s="0">
    <fb>74.150000000000006</fb>
    <v>1</v>
  </rv>
  <rv s="0">
    <fb>44802</fb>
    <v>0</v>
  </rv>
  <rv s="0">
    <fb>73.7</fb>
    <v>1</v>
  </rv>
  <rv s="0">
    <fb>44803</fb>
    <v>0</v>
  </rv>
  <rv s="0">
    <fb>74.89</fb>
    <v>1</v>
  </rv>
  <rv s="0">
    <fb>44804</fb>
    <v>0</v>
  </rv>
  <rv s="0">
    <fb>70.69</fb>
    <v>1</v>
  </rv>
  <rv s="0">
    <fb>44805</fb>
    <v>0</v>
  </rv>
  <rv s="0">
    <fb>71.849999999999994</fb>
    <v>1</v>
  </rv>
  <rv s="0">
    <fb>44806</fb>
    <v>0</v>
  </rv>
  <rv s="0">
    <fb>44810</fb>
    <v>0</v>
  </rv>
  <rv s="0">
    <fb>71.38</fb>
    <v>1</v>
  </rv>
  <rv s="0">
    <fb>44811</fb>
    <v>0</v>
  </rv>
  <rv s="0">
    <fb>73.239999999999995</fb>
    <v>1</v>
  </rv>
  <rv s="0">
    <fb>44812</fb>
    <v>0</v>
  </rv>
  <rv s="0">
    <fb>74.7</fb>
    <v>1</v>
  </rv>
  <rv s="0">
    <fb>44813</fb>
    <v>0</v>
  </rv>
  <rv s="0">
    <fb>76.239999999999995</fb>
    <v>1</v>
  </rv>
  <rv s="0">
    <fb>44816</fb>
    <v>0</v>
  </rv>
  <rv s="0">
    <fb>77.819999999999993</fb>
    <v>1</v>
  </rv>
  <rv s="0">
    <fb>44817</fb>
    <v>0</v>
  </rv>
  <rv s="0">
    <fb>73.69</fb>
    <v>1</v>
  </rv>
  <rv s="0">
    <fb>44818</fb>
    <v>0</v>
  </rv>
  <rv s="0">
    <fb>73.55</fb>
    <v>1</v>
  </rv>
  <rv s="0">
    <fb>44819</fb>
    <v>0</v>
  </rv>
  <rv s="0">
    <fb>72.42</fb>
    <v>1</v>
  </rv>
  <rv s="0">
    <fb>44820</fb>
    <v>0</v>
  </rv>
  <rv s="0">
    <fb>72.63</fb>
    <v>1</v>
  </rv>
  <rv s="0">
    <fb>44823</fb>
    <v>0</v>
  </rv>
  <rv s="0">
    <fb>73.97</fb>
    <v>1</v>
  </rv>
  <rv s="0">
    <fb>44824</fb>
    <v>0</v>
  </rv>
  <rv s="0">
    <fb>70.92</fb>
    <v>1</v>
  </rv>
  <rv s="0">
    <fb>44825</fb>
    <v>0</v>
  </rv>
  <rv s="0">
    <fb>44826</fb>
    <v>0</v>
  </rv>
  <rv s="0">
    <fb>68.569999999999993</fb>
    <v>1</v>
  </rv>
  <rv s="0">
    <fb>44827</fb>
    <v>0</v>
  </rv>
  <rv s="0">
    <fb>68.78</fb>
    <v>1</v>
  </rv>
  <rv s="0">
    <fb>44830</fb>
    <v>0</v>
  </rv>
  <rv s="0">
    <fb>65.319999999999993</fb>
    <v>1</v>
  </rv>
  <rv s="0">
    <fb>44831</fb>
    <v>0</v>
  </rv>
  <rv s="0">
    <fb>65.41</fb>
    <v>1</v>
  </rv>
  <rv s="0">
    <fb>44832</fb>
    <v>0</v>
  </rv>
  <rv s="0">
    <fb>67.44</fb>
    <v>1</v>
  </rv>
  <rv s="0">
    <fb>44833</fb>
    <v>0</v>
  </rv>
  <rv s="0">
    <fb>65.08</fb>
    <v>1</v>
  </rv>
  <rv s="0">
    <fb>44834</fb>
    <v>0</v>
  </rv>
  <rv s="0">
    <fb>63.34</fb>
    <v>1</v>
  </rv>
  <rv s="0">
    <fb>44837</fb>
    <v>0</v>
  </rv>
  <rv s="0">
    <fb>63.67</fb>
    <v>1</v>
  </rv>
  <rv s="0">
    <fb>44838</fb>
    <v>0</v>
  </rv>
  <rv s="0">
    <fb>67.400000000000006</fb>
    <v>1</v>
  </rv>
  <rv s="0">
    <fb>44839</fb>
    <v>0</v>
  </rv>
  <rv s="0">
    <fb>67.900000000000006</fb>
    <v>1</v>
  </rv>
  <rv s="0">
    <fb>44840</fb>
    <v>0</v>
  </rv>
  <rv s="0">
    <fb>66.81</fb>
    <v>1</v>
  </rv>
  <rv s="0">
    <fb>44841</fb>
    <v>0</v>
  </rv>
  <rv s="0">
    <fb>64.53</fb>
    <v>1</v>
  </rv>
  <rv s="0">
    <fb>44844</fb>
    <v>0</v>
  </rv>
  <rv s="0">
    <fb>44845</fb>
    <v>0</v>
  </rv>
  <rv s="0">
    <fb>63.85</fb>
    <v>1</v>
  </rv>
  <rv s="0">
    <fb>44846</fb>
    <v>0</v>
  </rv>
  <rv s="0">
    <fb>63.2</fb>
    <v>1</v>
  </rv>
  <rv s="0">
    <fb>44847</fb>
    <v>0</v>
  </rv>
  <rv s="0">
    <fb>64.510000000000005</fb>
    <v>1</v>
  </rv>
  <rv s="0">
    <fb>44848</fb>
    <v>0</v>
  </rv>
  <rv s="0">
    <fb>63.35</fb>
    <v>1</v>
  </rv>
  <rv s="0">
    <fb>44851</fb>
    <v>0</v>
  </rv>
  <rv s="0">
    <fb>65.59</fb>
    <v>1</v>
  </rv>
  <rv s="0">
    <fb>44852</fb>
    <v>0</v>
  </rv>
  <rv s="0">
    <fb>66.56</fb>
    <v>1</v>
  </rv>
  <rv s="0">
    <fb>44853</fb>
    <v>0</v>
  </rv>
  <rv s="0">
    <fb>63.74</fb>
    <v>1</v>
  </rv>
  <rv s="0">
    <fb>44854</fb>
    <v>0</v>
  </rv>
  <rv s="0">
    <fb>62.85</fb>
    <v>1</v>
  </rv>
  <rv s="0">
    <fb>44855</fb>
    <v>0</v>
  </rv>
  <rv s="0">
    <fb>63.77</fb>
    <v>1</v>
  </rv>
  <rv s="0">
    <fb>44858</fb>
    <v>0</v>
  </rv>
  <rv s="0">
    <fb>63.8</fb>
    <v>1</v>
  </rv>
  <rv s="0">
    <fb>44859</fb>
    <v>0</v>
  </rv>
  <rv s="0">
    <fb>65.69</fb>
    <v>1</v>
  </rv>
  <rv s="0">
    <fb>44860</fb>
    <v>0</v>
  </rv>
  <rv s="0">
    <fb>65.989999999999995</fb>
    <v>1</v>
  </rv>
  <rv s="0">
    <fb>44861</fb>
    <v>0</v>
  </rv>
  <rv s="0">
    <fb>65.84</fb>
    <v>1</v>
  </rv>
  <rv s="0">
    <fb>44862</fb>
    <v>0</v>
  </rv>
  <rv s="0">
    <fb>68.349999999999994</fb>
    <v>1</v>
  </rv>
  <rv s="0">
    <fb>44865</fb>
    <v>0</v>
  </rv>
  <rv s="0">
    <fb>68.41</fb>
    <v>1</v>
  </rv>
  <rv s="0">
    <fb>44866</fb>
    <v>0</v>
  </rv>
  <rv s="0">
    <fb>68.88</fb>
    <v>1</v>
  </rv>
  <rv s="0">
    <fb>44867</fb>
    <v>0</v>
  </rv>
  <rv s="0">
    <fb>66.010000000000005</fb>
    <v>1</v>
  </rv>
  <rv s="0">
    <fb>44868</fb>
    <v>0</v>
  </rv>
  <rv s="0">
    <fb>67.069999999999993</fb>
    <v>1</v>
  </rv>
  <rv s="0">
    <fb>44869</fb>
    <v>0</v>
  </rv>
  <rv s="0">
    <fb>68.2</fb>
    <v>1</v>
  </rv>
  <rv s="0">
    <fb>44872</fb>
    <v>0</v>
  </rv>
  <rv s="0">
    <fb>68.66</fb>
    <v>1</v>
  </rv>
  <rv s="0">
    <fb>44873</fb>
    <v>0</v>
  </rv>
  <rv s="0">
    <fb>68.819999999999993</fb>
    <v>1</v>
  </rv>
  <rv s="0">
    <fb>44874</fb>
    <v>0</v>
  </rv>
  <rv s="0">
    <fb>67.3</fb>
    <v>1</v>
  </rv>
  <rv s="0">
    <fb>44875</fb>
    <v>0</v>
  </rv>
  <rv s="0">
    <fb>72.03</fb>
    <v>1</v>
  </rv>
  <rv s="0">
    <fb>44876</fb>
    <v>0</v>
  </rv>
  <rv s="0">
    <fb>74.55</fb>
    <v>1</v>
  </rv>
  <rv s="0">
    <fb>44879</fb>
    <v>0</v>
  </rv>
  <rv s="0">
    <fb>74.260000000000005</fb>
    <v>1</v>
  </rv>
  <rv s="0">
    <fb>44880</fb>
    <v>0</v>
  </rv>
  <rv s="0">
    <fb>75.599999999999994</fb>
    <v>1</v>
  </rv>
  <rv s="0">
    <fb>44881</fb>
    <v>0</v>
  </rv>
  <rv s="0">
    <fb>69.12</fb>
    <v>1</v>
  </rv>
  <rv s="0">
    <fb>44882</fb>
    <v>0</v>
  </rv>
  <rv s="0">
    <fb>70.03</fb>
    <v>1</v>
  </rv>
  <rv s="0">
    <fb>44883</fb>
    <v>0</v>
  </rv>
  <rv s="0">
    <fb>72.05</fb>
    <v>1</v>
  </rv>
  <rv s="0">
    <fb>44886</fb>
    <v>0</v>
  </rv>
  <rv s="0">
    <fb>70.83</fb>
    <v>1</v>
  </rv>
  <rv s="0">
    <fb>44887</fb>
    <v>0</v>
  </rv>
  <rv s="0">
    <fb>79.88</fb>
    <v>1</v>
  </rv>
  <rv s="0">
    <fb>44888</fb>
    <v>0</v>
  </rv>
  <rv s="0">
    <fb>82.39</fb>
    <v>1</v>
  </rv>
  <rv s="0">
    <fb>44890</fb>
    <v>0</v>
  </rv>
  <rv s="0">
    <fb>81.23</fb>
    <v>1</v>
  </rv>
  <rv s="0">
    <fb>44893</fb>
    <v>0</v>
  </rv>
  <rv s="0">
    <fb>82.09</fb>
    <v>1</v>
  </rv>
  <rv s="0">
    <fb>44894</fb>
    <v>0</v>
  </rv>
  <rv s="0">
    <fb>84.16</fb>
    <v>1</v>
  </rv>
  <rv s="0">
    <fb>44895</fb>
    <v>0</v>
  </rv>
  <rv s="0">
    <fb>85.3</fb>
    <v>1</v>
  </rv>
  <rv s="0">
    <fb>44896</fb>
    <v>0</v>
  </rv>
  <rv s="0">
    <fb>86.47</fb>
    <v>1</v>
  </rv>
  <rv s="0">
    <fb>44897</fb>
    <v>0</v>
  </rv>
  <rv s="0">
    <fb>86.6</fb>
    <v>1</v>
  </rv>
  <rv s="0">
    <fb>44900</fb>
    <v>0</v>
  </rv>
  <rv s="0">
    <fb>84.32</fb>
    <v>1</v>
  </rv>
  <rv s="0">
    <fb>44901</fb>
    <v>0</v>
  </rv>
  <rv s="0">
    <fb>83.28</fb>
    <v>1</v>
  </rv>
  <rv s="0">
    <fb>44902</fb>
    <v>0</v>
  </rv>
  <rv s="0">
    <fb>81.37</fb>
    <v>1</v>
  </rv>
  <rv s="0">
    <fb>44903</fb>
    <v>0</v>
  </rv>
  <rv s="0">
    <fb>83.4</fb>
    <v>1</v>
  </rv>
  <rv s="0">
    <fb>44904</fb>
    <v>0</v>
  </rv>
  <rv s="0">
    <fb>81.81</fb>
    <v>1</v>
  </rv>
  <rv s="0">
    <fb>44907</fb>
    <v>0</v>
  </rv>
  <rv s="0">
    <fb>82.47</fb>
    <v>1</v>
  </rv>
  <rv s="0">
    <fb>44908</fb>
    <v>0</v>
  </rv>
  <rv s="0">
    <fb>84.07</fb>
    <v>1</v>
  </rv>
  <rv s="0">
    <fb>44909</fb>
    <v>0</v>
  </rv>
  <rv s="0">
    <fb>80.819999999999993</fb>
    <v>1</v>
  </rv>
  <rv s="0">
    <fb>44910</fb>
    <v>0</v>
  </rv>
  <rv s="0">
    <fb>80.78</fb>
    <v>1</v>
  </rv>
  <rv s="0">
    <fb>44911</fb>
    <v>0</v>
  </rv>
  <rv s="0">
    <fb>79.48</fb>
    <v>1</v>
  </rv>
  <rv s="0">
    <fb>44914</fb>
    <v>0</v>
  </rv>
  <rv s="0">
    <fb>79.8</fb>
    <v>1</v>
  </rv>
  <rv s="0">
    <fb>44915</fb>
    <v>0</v>
  </rv>
  <rv s="0">
    <fb>79.239999999999995</fb>
    <v>1</v>
  </rv>
  <rv s="0">
    <fb>44916</fb>
    <v>0</v>
  </rv>
  <rv s="0">
    <fb>80.63</fb>
    <v>1</v>
  </rv>
  <rv s="0">
    <fb>44917</fb>
    <v>0</v>
  </rv>
  <rv s="0">
    <fb>80.459999999999994</fb>
    <v>1</v>
  </rv>
  <rv s="0">
    <fb>44918</fb>
    <v>0</v>
  </rv>
  <rv s="0">
    <fb>81.349999999999994</fb>
    <v>1</v>
  </rv>
  <rv s="0">
    <fb>44922</fb>
    <v>0</v>
  </rv>
  <rv s="0">
    <fb>81.86</fb>
    <v>1</v>
  </rv>
  <rv s="0">
    <fb>44923</fb>
    <v>0</v>
  </rv>
  <rv s="0">
    <fb>80.17</fb>
    <v>1</v>
  </rv>
  <rv s="0">
    <fb>44924</fb>
    <v>0</v>
  </rv>
  <rv s="0">
    <fb>81.239999999999995</fb>
    <v>1</v>
  </rv>
  <rv s="0">
    <fb>44925</fb>
    <v>0</v>
  </rv>
  <rv s="0">
    <fb>80.209999999999994</fb>
    <v>1</v>
  </rv>
  <rv s="0">
    <fb>44929</fb>
    <v>0</v>
  </rv>
  <rv s="0">
    <fb>80.41</fb>
    <v>1</v>
  </rv>
  <rv s="0">
    <fb>44930</fb>
    <v>0</v>
  </rv>
  <rv s="0">
    <fb>81.94</fb>
    <v>1</v>
  </rv>
  <rv s="0">
    <fb>44931</fb>
    <v>0</v>
  </rv>
  <rv s="0">
    <fb>81.510000000000005</fb>
    <v>1</v>
  </rv>
  <rv s="0">
    <fb>44932</fb>
    <v>0</v>
  </rv>
  <rv s="0">
    <fb>83.04</fb>
    <v>1</v>
  </rv>
  <rv s="0">
    <fb>44935</fb>
    <v>0</v>
  </rv>
  <rv s="0">
    <fb>44936</fb>
    <v>0</v>
  </rv>
  <rv s="0">
    <fb>84.27</fb>
    <v>1</v>
  </rv>
  <rv s="0">
    <fb>44937</fb>
    <v>0</v>
  </rv>
  <rv s="0">
    <fb>85.85</fb>
    <v>1</v>
  </rv>
  <rv s="0">
    <fb>44938</fb>
    <v>0</v>
  </rv>
  <rv s="0">
    <fb>86.4</fb>
    <v>1</v>
  </rv>
  <rv s="0">
    <fb>44939</fb>
    <v>0</v>
  </rv>
  <rv s="0">
    <fb>85.78</fb>
    <v>1</v>
  </rv>
  <rv s="0">
    <fb>44943</fb>
    <v>0</v>
  </rv>
  <rv s="0">
    <fb>84.42</fb>
    <v>1</v>
  </rv>
  <rv s="0">
    <fb>44944</fb>
    <v>0</v>
  </rv>
  <rv s="0">
    <fb>82.96</fb>
    <v>1</v>
  </rv>
  <rv s="0">
    <fb>44945</fb>
    <v>0</v>
  </rv>
  <rv s="0">
    <fb>81.52</fb>
    <v>1</v>
  </rv>
  <rv s="0">
    <fb>44946</fb>
    <v>0</v>
  </rv>
  <rv s="0">
    <fb>82.67</fb>
    <v>1</v>
  </rv>
  <rv s="0">
    <fb>44949</fb>
    <v>0</v>
  </rv>
  <rv s="0">
    <fb>84.24</fb>
    <v>1</v>
  </rv>
  <rv s="0">
    <fb>44950</fb>
    <v>0</v>
  </rv>
  <rv s="0">
    <fb>83.63</fb>
    <v>1</v>
  </rv>
  <rv s="0">
    <fb>44951</fb>
    <v>0</v>
  </rv>
  <rv s="0">
    <fb>84</fb>
    <v>1</v>
  </rv>
  <rv s="0">
    <fb>44952</fb>
    <v>0</v>
  </rv>
  <rv s="0">
    <fb>83.95</fb>
    <v>1</v>
  </rv>
  <rv s="0">
    <fb>44953</fb>
    <v>0</v>
  </rv>
  <rv s="0">
    <fb>85.18</fb>
    <v>1</v>
  </rv>
  <rv s="0">
    <fb>44956</fb>
    <v>0</v>
  </rv>
  <rv s="0">
    <fb>86.38</fb>
    <v>1</v>
  </rv>
  <rv s="0">
    <fb>44957</fb>
    <v>0</v>
  </rv>
  <rv s="0">
    <fb>88.72</fb>
    <v>1</v>
  </rv>
  <rv s="0">
    <fb>44958</fb>
    <v>0</v>
  </rv>
  <rv s="0">
    <fb>89.65</fb>
    <v>1</v>
  </rv>
  <rv s="0">
    <fb>44959</fb>
    <v>0</v>
  </rv>
  <rv s="0">
    <fb>91.42</fb>
    <v>1</v>
  </rv>
  <rv s="0">
    <fb>44960</fb>
    <v>0</v>
  </rv>
  <rv s="0">
    <fb>90.32</fb>
    <v>1</v>
  </rv>
  <rv s="0">
    <fb>44963</fb>
    <v>0</v>
  </rv>
  <rv s="0">
    <fb>87.97</fb>
    <v>1</v>
  </rv>
  <rv s="0">
    <fb>44964</fb>
    <v>0</v>
  </rv>
  <rv s="0">
    <fb>87.79</fb>
    <v>1</v>
  </rv>
  <rv s="0">
    <fb>44965</fb>
    <v>0</v>
  </rv>
  <rv s="0">
    <fb>44966</fb>
    <v>0</v>
  </rv>
  <rv s="0">
    <fb>84.96</fb>
    <v>1</v>
  </rv>
  <rv s="0">
    <fb>44967</fb>
    <v>0</v>
  </rv>
  <rv s="0">
    <fb>85.52</fb>
    <v>1</v>
  </rv>
  <rv s="0">
    <fb>44970</fb>
    <v>0</v>
  </rv>
  <rv s="0">
    <fb>87.26</fb>
    <v>1</v>
  </rv>
  <rv s="0">
    <fb>44971</fb>
    <v>0</v>
  </rv>
  <rv s="0">
    <fb>88.31</fb>
    <v>1</v>
  </rv>
  <rv s="0">
    <fb>44972</fb>
    <v>0</v>
  </rv>
  <rv s="0">
    <fb>88.95</fb>
    <v>1</v>
  </rv>
  <rv s="0">
    <fb>44973</fb>
    <v>0</v>
  </rv>
  <rv s="0">
    <fb>88.2</fb>
    <v>1</v>
  </rv>
  <rv s="0">
    <fb>44974</fb>
    <v>0</v>
  </rv>
  <rv s="0">
    <fb>86.94</fb>
    <v>1</v>
  </rv>
  <rv s="0">
    <fb>44978</fb>
    <v>0</v>
  </rv>
  <rv s="0">
    <fb>83.13</fb>
    <v>1</v>
  </rv>
  <rv s="0">
    <fb>44979</fb>
    <v>0</v>
  </rv>
  <rv s="0">
    <fb>83.18</fb>
    <v>1</v>
  </rv>
  <rv s="0">
    <fb>44980</fb>
    <v>0</v>
  </rv>
  <rv s="0">
    <fb>83</fb>
    <v>1</v>
  </rv>
  <rv s="0">
    <fb>44981</fb>
    <v>0</v>
  </rv>
  <rv s="0">
    <fb>83.82</fb>
    <v>1</v>
  </rv>
  <rv s="0">
    <fb>44984</fb>
    <v>0</v>
  </rv>
  <rv s="0">
    <fb>82.63</fb>
    <v>1</v>
  </rv>
  <rv s="0">
    <fb>44985</fb>
    <v>0</v>
  </rv>
  <rv s="0">
    <fb>83.11</fb>
    <v>1</v>
  </rv>
  <rv s="0">
    <fb>44986</fb>
    <v>0</v>
  </rv>
  <rv s="0">
    <fb>82.54</fb>
    <v>1</v>
  </rv>
  <rv s="0">
    <fb>44987</fb>
    <v>0</v>
  </rv>
  <rv s="0">
    <fb>80.790000000000006</fb>
    <v>1</v>
  </rv>
  <rv s="0">
    <fb>44988</fb>
    <v>0</v>
  </rv>
  <rv s="0">
    <fb>83.26</fb>
    <v>1</v>
  </rv>
  <rv s="0">
    <fb>44991</fb>
    <v>0</v>
  </rv>
  <rv s="0">
    <fb>82.3</fb>
    <v>1</v>
  </rv>
  <rv s="0">
    <fb>44992</fb>
    <v>0</v>
  </rv>
  <rv s="0">
    <fb>44993</fb>
    <v>0</v>
  </rv>
  <rv s="0">
    <fb>81.150000000000006</fb>
    <v>1</v>
  </rv>
  <rv s="0">
    <fb>44994</fb>
    <v>0</v>
  </rv>
  <rv s="0">
    <fb>79</fb>
    <v>1</v>
  </rv>
  <rv s="0">
    <fb>44995</fb>
    <v>0</v>
  </rv>
  <rv s="0">
    <fb>78.61</fb>
    <v>1</v>
  </rv>
  <rv s="0">
    <fb>44998</fb>
    <v>0</v>
  </rv>
  <rv s="0">
    <fb>75.77</fb>
    <v>1</v>
  </rv>
  <rv s="0">
    <fb>44999</fb>
    <v>0</v>
  </rv>
  <rv s="0">
    <fb>74.84</fb>
    <v>1</v>
  </rv>
  <rv s="0">
    <fb>45000</fb>
    <v>0</v>
  </rv>
  <rv s="0">
    <fb>75.55</fb>
    <v>1</v>
  </rv>
  <rv s="0">
    <fb>45001</fb>
    <v>0</v>
  </rv>
  <rv s="0">
    <fb>77.09</fb>
    <v>1</v>
  </rv>
  <rv s="0">
    <fb>45002</fb>
    <v>0</v>
  </rv>
  <rv s="0">
    <fb>76.73</fb>
    <v>1</v>
  </rv>
  <rv s="0">
    <fb>45005</fb>
    <v>0</v>
  </rv>
  <rv s="0">
    <fb>78.13</fb>
    <v>1</v>
  </rv>
  <rv s="0">
    <fb>45006</fb>
    <v>0</v>
  </rv>
  <rv s="0">
    <fb>77.77</fb>
    <v>1</v>
  </rv>
  <rv s="0">
    <fb>45007</fb>
    <v>0</v>
  </rv>
  <rv s="0">
    <fb>75.94</fb>
    <v>1</v>
  </rv>
  <rv s="0">
    <fb>45008</fb>
    <v>0</v>
  </rv>
  <rv s="0">
    <fb>74.59</fb>
    <v>1</v>
  </rv>
  <rv s="0">
    <fb>45009</fb>
    <v>0</v>
  </rv>
  <rv s="0">
    <fb>74.319999999999993</fb>
    <v>1</v>
  </rv>
  <rv s="0">
    <fb>45012</fb>
    <v>0</v>
  </rv>
  <rv s="0">
    <fb>73.849999999999994</fb>
    <v>1</v>
  </rv>
  <rv s="0">
    <fb>45013</fb>
    <v>0</v>
  </rv>
  <rv s="0">
    <fb>45014</fb>
    <v>0</v>
  </rv>
  <rv s="0">
    <fb>74.86</fb>
    <v>1</v>
  </rv>
  <rv s="0">
    <fb>45015</fb>
    <v>0</v>
  </rv>
  <rv s="0">
    <fb>75.319999999999993</fb>
    <v>1</v>
  </rv>
  <rv s="0">
    <fb>45016</fb>
    <v>0</v>
  </rv>
  <rv s="0">
    <fb>78.27</fb>
    <v>1</v>
  </rv>
  <rv s="0">
    <fb>45019</fb>
    <v>0</v>
  </rv>
  <rv s="0">
    <fb>45020</fb>
    <v>0</v>
  </rv>
  <rv s="0">
    <fb>77.84</fb>
    <v>1</v>
  </rv>
  <rv s="0">
    <fb>45021</fb>
    <v>0</v>
  </rv>
  <rv s="0">
    <fb>76.28</fb>
    <v>1</v>
  </rv>
  <rv s="0">
    <fb>45022</fb>
    <v>0</v>
  </rv>
  <rv s="0">
    <fb>75.08</fb>
    <v>1</v>
  </rv>
  <rv s="0">
    <fb>45026</fb>
    <v>0</v>
  </rv>
  <rv s="0">
    <fb>74.959999999999994</fb>
    <v>1</v>
  </rv>
  <rv s="0">
    <fb>45027</fb>
    <v>0</v>
  </rv>
  <rv s="0">
    <fb>75.25</fb>
    <v>1</v>
  </rv>
  <rv s="0">
    <fb>45028</fb>
    <v>0</v>
  </rv>
  <rv s="0">
    <fb>73.17</fb>
    <v>1</v>
  </rv>
  <rv s="0">
    <fb>45029</fb>
    <v>0</v>
  </rv>
  <rv s="0">
    <fb>73.19</fb>
    <v>1</v>
  </rv>
  <rv s="0">
    <fb>45030</fb>
    <v>0</v>
  </rv>
  <rv s="0">
    <fb>73.38</fb>
    <v>1</v>
  </rv>
  <rv s="0">
    <fb>45033</fb>
    <v>0</v>
  </rv>
  <rv s="0">
    <fb>73.31</fb>
    <v>1</v>
  </rv>
  <rv s="0">
    <fb>45034</fb>
    <v>0</v>
  </rv>
  <rv s="0">
    <fb>73.98</fb>
    <v>1</v>
  </rv>
  <rv s="0">
    <fb>45035</fb>
    <v>0</v>
  </rv>
  <rv s="0">
    <fb>72.709999999999994</fb>
    <v>1</v>
  </rv>
  <rv s="0">
    <fb>45036</fb>
    <v>0</v>
  </rv>
  <rv s="0">
    <fb>72.58</fb>
    <v>1</v>
  </rv>
  <rv s="0">
    <fb>45037</fb>
    <v>0</v>
  </rv>
  <rv s="0">
    <fb>72.760000000000005</fb>
    <v>1</v>
  </rv>
  <rv s="0">
    <fb>45040</fb>
    <v>0</v>
  </rv>
  <rv s="0">
    <fb>45041</fb>
    <v>0</v>
  </rv>
  <rv s="0">
    <fb>71.37</fb>
    <v>1</v>
  </rv>
  <rv s="0">
    <fb>45042</fb>
    <v>0</v>
  </rv>
  <rv s="0">
    <fb>71.510000000000005</fb>
    <v>1</v>
  </rv>
  <rv s="0">
    <fb>45043</fb>
    <v>0</v>
  </rv>
  <rv s="0">
    <fb>73.53</fb>
    <v>1</v>
  </rv>
  <rv s="0">
    <fb>45044</fb>
    <v>0</v>
  </rv>
  <rv s="0">
    <fb>74.52</fb>
    <v>1</v>
  </rv>
  <rv s="0">
    <fb>45047</fb>
    <v>0</v>
  </rv>
  <rv s="0">
    <fb>73.650000000000006</fb>
    <v>1</v>
  </rv>
  <rv s="0">
    <fb>45048</fb>
    <v>0</v>
  </rv>
  <rv s="0">
    <fb>73.2</fb>
    <v>1</v>
  </rv>
  <rv s="0">
    <fb>45049</fb>
    <v>0</v>
  </rv>
  <rv s="0">
    <fb>72.78</fb>
    <v>1</v>
  </rv>
  <rv s="0">
    <fb>45050</fb>
    <v>0</v>
  </rv>
  <rv s="0">
    <fb>71.599999999999994</fb>
    <v>1</v>
  </rv>
  <rv s="0">
    <fb>45051</fb>
    <v>0</v>
  </rv>
  <rv s="0">
    <fb>73.569999999999993</fb>
    <v>1</v>
  </rv>
  <rv s="0">
    <fb>45054</fb>
    <v>0</v>
  </rv>
  <rv s="0">
    <fb>72.459999999999994</fb>
    <v>1</v>
  </rv>
  <rv s="0">
    <fb>45055</fb>
    <v>0</v>
  </rv>
  <rv s="0">
    <fb>72.650000000000006</fb>
    <v>1</v>
  </rv>
  <rv s="0">
    <fb>45056</fb>
    <v>0</v>
  </rv>
  <rv s="0">
    <fb>72.22</fb>
    <v>1</v>
  </rv>
  <rv s="0">
    <fb>45057</fb>
    <v>0</v>
  </rv>
  <rv s="0">
    <fb>71.62</fb>
    <v>1</v>
  </rv>
  <rv s="0">
    <fb>45058</fb>
    <v>0</v>
  </rv>
  <rv s="0">
    <fb>71.73</fb>
    <v>1</v>
  </rv>
  <rv s="0">
    <fb>45061</fb>
    <v>0</v>
  </rv>
  <rv s="0">
    <fb>72.7</fb>
    <v>1</v>
  </rv>
  <rv s="0">
    <fb>45062</fb>
    <v>0</v>
  </rv>
  <rv s="0">
    <fb>70.739999999999995</fb>
    <v>1</v>
  </rv>
  <rv s="0">
    <fb>45063</fb>
    <v>0</v>
  </rv>
  <rv s="0">
    <fb>73.94</fb>
    <v>1</v>
  </rv>
  <rv s="0">
    <fb>45064</fb>
    <v>0</v>
  </rv>
  <rv s="0">
    <fb>73.040000000000006</fb>
    <v>1</v>
  </rv>
  <rv s="0">
    <fb>45065</fb>
    <v>0</v>
  </rv>
  <rv s="0">
    <fb>70.53</fb>
    <v>1</v>
  </rv>
  <rv s="0">
    <fb>45068</fb>
    <v>0</v>
  </rv>
  <rv s="0">
    <fb>70.319999999999993</fb>
    <v>1</v>
  </rv>
  <rv s="0">
    <fb>45069</fb>
    <v>0</v>
  </rv>
  <rv s="0">
    <fb>69.489999999999995</fb>
    <v>1</v>
  </rv>
  <rv s="0">
    <fb>45070</fb>
    <v>0</v>
  </rv>
  <rv s="0">
    <fb>69.150000000000006</fb>
    <v>1</v>
  </rv>
  <rv s="0">
    <fb>45071</fb>
    <v>0</v>
  </rv>
  <rv s="0">
    <fb>71.28</fb>
    <v>1</v>
  </rv>
  <rv s="0">
    <fb>45072</fb>
    <v>0</v>
  </rv>
  <rv s="0">
    <fb>74.33</fb>
    <v>1</v>
  </rv>
  <rv s="0">
    <fb>45076</fb>
    <v>0</v>
  </rv>
  <rv s="0">
    <fb>73.400000000000006</fb>
    <v>1</v>
  </rv>
  <rv s="0">
    <fb>45077</fb>
    <v>0</v>
  </rv>
  <rv s="0">
    <fb>72.67</fb>
    <v>1</v>
  </rv>
  <rv s="0">
    <fb>45078</fb>
    <v>0</v>
  </rv>
  <rv s="0">
    <fb>72.900000000000006</fb>
    <v>1</v>
  </rv>
  <rv s="0">
    <fb>45079</fb>
    <v>0</v>
  </rv>
  <rv s="0">
    <fb>73.209999999999994</fb>
    <v>1</v>
  </rv>
  <rv s="0">
    <fb>45082</fb>
    <v>0</v>
  </rv>
  <rv s="0">
    <fb>72.83</fb>
    <v>1</v>
  </rv>
  <rv s="0">
    <fb>45083</fb>
    <v>0</v>
  </rv>
  <rv s="0">
    <fb>74.349999999999994</fb>
    <v>1</v>
  </rv>
  <rv s="0">
    <fb>45084</fb>
    <v>0</v>
  </rv>
  <rv s="0">
    <fb>75.680000000000007</fb>
    <v>1</v>
  </rv>
  <rv s="0">
    <fb>45085</fb>
    <v>0</v>
  </rv>
  <rv s="0">
    <fb>75.36</fb>
    <v>1</v>
  </rv>
  <rv s="0">
    <fb>45086</fb>
    <v>0</v>
  </rv>
  <rv s="0">
    <fb>75.239999999999995</fb>
    <v>1</v>
  </rv>
  <rv s="0">
    <fb>45089</fb>
    <v>0</v>
  </rv>
  <rv s="0">
    <fb>76.400000000000006</fb>
    <v>1</v>
  </rv>
  <rv s="0">
    <fb>45090</fb>
    <v>0</v>
  </rv>
  <rv s="0">
    <fb>77.36</fb>
    <v>1</v>
  </rv>
  <rv s="0">
    <fb>45091</fb>
    <v>0</v>
  </rv>
  <rv s="0">
    <fb>76.64</fb>
    <v>1</v>
  </rv>
  <rv s="0">
    <fb>45092</fb>
    <v>0</v>
  </rv>
  <rv s="0">
    <fb>78.98</fb>
    <v>1</v>
  </rv>
  <rv s="0">
    <fb>45093</fb>
    <v>0</v>
  </rv>
  <rv s="0">
    <fb>79.790000000000006</fb>
    <v>1</v>
  </rv>
  <rv s="0">
    <fb>45097</fb>
    <v>0</v>
  </rv>
  <rv s="0">
    <fb>78.819999999999993</fb>
    <v>1</v>
  </rv>
  <rv s="0">
    <fb>45098</fb>
    <v>0</v>
  </rv>
  <rv s="0">
    <fb>79.02</fb>
    <v>1</v>
  </rv>
  <rv s="0">
    <fb>45099</fb>
    <v>0</v>
  </rv>
  <rv s="0">
    <fb>79.05</fb>
    <v>1</v>
  </rv>
  <rv s="0">
    <fb>45100</fb>
    <v>0</v>
  </rv>
  <rv s="0">
    <fb>79.13</fb>
    <v>1</v>
  </rv>
  <rv s="0">
    <fb>45103</fb>
    <v>0</v>
  </rv>
  <rv s="0">
    <fb>81.400000000000006</fb>
    <v>1</v>
  </rv>
  <rv s="0">
    <fb>45104</fb>
    <v>0</v>
  </rv>
  <rv s="0">
    <fb>82.91</fb>
    <v>1</v>
  </rv>
  <rv s="0">
    <fb>45105</fb>
    <v>0</v>
  </rv>
  <rv s="0">
    <fb>82.28</fb>
    <v>1</v>
  </rv>
  <rv s="0">
    <fb>45106</fb>
    <v>0</v>
  </rv>
  <rv s="0">
    <fb>83.21</fb>
    <v>1</v>
  </rv>
  <rv s="0">
    <fb>45107</fb>
    <v>0</v>
  </rv>
  <rv s="0">
    <fb>81.95</fb>
    <v>1</v>
  </rv>
  <rv s="0">
    <fb>45110</fb>
    <v>0</v>
  </rv>
  <rv s="0">
    <fb>82.17</fb>
    <v>1</v>
  </rv>
  <rv s="0">
    <fb>45112</fb>
    <v>0</v>
  </rv>
  <rv s="0">
    <fb>81.05</fb>
    <v>1</v>
  </rv>
  <rv s="0">
    <fb>45113</fb>
    <v>0</v>
  </rv>
  <rv s="0">
    <fb>80.59</fb>
    <v>1</v>
  </rv>
  <rv s="0">
    <fb>45114</fb>
    <v>0</v>
  </rv>
  <rv s="0">
    <fb>79.3</fb>
    <v>1</v>
  </rv>
  <rv s="0">
    <fb>45117</fb>
    <v>0</v>
  </rv>
  <rv s="0">
    <fb>45118</fb>
    <v>0</v>
  </rv>
  <rv s="0">
    <fb>81.760000000000005</fb>
    <v>1</v>
  </rv>
  <rv s="0">
    <fb>45119</fb>
    <v>0</v>
  </rv>
  <rv s="0">
    <fb>81.08</fb>
    <v>1</v>
  </rv>
  <rv s="0">
    <fb>45120</fb>
    <v>0</v>
  </rv>
  <rv s="0">
    <fb>81.3</fb>
    <v>1</v>
  </rv>
  <rv s="0">
    <fb>45121</fb>
    <v>0</v>
  </rv>
  <rv s="0">
    <fb>80.23</fb>
    <v>1</v>
  </rv>
  <rv s="0">
    <fb>45124</fb>
    <v>0</v>
  </rv>
  <rv s="0">
    <fb>82.27</fb>
    <v>1</v>
  </rv>
  <rv s="0">
    <fb>45125</fb>
    <v>0</v>
  </rv>
  <rv s="0">
    <fb>83.57</fb>
    <v>1</v>
  </rv>
  <rv s="0">
    <fb>45126</fb>
    <v>0</v>
  </rv>
  <rv s="0">
    <fb>84.22</fb>
    <v>1</v>
  </rv>
  <rv s="0">
    <fb>45127</fb>
    <v>0</v>
  </rv>
  <rv s="0">
    <fb>83.62</fb>
    <v>1</v>
  </rv>
  <rv s="0">
    <fb>45128</fb>
    <v>0</v>
  </rv>
  <rv s="0">
    <fb>82.76</fb>
    <v>1</v>
  </rv>
  <rv s="0">
    <fb>45131</fb>
    <v>0</v>
  </rv>
  <rv s="0">
    <fb>84.79</fb>
    <v>1</v>
  </rv>
  <rv s="0">
    <fb>45132</fb>
    <v>0</v>
  </rv>
  <rv s="0">
    <fb>45133</fb>
    <v>0</v>
  </rv>
  <rv s="0">
    <fb>45134</fb>
    <v>0</v>
  </rv>
  <rv s="0">
    <fb>83.54</fb>
    <v>1</v>
  </rv>
  <rv s="0">
    <fb>45135</fb>
    <v>0</v>
  </rv>
  <rv s="0">
    <fb>82.9</fb>
    <v>1</v>
  </rv>
  <rv s="0">
    <fb>45138</fb>
    <v>0</v>
  </rv>
  <rv s="0">
    <fb>83.05</fb>
    <v>1</v>
  </rv>
  <rv s="0">
    <fb>45139</fb>
    <v>0</v>
  </rv>
  <rv s="0">
    <fb>82.77</fb>
    <v>1</v>
  </rv>
  <rv s="0">
    <fb>45140</fb>
    <v>0</v>
  </rv>
  <rv s="0">
    <fb>45141</fb>
    <v>0</v>
  </rv>
  <rv s="0">
    <fb>81.31</fb>
    <v>1</v>
  </rv>
  <rv s="0">
    <fb>45142</fb>
    <v>0</v>
  </rv>
  <rv s="0">
    <fb>79.83</fb>
    <v>1</v>
  </rv>
  <rv s="0">
    <fb>45145</fb>
    <v>0</v>
  </rv>
  <rv s="0">
    <fb>80.069999999999993</fb>
    <v>1</v>
  </rv>
  <rv s="0">
    <fb>45146</fb>
    <v>0</v>
  </rv>
  <rv s="0">
    <fb>79.16</fb>
    <v>1</v>
  </rv>
  <rv s="0">
    <fb>45147</fb>
    <v>0</v>
  </rv>
  <rv s="0">
    <fb>45148</fb>
    <v>0</v>
  </rv>
  <rv s="0">
    <fb>45149</fb>
    <v>0</v>
  </rv>
  <rv s="0">
    <fb>79.290000000000006</fb>
    <v>1</v>
  </rv>
  <rv s="0">
    <fb>45152</fb>
    <v>0</v>
  </rv>
  <rv s="0">
    <fb>79.180000000000007</fb>
    <v>1</v>
  </rv>
  <rv s="0">
    <fb>45153</fb>
    <v>0</v>
  </rv>
  <rv s="0">
    <fb>78.48</fb>
    <v>1</v>
  </rv>
  <rv s="0">
    <fb>45154</fb>
    <v>0</v>
  </rv>
  <rv s="0">
    <fb>78.44</fb>
    <v>1</v>
  </rv>
  <rv s="0">
    <fb>45155</fb>
    <v>0</v>
  </rv>
  <rv s="0">
    <fb>77.72</fb>
    <v>1</v>
  </rv>
  <rv s="0">
    <fb>45156</fb>
    <v>0</v>
  </rv>
  <rv s="0">
    <fb>78.59</fb>
    <v>1</v>
  </rv>
  <rv s="0">
    <fb>45159</fb>
    <v>0</v>
  </rv>
  <rv s="0">
    <fb>78.88</fb>
    <v>1</v>
  </rv>
  <rv s="0">
    <fb>45160</fb>
    <v>0</v>
  </rv>
  <rv s="0">
    <fb>74.23</fb>
    <v>1</v>
  </rv>
  <rv s="0">
    <fb>45161</fb>
    <v>0</v>
  </rv>
  <rv s="0">
    <fb>45162</fb>
    <v>0</v>
  </rv>
  <rv s="0">
    <fb>73.13</fb>
    <v>1</v>
  </rv>
  <rv s="0">
    <fb>45163</fb>
    <v>0</v>
  </rv>
  <rv s="0">
    <fb>45166</fb>
    <v>0</v>
  </rv>
  <rv s="0">
    <fb>74.069999999999993</fb>
    <v>1</v>
  </rv>
  <rv s="0">
    <fb>45167</fb>
    <v>0</v>
  </rv>
  <rv s="0">
    <fb>76.930000000000007</fb>
    <v>1</v>
  </rv>
  <rv s="0">
    <fb>45168</fb>
    <v>0</v>
  </rv>
  <rv s="0">
    <fb>75.930000000000007</fb>
    <v>1</v>
  </rv>
  <rv s="0">
    <fb>45169</fb>
    <v>0</v>
  </rv>
  <rv s="0">
    <fb>76.45</fb>
    <v>1</v>
  </rv>
  <rv s="0">
    <fb>45170</fb>
    <v>0</v>
  </rv>
  <rv s="0">
    <fb>75.27</fb>
    <v>1</v>
  </rv>
  <rv s="0">
    <fb>45174</fb>
    <v>0</v>
  </rv>
  <rv s="0">
    <fb>73.95</fb>
    <v>1</v>
  </rv>
  <rv s="0">
    <fb>45175</fb>
    <v>0</v>
  </rv>
  <rv s="0">
    <fb>73.739999999999995</fb>
    <v>1</v>
  </rv>
  <rv s="0">
    <fb>45176</fb>
    <v>0</v>
  </rv>
  <rv s="0">
    <fb>45177</fb>
    <v>0</v>
  </rv>
  <rv s="0">
    <fb>73.23</fb>
    <v>1</v>
  </rv>
  <rv s="0">
    <fb>45180</fb>
    <v>0</v>
  </rv>
  <rv s="0">
    <fb>45181</fb>
    <v>0</v>
  </rv>
  <rv s="0">
    <fb>45182</fb>
    <v>0</v>
  </rv>
  <rv s="0">
    <fb>72.27</fb>
    <v>1</v>
  </rv>
  <rv s="0">
    <fb>45183</fb>
    <v>0</v>
  </rv>
  <rv s="0">
    <fb>73.45</fb>
    <v>1</v>
  </rv>
  <rv s="0">
    <fb>45184</fb>
    <v>0</v>
  </rv>
  <rv s="0">
    <fb>72.39</fb>
    <v>1</v>
  </rv>
  <rv s="0">
    <fb>45187</fb>
    <v>0</v>
  </rv>
  <rv s="0">
    <fb>70.64</fb>
    <v>1</v>
  </rv>
  <rv s="0">
    <fb>45188</fb>
    <v>0</v>
  </rv>
  <rv s="0">
    <fb>71.44</fb>
    <v>1</v>
  </rv>
  <rv s="0">
    <fb>45189</fb>
    <v>0</v>
  </rv>
  <rv s="0">
    <fb>70.75</fb>
    <v>1</v>
  </rv>
  <rv s="0">
    <fb>45190</fb>
    <v>0</v>
  </rv>
  <rv s="0">
    <fb>70.45</fb>
    <v>1</v>
  </rv>
  <rv s="0">
    <fb>45191</fb>
    <v>0</v>
  </rv>
  <rv s="0">
    <fb>69.25</fb>
    <v>1</v>
  </rv>
  <rv s="0">
    <fb>45194</fb>
    <v>0</v>
  </rv>
  <rv s="0">
    <fb>69.790000000000006</fb>
    <v>1</v>
  </rv>
  <rv s="0">
    <fb>45195</fb>
    <v>0</v>
  </rv>
  <rv s="0">
    <fb>68.03</fb>
    <v>1</v>
  </rv>
  <rv s="0">
    <fb>45196</fb>
    <v>0</v>
  </rv>
  <rv s="0">
    <fb>68.37</fb>
    <v>1</v>
  </rv>
  <rv s="0">
    <fb>45197</fb>
    <v>0</v>
  </rv>
  <rv s="0">
    <fb>68.900000000000006</fb>
    <v>1</v>
  </rv>
  <rv s="0">
    <fb>45198</fb>
    <v>0</v>
  </rv>
  <rv s="0">
    <fb>69.47</fb>
    <v>1</v>
  </rv>
  <rv s="0">
    <fb>45201</fb>
    <v>0</v>
  </rv>
  <rv s="0">
    <fb>69.09</fb>
    <v>1</v>
  </rv>
  <rv s="0">
    <fb>45202</fb>
    <v>0</v>
  </rv>
  <rv s="0">
    <fb>67.61</fb>
    <v>1</v>
  </rv>
  <rv s="0">
    <fb>45203</fb>
    <v>0</v>
  </rv>
  <rv s="0">
    <fb>68.56</fb>
    <v>1</v>
  </rv>
  <rv s="0">
    <fb>45204</fb>
    <v>0</v>
  </rv>
  <rv s="0">
    <fb>67.63</fb>
    <v>1</v>
  </rv>
  <rv s="0">
    <fb>45205</fb>
    <v>0</v>
  </rv>
  <rv s="0">
    <fb>68.760000000000005</fb>
    <v>1</v>
  </rv>
  <rv s="0">
    <fb>45208</fb>
    <v>0</v>
  </rv>
  <rv s="0">
    <fb>70.25</fb>
    <v>1</v>
  </rv>
  <rv s="0">
    <fb>45209</fb>
    <v>0</v>
  </rv>
  <rv s="0">
    <fb>70.38</fb>
    <v>1</v>
  </rv>
  <rv s="0">
    <fb>45210</fb>
    <v>0</v>
  </rv>
  <rv s="0">
    <fb>70.95</fb>
    <v>1</v>
  </rv>
  <rv s="0">
    <fb>45211</fb>
    <v>0</v>
  </rv>
  <rv s="0">
    <fb>45212</fb>
    <v>0</v>
  </rv>
  <rv s="0">
    <fb>45215</fb>
    <v>0</v>
  </rv>
  <rv s="0">
    <fb>70.760000000000005</fb>
    <v>1</v>
  </rv>
  <rv s="0">
    <fb>45216</fb>
    <v>0</v>
  </rv>
  <rv s="0">
    <fb>71.03</fb>
    <v>1</v>
  </rv>
  <rv s="0">
    <fb>45217</fb>
    <v>0</v>
  </rv>
  <rv s="0">
    <fb>70.2</fb>
    <v>1</v>
  </rv>
  <rv s="0">
    <fb>45218</fb>
    <v>0</v>
  </rv>
  <rv s="0">
    <fb>69.5</fb>
    <v>1</v>
  </rv>
  <rv s="0">
    <fb>45219</fb>
    <v>0</v>
  </rv>
  <rv s="0">
    <fb>68.680000000000007</fb>
    <v>1</v>
  </rv>
  <rv s="0">
    <fb>45222</fb>
    <v>0</v>
  </rv>
  <rv s="0">
    <fb>45223</fb>
    <v>0</v>
  </rv>
  <rv s="0">
    <fb>67.989999999999995</fb>
    <v>1</v>
  </rv>
  <rv s="0">
    <fb>45224</fb>
    <v>0</v>
  </rv>
  <rv s="0">
    <fb>67.59</fb>
    <v>1</v>
  </rv>
  <rv s="0">
    <fb>45225</fb>
    <v>0</v>
  </rv>
  <rv s="0">
    <fb>66.11</fb>
    <v>1</v>
  </rv>
  <rv s="0">
    <fb>45226</fb>
    <v>0</v>
  </rv>
  <rv s="0">
    <fb>64.41</fb>
    <v>1</v>
  </rv>
  <rv s="0">
    <fb>45229</fb>
    <v>0</v>
  </rv>
  <rv s="0">
    <fb>64.489999999999995</fb>
    <v>1</v>
  </rv>
  <rv s="0">
    <fb>45230</fb>
    <v>0</v>
  </rv>
  <rv s="0">
    <fb>66.819999999999993</fb>
    <v>1</v>
  </rv>
  <rv s="0">
    <fb>45231</fb>
    <v>0</v>
  </rv>
  <rv s="0">
    <fb>65.97</fb>
    <v>1</v>
  </rv>
  <rv s="0">
    <fb>45232</fb>
    <v>0</v>
  </rv>
  <rv s="0">
    <fb>66.349999999999994</fb>
    <v>1</v>
  </rv>
  <rv s="0">
    <fb>45233</fb>
    <v>0</v>
  </rv>
  <rv s="0">
    <fb>67.19</fb>
    <v>1</v>
  </rv>
  <rv s="0">
    <fb>45236</fb>
    <v>0</v>
  </rv>
  <rv s="0">
    <fb>66.959999999999994</fb>
    <v>1</v>
  </rv>
  <rv s="0">
    <fb>45237</fb>
    <v>0</v>
  </rv>
  <rv s="0">
    <fb>65.569999999999993</fb>
    <v>1</v>
  </rv>
  <rv s="0">
    <fb>45238</fb>
    <v>0</v>
  </rv>
  <rv s="0">
    <fb>63.94</fb>
    <v>1</v>
  </rv>
  <rv s="0">
    <fb>45239</fb>
    <v>0</v>
  </rv>
  <rv s="0">
    <fb>62.88</fb>
    <v>1</v>
  </rv>
  <rv s="0">
    <fb>45240</fb>
    <v>0</v>
  </rv>
  <rv s="0">
    <fb>64.12</fb>
    <v>1</v>
  </rv>
  <rv s="0">
    <fb>45243</fb>
    <v>0</v>
  </rv>
  <rv s="0">
    <fb>63.84</fb>
    <v>1</v>
  </rv>
  <rv s="0">
    <fb>45244</fb>
    <v>0</v>
  </rv>
  <rv s="0">
    <fb>66.48</fb>
    <v>1</v>
  </rv>
  <rv s="0">
    <fb>45245</fb>
    <v>0</v>
  </rv>
  <rv s="0">
    <fb>45246</fb>
    <v>0</v>
  </rv>
  <rv s="0">
    <fb>66.75</fb>
    <v>1</v>
  </rv>
  <rv s="0">
    <fb>45247</fb>
    <v>0</v>
  </rv>
  <rv s="0">
    <fb>68.22</fb>
    <v>1</v>
  </rv>
  <rv s="0">
    <fb>45250</fb>
    <v>0</v>
  </rv>
  <rv s="0">
    <fb>68.11</fb>
    <v>1</v>
  </rv>
  <rv s="0">
    <fb>45251</fb>
    <v>0</v>
  </rv>
  <rv s="0">
    <fb>67.62</fb>
    <v>1</v>
  </rv>
  <rv s="0">
    <fb>45252</fb>
    <v>0</v>
  </rv>
  <rv s="0">
    <fb>45254</fb>
    <v>0</v>
  </rv>
  <rv s="0">
    <fb>69.510000000000005</fb>
    <v>1</v>
  </rv>
  <rv s="0">
    <fb>45257</fb>
    <v>0</v>
  </rv>
  <rv s="0">
    <fb>69.36</fb>
    <v>1</v>
  </rv>
  <rv s="0">
    <fb>45258</fb>
    <v>0</v>
  </rv>
  <rv s="0">
    <fb>71.02</fb>
    <v>1</v>
  </rv>
  <rv s="0">
    <fb>45259</fb>
    <v>0</v>
  </rv>
  <rv s="0">
    <fb>70.78</fb>
    <v>1</v>
  </rv>
  <rv s="0">
    <fb>45260</fb>
    <v>0</v>
  </rv>
  <rv s="0">
    <fb>70.94</fb>
    <v>1</v>
  </rv>
  <rv s="0">
    <fb>45261</fb>
    <v>0</v>
  </rv>
  <rv s="0">
    <fb>73.42</fb>
    <v>1</v>
  </rv>
  <rv s="0">
    <fb>45264</fb>
    <v>0</v>
  </rv>
  <rv s="0">
    <fb>45265</fb>
    <v>0</v>
  </rv>
  <rv s="0">
    <fb>74</fb>
    <v>1</v>
  </rv>
  <rv s="0">
    <fb>45266</fb>
    <v>0</v>
  </rv>
  <rv s="0">
    <fb>75.09</fb>
    <v>1</v>
  </rv>
  <rv s="0">
    <fb>45267</fb>
    <v>0</v>
  </rv>
  <rv s="0">
    <fb>74.56</fb>
    <v>1</v>
  </rv>
  <rv s="0">
    <fb>45268</fb>
    <v>0</v>
  </rv>
  <rv s="0">
    <fb>73.989999999999995</fb>
    <v>1</v>
  </rv>
  <rv s="0">
    <fb>45271</fb>
    <v>0</v>
  </rv>
  <rv s="0">
    <fb>74.14</fb>
    <v>1</v>
  </rv>
  <rv s="0">
    <fb>45272</fb>
    <v>0</v>
  </rv>
  <rv s="0">
    <fb>45273</fb>
    <v>0</v>
  </rv>
  <rv s="0">
    <fb>72.37</fb>
    <v>1</v>
  </rv>
  <rv s="0">
    <fb>45274</fb>
    <v>0</v>
  </rv>
  <rv s="0">
    <fb>77.5</fb>
    <v>1</v>
  </rv>
  <rv s="0">
    <fb>45275</fb>
    <v>0</v>
  </rv>
  <rv s="0">
    <fb>77.319999999999993</fb>
    <v>1</v>
  </rv>
  <rv s="0">
    <fb>45278</fb>
    <v>0</v>
  </rv>
  <rv s="0">
    <fb>45279</fb>
    <v>0</v>
  </rv>
  <rv s="0">
    <fb>77.44</fb>
    <v>1</v>
  </rv>
  <rv s="0">
    <fb>45280</fb>
    <v>0</v>
  </rv>
  <rv s="0">
    <fb>75.61</fb>
    <v>1</v>
  </rv>
  <rv s="0">
    <fb>45281</fb>
    <v>0</v>
  </rv>
  <rv s="0">
    <fb>75.819999999999993</fb>
    <v>1</v>
  </rv>
  <rv s="0">
    <fb>45282</fb>
    <v>0</v>
  </rv>
  <rv s="0">
    <fb>76.14</fb>
    <v>1</v>
  </rv>
  <rv s="0">
    <fb>45286</fb>
    <v>0</v>
  </rv>
  <rv s="0">
    <fb>77.88</fb>
    <v>1</v>
  </rv>
  <rv s="0">
    <fb>45287</fb>
    <v>0</v>
  </rv>
  <rv s="0">
    <fb>77.95</fb>
    <v>1</v>
  </rv>
  <rv s="0">
    <fb>45288</fb>
    <v>0</v>
  </rv>
  <rv s="0">
    <fb>78.459999999999994</fb>
    <v>1</v>
  </rv>
  <rv s="0">
    <fb>45289</fb>
    <v>0</v>
  </rv>
  <rv s="0">
    <fb>78.28</fb>
    <v>1</v>
  </rv>
  <rv s="0">
    <fb>45293</fb>
    <v>0</v>
  </rv>
  <rv s="0">
    <fb>77.260000000000005</fb>
    <v>1</v>
  </rv>
  <rv s="0">
    <fb>45294</fb>
    <v>0</v>
  </rv>
  <rv s="0">
    <fb>75.430000000000007</fb>
    <v>1</v>
  </rv>
  <rv s="0">
    <fb>45295</fb>
    <v>0</v>
  </rv>
  <rv s="0">
    <fb>75.3</fb>
    <v>1</v>
  </rv>
  <rv s="0">
    <fb>45296</fb>
    <v>0</v>
  </rv>
  <rv s="0">
    <fb>75.83</fb>
    <v>1</v>
  </rv>
  <rv s="0">
    <fb>45299</fb>
    <v>0</v>
  </rv>
  <rv s="0">
    <fb>75.540000000000006</fb>
    <v>1</v>
  </rv>
  <rv s="0">
    <fb>45300</fb>
    <v>0</v>
  </rv>
  <rv s="0">
    <fb>75.16</fb>
    <v>1</v>
  </rv>
  <rv s="0">
    <fb>45301</fb>
    <v>0</v>
  </rv>
  <rv s="0">
    <fb>45302</fb>
    <v>0</v>
  </rv>
  <rv s="0">
    <fb>74.650000000000006</fb>
    <v>1</v>
  </rv>
  <rv s="0">
    <fb>45303</fb>
    <v>0</v>
  </rv>
  <rv s="0">
    <fb>73.86</fb>
    <v>1</v>
  </rv>
  <rv s="0">
    <fb>45307</fb>
    <v>0</v>
  </rv>
  <rv s="0">
    <fb>71.86</fb>
    <v>1</v>
  </rv>
  <rv s="0">
    <fb>45308</fb>
    <v>0</v>
  </rv>
  <rv s="0">
    <fb>45309</fb>
    <v>0</v>
  </rv>
  <rv s="0">
    <fb>45310</fb>
    <v>0</v>
  </rv>
  <rv s="0">
    <fb>71</fb>
    <v>1</v>
  </rv>
  <rv s="0">
    <fb>45313</fb>
    <v>0</v>
  </rv>
  <rv s="0">
    <fb>73.489999999999995</fb>
    <v>1</v>
  </rv>
  <rv s="0">
    <fb>45314</fb>
    <v>0</v>
  </rv>
  <rv s="0">
    <fb>73.069999999999993</fb>
    <v>1</v>
  </rv>
  <rv s="0">
    <fb>45315</fb>
    <v>0</v>
  </rv>
  <rv s="0">
    <fb>73.33</fb>
    <v>1</v>
  </rv>
  <rv s="0">
    <fb>45316</fb>
    <v>0</v>
  </rv>
  <rv s="0">
    <fb>75.209999999999994</fb>
    <v>1</v>
  </rv>
  <rv s="0">
    <fb>45317</fb>
    <v>0</v>
  </rv>
  <rv s="0">
    <fb>74.819999999999993</fb>
    <v>1</v>
  </rv>
  <rv s="0">
    <fb>45320</fb>
    <v>0</v>
  </rv>
  <rv s="0">
    <fb>45321</fb>
    <v>0</v>
  </rv>
  <rv s="0">
    <fb>45322</fb>
    <v>0</v>
  </rv>
  <rv s="0">
    <fb>72.489999999999995</fb>
    <v>1</v>
  </rv>
  <rv s="0">
    <fb>45323</fb>
    <v>0</v>
  </rv>
  <rv s="0">
    <fb>45324</fb>
    <v>0</v>
  </rv>
  <rv s="0">
    <fb>45327</fb>
    <v>0</v>
  </rv>
  <rv s="0">
    <fb>74.209999999999994</fb>
    <v>1</v>
  </rv>
  <rv s="0">
    <fb>45328</fb>
    <v>0</v>
  </rv>
  <rv s="0">
    <fb>45329</fb>
    <v>0</v>
  </rv>
  <rv s="0">
    <fb>75.48</fb>
    <v>1</v>
  </rv>
  <rv s="0">
    <fb>45330</fb>
    <v>0</v>
  </rv>
  <rv s="0">
    <fb>75.489999999999995</fb>
    <v>1</v>
  </rv>
  <rv s="0">
    <fb>45331</fb>
    <v>0</v>
  </rv>
  <rv s="0">
    <fb>45334</fb>
    <v>0</v>
  </rv>
  <rv s="0">
    <fb>75.92</fb>
    <v>1</v>
  </rv>
  <rv s="0">
    <fb>45335</fb>
    <v>0</v>
  </rv>
  <rv s="0">
    <fb>45336</fb>
    <v>0</v>
  </rv>
  <rv s="0">
    <fb>74.599999999999994</fb>
    <v>1</v>
  </rv>
  <rv s="0">
    <fb>45337</fb>
    <v>0</v>
  </rv>
  <rv s="0">
    <fb>45338</fb>
    <v>0</v>
  </rv>
  <rv s="0">
    <fb>73.75</fb>
    <v>1</v>
  </rv>
  <rv s="0">
    <fb>45342</fb>
    <v>0</v>
  </rv>
  <rv s="0">
    <fb>73.27</fb>
    <v>1</v>
  </rv>
  <rv s="0">
    <fb>45343</fb>
    <v>0</v>
  </rv>
  <rv s="0">
    <fb>74.12</fb>
    <v>1</v>
  </rv>
  <rv s="0">
    <fb>45344</fb>
    <v>0</v>
  </rv>
  <rv s="0">
    <fb>45345</fb>
    <v>0</v>
  </rv>
  <rv s="0">
    <fb>45348</fb>
    <v>0</v>
  </rv>
  <rv s="0">
    <fb>45349</fb>
    <v>0</v>
  </rv>
  <rv s="0">
    <fb>79.06</fb>
    <v>1</v>
  </rv>
  <rv s="0">
    <fb>45350</fb>
    <v>0</v>
  </rv>
  <rv s="0">
    <fb>79.680000000000007</fb>
    <v>1</v>
  </rv>
  <rv s="0">
    <fb>45351</fb>
    <v>0</v>
  </rv>
  <rv s="0">
    <fb>80.88</fb>
    <v>1</v>
  </rv>
  <rv s="0">
    <fb>45352</fb>
    <v>0</v>
  </rv>
  <rv s="0">
    <fb>77.92</fb>
    <v>1</v>
  </rv>
  <rv s="0">
    <fb>45355</fb>
    <v>0</v>
  </rv>
  <rv s="0">
    <fb>77.540000000000006</fb>
    <v>1</v>
  </rv>
  <rv s="0">
    <fb>45356</fb>
    <v>0</v>
  </rv>
  <rv s="0">
    <fb>75.959999999999994</fb>
    <v>1</v>
  </rv>
  <rv s="0">
    <fb>45357</fb>
    <v>0</v>
  </rv>
  <rv s="0">
    <fb>78.209999999999994</fb>
    <v>1</v>
  </rv>
  <rv s="0">
    <fb>45358</fb>
    <v>0</v>
  </rv>
  <rv s="0">
    <fb>79.52</fb>
    <v>1</v>
  </rv>
  <rv s="0">
    <fb>45359</fb>
    <v>0</v>
  </rv>
  <rv s="0">
    <fb>78.58</fb>
    <v>1</v>
  </rv>
  <rv s="0">
    <fb>45362</fb>
    <v>0</v>
  </rv>
  <rv s="0">
    <fb>45363</fb>
    <v>0</v>
  </rv>
  <rv s="0">
    <fb>77.34</fb>
    <v>1</v>
  </rv>
  <rv s="0">
    <fb>45364</fb>
    <v>0</v>
  </rv>
  <rv s="0">
    <fb>77.52</fb>
    <v>1</v>
  </rv>
  <rv s="0">
    <fb>45365</fb>
    <v>0</v>
  </rv>
  <rv s="0">
    <fb>77.459999999999994</fb>
    <v>1</v>
  </rv>
  <rv s="0">
    <fb>45366</fb>
    <v>0</v>
  </rv>
  <rv s="0">
    <fb>78.02</fb>
    <v>1</v>
  </rv>
  <rv s="0">
    <fb>45369</fb>
    <v>0</v>
  </rv>
  <rv s="0">
    <fb>77.13</fb>
    <v>1</v>
  </rv>
  <rv s="0">
    <fb>45370</fb>
    <v>0</v>
  </rv>
  <rv s="0">
    <fb>78.23</fb>
    <v>1</v>
  </rv>
  <rv s="0">
    <fb>45371</fb>
    <v>0</v>
  </rv>
  <rv s="0">
    <fb>45372</fb>
    <v>0</v>
  </rv>
  <rv s="0">
    <fb>80.44</fb>
    <v>1</v>
  </rv>
  <rv s="0">
    <fb>45373</fb>
    <v>0</v>
  </rv>
  <rv s="0">
    <fb>81.66</fb>
    <v>1</v>
  </rv>
  <rv s="0">
    <fb>45376</fb>
    <v>0</v>
  </rv>
  <rv s="0">
    <fb>80.72</fb>
    <v>1</v>
  </rv>
  <rv s="0">
    <fb>45377</fb>
    <v>0</v>
  </rv>
  <rv s="0">
    <fb>45378</fb>
    <v>0</v>
  </rv>
  <rv s="0">
    <fb>81.87</fb>
    <v>1</v>
  </rv>
  <rv s="0">
    <fb>45379</fb>
    <v>0</v>
  </rv>
  <rv s="0">
    <fb>82.03</fb>
    <v>1</v>
  </rv>
  <rv s="0">
    <fb>45383</fb>
    <v>0</v>
  </rv>
  <rv s="0">
    <fb>81.64</fb>
    <v>1</v>
  </rv>
  <rv s="0">
    <fb>45384</fb>
    <v>0</v>
  </rv>
  <rv s="0">
    <fb>45385</fb>
    <v>0</v>
  </rv>
  <rv s="0">
    <fb>79.31</fb>
    <v>1</v>
  </rv>
  <rv s="0">
    <fb>45386</fb>
    <v>0</v>
  </rv>
  <rv s="0">
    <fb>45387</fb>
    <v>0</v>
  </rv>
  <rv s="0">
    <fb>79.61</fb>
    <v>1</v>
  </rv>
  <rv s="0">
    <fb>45390</fb>
    <v>0</v>
  </rv>
  <rv s="0">
    <fb>80.14</fb>
    <v>1</v>
  </rv>
  <rv s="0">
    <fb>45391</fb>
    <v>0</v>
  </rv>
  <rv s="0">
    <fb>82.55</fb>
    <v>1</v>
  </rv>
  <rv s="0">
    <fb>45392</fb>
    <v>0</v>
  </rv>
  <rv s="0">
    <fb>79.89</fb>
    <v>1</v>
  </rv>
  <rv s="0">
    <fb>45393</fb>
    <v>0</v>
  </rv>
  <rv s="0">
    <fb>80.010000000000005</fb>
    <v>1</v>
  </rv>
  <rv s="0">
    <fb>45394</fb>
    <v>0</v>
  </rv>
  <rv s="0">
    <fb>78</fb>
    <v>1</v>
  </rv>
  <rv s="0">
    <fb>45397</fb>
    <v>0</v>
  </rv>
  <rv s="0">
    <fb>45398</fb>
    <v>0</v>
  </rv>
  <rv s="0">
    <fb>75.17</fb>
    <v>1</v>
  </rv>
  <rv s="0">
    <fb>45399</fb>
    <v>0</v>
  </rv>
  <rv s="0">
    <fb>76.23</fb>
    <v>1</v>
  </rv>
  <rv s="0">
    <fb>45400</fb>
    <v>0</v>
  </rv>
  <rv s="0">
    <fb>76</fb>
    <v>1</v>
  </rv>
  <rv s="0">
    <fb>45401</fb>
    <v>0</v>
  </rv>
  <rv s="0">
    <fb>76.150000000000006</fb>
    <v>1</v>
  </rv>
  <rv s="0">
    <fb>45404</fb>
    <v>0</v>
  </rv>
  <rv s="0">
    <fb>75.12</fb>
    <v>1</v>
  </rv>
  <rv s="0">
    <fb>45405</fb>
    <v>0</v>
  </rv>
  <rv s="0">
    <fb>75.040000000000006</fb>
    <v>1</v>
  </rv>
  <rv s="0">
    <fb>45406</fb>
    <v>0</v>
  </rv>
  <rv s="0">
    <fb>74.430000000000007</fb>
    <v>1</v>
  </rv>
  <rv s="0">
    <fb>45407</fb>
    <v>0</v>
  </rv>
  <rv s="0">
    <fb>45408</fb>
    <v>0</v>
  </rv>
  <rv s="0">
    <fb>75.05</fb>
    <v>1</v>
  </rv>
  <rv s="0">
    <fb>45411</fb>
    <v>0</v>
  </rv>
  <rv s="0">
    <fb>75</fb>
    <v>1</v>
  </rv>
  <rv s="0">
    <fb>45412</fb>
    <v>0</v>
  </rv>
  <rv s="0">
    <fb>73.64</fb>
    <v>1</v>
  </rv>
  <rv s="0">
    <fb>45413</fb>
    <v>0</v>
  </rv>
  <rv s="0">
    <fb>45414</fb>
    <v>0</v>
  </rv>
  <rv s="0">
    <fb>72.44</fb>
    <v>1</v>
  </rv>
  <rv s="0">
    <fb>45415</fb>
    <v>0</v>
  </rv>
  <rv s="0">
    <fb>74.47</fb>
    <v>1</v>
  </rv>
  <rv s="0">
    <fb>45418</fb>
    <v>0</v>
  </rv>
  <rv s="0">
    <fb>74.400000000000006</fb>
    <v>1</v>
  </rv>
  <rv s="0">
    <fb>45419</fb>
    <v>0</v>
  </rv>
  <rv s="0">
    <fb>73.06</fb>
    <v>1</v>
  </rv>
  <rv s="0">
    <fb>45420</fb>
    <v>0</v>
  </rv>
  <rv s="0">
    <fb>45421</fb>
    <v>0</v>
  </rv>
  <rv s="0">
    <fb>74.16</fb>
    <v>1</v>
  </rv>
  <rv s="0">
    <fb>45422</fb>
    <v>0</v>
  </rv>
  <rv s="0">
    <fb>74.17</fb>
    <v>1</v>
  </rv>
  <rv s="0">
    <fb>45425</fb>
    <v>0</v>
  </rv>
  <rv s="0">
    <fb>45426</fb>
    <v>0</v>
  </rv>
  <rv s="0">
    <fb>45427</fb>
    <v>0</v>
  </rv>
  <rv s="0">
    <fb>45428</fb>
    <v>0</v>
  </rv>
  <rv s="0">
    <fb>45429</fb>
    <v>0</v>
  </rv>
  <rv s="0">
    <fb>73.349999999999994</fb>
    <v>1</v>
  </rv>
  <rv s="0">
    <fb>45432</fb>
    <v>0</v>
  </rv>
  <rv s="0">
    <fb>73.91</fb>
    <v>1</v>
  </rv>
  <rv s="0">
    <fb>45433</fb>
    <v>0</v>
  </rv>
  <rv s="0">
    <fb>45434</fb>
    <v>0</v>
  </rv>
  <rv s="0">
    <fb>70.5</fb>
    <v>1</v>
  </rv>
  <rv s="0">
    <fb>45435</fb>
    <v>0</v>
  </rv>
  <rv s="0">
    <fb>69.63</fb>
    <v>1</v>
  </rv>
  <rv s="0">
    <fb>45436</fb>
    <v>0</v>
  </rv>
  <rv s="0">
    <fb>71.5</fb>
    <v>1</v>
  </rv>
  <rv s="0">
    <fb>45440</fb>
    <v>0</v>
  </rv>
  <rv s="0">
    <fb>72.55</fb>
    <v>1</v>
  </rv>
  <rv s="0">
    <fb>45441</fb>
    <v>0</v>
  </rv>
  <rv s="0">
    <fb>71.900000000000006</fb>
    <v>1</v>
  </rv>
  <rv s="0">
    <fb>45442</fb>
    <v>0</v>
  </rv>
  <rv s="0">
    <fb>81.55</fb>
    <v>1</v>
  </rv>
  <rv s="0">
    <fb>45443</fb>
    <v>0</v>
  </rv>
  <rv s="0">
    <fb>84.82</fb>
    <v>1</v>
  </rv>
  <rv s="0">
    <fb>45446</fb>
    <v>0</v>
  </rv>
  <rv s="0">
    <fb>45447</fb>
    <v>0</v>
  </rv>
  <rv s="0">
    <fb>87.85</fb>
    <v>1</v>
  </rv>
  <rv s="0">
    <fb>45448</fb>
    <v>0</v>
  </rv>
  <rv s="0">
    <fb>88.94</fb>
    <v>1</v>
  </rv>
  <rv s="0">
    <fb>45449</fb>
    <v>0</v>
  </rv>
  <rv s="0">
    <fb>88.16</fb>
    <v>1</v>
  </rv>
  <rv s="0">
    <fb>45450</fb>
    <v>0</v>
  </rv>
  <rv s="0">
    <fb>87.92</fb>
    <v>1</v>
  </rv>
  <rv s="0">
    <fb>45453</fb>
    <v>0</v>
  </rv>
  <rv s="0">
    <fb>87.15</fb>
    <v>1</v>
  </rv>
  <rv s="0">
    <fb>45454</fb>
    <v>0</v>
  </rv>
  <rv s="0">
    <fb>87.11</fb>
    <v>1</v>
  </rv>
  <rv s="0">
    <fb>45455</fb>
    <v>0</v>
  </rv>
  <rv s="0">
    <fb>45456</fb>
    <v>0</v>
  </rv>
  <rv s="0">
    <fb>87.73</fb>
    <v>1</v>
  </rv>
  <rv s="0">
    <fb>45457</fb>
    <v>0</v>
  </rv>
  <rv s="0">
    <fb>87.21</fb>
    <v>1</v>
  </rv>
  <rv s="0">
    <fb>45460</fb>
    <v>0</v>
  </rv>
  <rv s="0">
    <fb>91.26</fb>
    <v>1</v>
  </rv>
  <rv s="0">
    <fb>45461</fb>
    <v>0</v>
  </rv>
  <rv s="0">
    <fb>93.63</fb>
    <v>1</v>
  </rv>
  <rv s="0">
    <fb>45463</fb>
    <v>0</v>
  </rv>
  <rv s="0">
    <fb>92.37</fb>
    <v>1</v>
  </rv>
  <rv s="0">
    <fb>45464</fb>
    <v>0</v>
  </rv>
  <rv s="0">
    <fb>90.4</fb>
    <v>1</v>
  </rv>
  <rv s="0">
    <fb>45467</fb>
    <v>0</v>
  </rv>
  <rv s="0">
    <fb>89.33</fb>
    <v>1</v>
  </rv>
  <rv s="0">
    <fb>45468</fb>
    <v>0</v>
  </rv>
  <rv s="0">
    <fb>86.52</fb>
    <v>1</v>
  </rv>
  <rv s="0">
    <fb>45469</fb>
    <v>0</v>
  </rv>
  <rv s="0">
    <fb>84.26</fb>
    <v>1</v>
  </rv>
  <rv s="0">
    <fb>45470</fb>
    <v>0</v>
  </rv>
  <rv s="0">
    <fb>45471</fb>
    <v>0</v>
  </rv>
  <rv s="0">
    <fb>84.29</fb>
    <v>1</v>
  </rv>
  <rv s="0">
    <fb>45474</fb>
    <v>0</v>
  </rv>
  <rv s="0">
    <fb>82.29</fb>
    <v>1</v>
  </rv>
  <rv s="0">
    <fb>45475</fb>
    <v>0</v>
  </rv>
  <rv s="0">
    <fb>45476</fb>
    <v>0</v>
  </rv>
  <rv s="0">
    <fb>82.33</fb>
    <v>1</v>
  </rv>
  <rv s="0">
    <fb>45478</fb>
    <v>0</v>
  </rv>
  <rv s="0">
    <fb>82.45</fb>
    <v>1</v>
  </rv>
  <rv s="0">
    <fb>45481</fb>
    <v>0</v>
  </rv>
  <rv s="0">
    <fb>85.51</fb>
    <v>1</v>
  </rv>
  <rv s="0">
    <fb>45482</fb>
    <v>0</v>
  </rv>
  <rv s="0">
    <fb>86.42</fb>
    <v>1</v>
  </rv>
  <rv s="0">
    <fb>45483</fb>
    <v>0</v>
  </rv>
  <rv s="0">
    <fb>85.57</fb>
    <v>1</v>
  </rv>
  <rv s="0">
    <fb>45484</fb>
    <v>0</v>
  </rv>
  <rv s="0">
    <fb>86.01</fb>
    <v>1</v>
  </rv>
  <rv s="0">
    <fb>45485</fb>
    <v>0</v>
  </rv>
  <rv s="0">
    <fb>86.27</fb>
    <v>1</v>
  </rv>
  <rv s="0">
    <fb>45488</fb>
    <v>0</v>
  </rv>
  <rv s="0">
    <fb>85.5</fb>
    <v>1</v>
  </rv>
  <rv s="0">
    <fb>45489</fb>
    <v>0</v>
  </rv>
  <rv s="0">
    <fb>87.25</fb>
    <v>1</v>
  </rv>
  <rv s="0">
    <fb>45490</fb>
    <v>0</v>
  </rv>
  <rv s="0">
    <fb>89.16</fb>
    <v>1</v>
  </rv>
  <rv s="0">
    <fb>45491</fb>
    <v>0</v>
  </rv>
  <rv s="0">
    <fb>88.1</fb>
    <v>1</v>
  </rv>
  <rv s="0">
    <fb>45492</fb>
    <v>0</v>
  </rv>
  <rv s="0">
    <fb>88.6</fb>
    <v>1</v>
  </rv>
  <rv s="0">
    <fb>45495</fb>
    <v>0</v>
  </rv>
  <rv s="0">
    <fb>88.96</fb>
    <v>1</v>
  </rv>
  <rv s="0">
    <fb>45496</fb>
    <v>0</v>
  </rv>
  <rv s="0">
    <fb>45497</fb>
    <v>0</v>
  </rv>
  <rv s="0">
    <fb>45498</fb>
    <v>0</v>
  </rv>
  <rv s="0">
    <fb>87.35</fb>
    <v>1</v>
  </rv>
  <rv s="0">
    <fb>45499</fb>
    <v>0</v>
  </rv>
  <rv s="0">
    <fb>45502</fb>
    <v>0</v>
  </rv>
  <rv s="0">
    <fb>85.48</fb>
    <v>1</v>
  </rv>
  <rv s="0">
    <fb>45503</fb>
    <v>0</v>
  </rv>
  <rv s="0">
    <fb>85.35</fb>
    <v>1</v>
  </rv>
  <rv s="0">
    <fb>45504</fb>
    <v>0</v>
  </rv>
  <rv s="0">
    <fb>45505</fb>
    <v>0</v>
  </rv>
  <rv s="0">
    <fb>85.67</fb>
    <v>1</v>
  </rv>
  <rv s="0">
    <fb>45506</fb>
    <v>0</v>
  </rv>
  <rv s="0">
    <fb>82.36</fb>
    <v>1</v>
  </rv>
  <rv s="0">
    <fb>45509</fb>
    <v>0</v>
  </rv>
  <rv s="0">
    <fb>45510</fb>
    <v>0</v>
  </rv>
  <rv s="0">
    <fb>82</fb>
    <v>1</v>
  </rv>
  <rv s="0">
    <fb>45511</fb>
    <v>0</v>
  </rv>
  <rv s="0">
    <fb>80.7</fb>
    <v>1</v>
  </rv>
  <rv s="0">
    <fb>45512</fb>
    <v>0</v>
  </rv>
  <rv s="0">
    <fb>82.56</fb>
    <v>1</v>
  </rv>
  <rv s="0">
    <fb>45513</fb>
    <v>0</v>
  </rv>
  <rv s="0">
    <fb>83.73</fb>
    <v>1</v>
  </rv>
  <rv s="0">
    <fb>45516</fb>
    <v>0</v>
  </rv>
  <rv s="0">
    <fb>81.2</fb>
    <v>1</v>
  </rv>
  <rv s="0">
    <fb>45517</fb>
    <v>0</v>
  </rv>
  <rv s="0">
    <fb>83.14</fb>
    <v>1</v>
  </rv>
  <rv s="0">
    <fb>45518</fb>
    <v>0</v>
  </rv>
  <rv s="0">
    <fb>45519</fb>
    <v>0</v>
  </rv>
  <rv s="0">
    <fb>84.06</fb>
    <v>1</v>
  </rv>
  <rv s="0">
    <fb>45520</fb>
    <v>0</v>
  </rv>
  <rv s="0">
    <fb>85.24</fb>
    <v>1</v>
  </rv>
  <rv s="0">
    <fb>45523</fb>
    <v>0</v>
  </rv>
  <rv s="0">
    <fb>85.04</fb>
    <v>1</v>
  </rv>
  <rv s="0">
    <fb>45524</fb>
    <v>0</v>
  </rv>
  <rv s="0">
    <fb>84.74</fb>
    <v>1</v>
  </rv>
  <rv s="0">
    <fb>45525</fb>
    <v>0</v>
  </rv>
  <rv s="0">
    <fb>87.04</fb>
    <v>1</v>
  </rv>
  <rv s="0">
    <fb>45526</fb>
    <v>0</v>
  </rv>
  <rv s="0">
    <fb>85.75</fb>
    <v>1</v>
  </rv>
  <rv s="0">
    <fb>45527</fb>
    <v>0</v>
  </rv>
  <rv s="0">
    <fb>88.15</fb>
    <v>1</v>
  </rv>
  <rv s="0">
    <fb>45530</fb>
    <v>0</v>
  </rv>
  <rv s="0">
    <fb>88.89</fb>
    <v>1</v>
  </rv>
  <rv s="0">
    <fb>45531</fb>
    <v>0</v>
  </rv>
  <rv s="0">
    <fb>88.88</fb>
    <v>1</v>
  </rv>
  <rv s="0">
    <fb>45532</fb>
    <v>0</v>
  </rv>
  <rv s="0">
    <fb>45533</fb>
    <v>0</v>
  </rv>
  <rv s="0">
    <fb>100.18</fb>
    <v>1</v>
  </rv>
  <rv s="0">
    <fb>45534</fb>
    <v>0</v>
  </rv>
  <rv s="0">
    <fb>100.4</fb>
    <v>1</v>
  </rv>
  <rv s="0">
    <fb>45538</fb>
    <v>0</v>
  </rv>
  <rv s="0">
    <fb>100.94</fb>
    <v>1</v>
  </rv>
  <rv s="0">
    <fb>45539</fb>
    <v>0</v>
  </rv>
  <rv s="0">
    <fb>99.96</fb>
    <v>1</v>
  </rv>
  <rv s="0">
    <fb>45540</fb>
    <v>0</v>
  </rv>
  <rv s="0">
    <fb>99.41</fb>
    <v>1</v>
  </rv>
  <rv s="0">
    <fb>45541</fb>
    <v>0</v>
  </rv>
  <rv s="0">
    <fb>98.5</fb>
    <v>1</v>
  </rv>
  <rv s="0">
    <fb>45544</fb>
    <v>0</v>
  </rv>
  <rv s="0">
    <fb>98.09</fb>
    <v>1</v>
  </rv>
  <rv s="0">
    <fb>45545</fb>
    <v>0</v>
  </rv>
  <rv s="0">
    <fb>96.37</fb>
    <v>1</v>
  </rv>
  <rv s="0">
    <fb>45546</fb>
    <v>0</v>
  </rv>
  <rv s="0">
    <fb>97.6</fb>
    <v>1</v>
  </rv>
  <rv s="0">
    <fb>45547</fb>
    <v>0</v>
  </rv>
  <rv s="0">
    <fb>97.75</fb>
    <v>1</v>
  </rv>
  <rv s="0">
    <fb>45548</fb>
    <v>0</v>
  </rv>
  <rv s="0">
    <fb>98.45</fb>
    <v>1</v>
  </rv>
  <rv s="0">
    <fb>45551</fb>
    <v>0</v>
  </rv>
  <rv s="0">
    <fb>98.79</fb>
    <v>1</v>
  </rv>
  <rv s="0">
    <fb>45552</fb>
    <v>0</v>
  </rv>
  <rv s="0">
    <fb>99.48</fb>
    <v>1</v>
  </rv>
  <rv s="0">
    <fb>45553</fb>
    <v>0</v>
  </rv>
  <rv s="0">
    <fb>99.07</fb>
    <v>1</v>
  </rv>
  <rv s="0">
    <fb>45554</fb>
    <v>0</v>
  </rv>
  <rv s="0">
    <fb>98.46</fb>
    <v>1</v>
  </rv>
  <rv s="0">
    <fb>45555</fb>
    <v>0</v>
  </rv>
  <rv s="0">
    <fb>97.3</fb>
    <v>1</v>
  </rv>
  <rv s="0">
    <fb>45558</fb>
    <v>0</v>
  </rv>
  <rv s="0">
    <fb>97.86</fb>
    <v>1</v>
  </rv>
  <rv s="0">
    <fb>45559</fb>
    <v>0</v>
  </rv>
  <rv s="0">
    <fb>98.98</fb>
    <v>1</v>
  </rv>
  <rv s="0">
    <fb>45560</fb>
    <v>0</v>
  </rv>
  <rv s="0">
    <fb>97.84</fb>
    <v>1</v>
  </rv>
  <rv s="0">
    <fb>45561</fb>
    <v>0</v>
  </rv>
  <rv s="0">
    <fb>100</fb>
    <v>1</v>
  </rv>
  <rv s="0">
    <fb>45562</fb>
    <v>0</v>
  </rv>
  <rv s="0">
    <fb>102.26</fb>
    <v>1</v>
  </rv>
  <rv s="0">
    <fb>45565</fb>
    <v>0</v>
  </rv>
  <rv s="0">
    <fb>45566</fb>
    <v>0</v>
  </rv>
  <rv s="0">
    <fb>101.35</fb>
    <v>1</v>
  </rv>
  <rv s="0">
    <fb>45567</fb>
    <v>0</v>
  </rv>
  <rv s="0">
    <fb>99.71</fb>
    <v>1</v>
  </rv>
  <rv s="0">
    <fb>45568</fb>
    <v>0</v>
  </rv>
  <rv s="0">
    <fb>98.19</fb>
    <v>1</v>
  </rv>
  <rv s="0">
    <fb>45569</fb>
    <v>0</v>
  </rv>
  <rv s="0">
    <fb>99.61</fb>
    <v>1</v>
  </rv>
  <rv s="0">
    <fb>45572</fb>
    <v>0</v>
  </rv>
  <rv s="0">
    <fb>97.82</fb>
    <v>1</v>
  </rv>
  <rv s="0">
    <fb>45573</fb>
    <v>0</v>
  </rv>
  <rv s="0">
    <fb>98.33</fb>
    <v>1</v>
  </rv>
  <rv s="0">
    <fb>45574</fb>
    <v>0</v>
  </rv>
  <rv s="0">
    <fb>45575</fb>
    <v>0</v>
  </rv>
  <rv s="0">
    <fb>97.52</fb>
    <v>1</v>
  </rv>
  <rv s="0">
    <fb>45576</fb>
    <v>0</v>
  </rv>
  <rv s="0">
    <fb>97.44</fb>
    <v>1</v>
  </rv>
  <rv s="0">
    <fb>45579</fb>
    <v>0</v>
  </rv>
  <rv s="0">
    <fb>96.91</fb>
    <v>1</v>
  </rv>
  <rv s="0">
    <fb>45580</fb>
    <v>0</v>
  </rv>
  <rv s="0">
    <fb>97.57</fb>
    <v>1</v>
  </rv>
  <rv s="0">
    <fb>45581</fb>
    <v>0</v>
  </rv>
  <rv s="0">
    <fb>98.68</fb>
    <v>1</v>
  </rv>
  <rv s="0">
    <fb>45582</fb>
    <v>0</v>
  </rv>
  <rv s="0">
    <fb>96.28</fb>
    <v>1</v>
  </rv>
  <rv s="0">
    <fb>45583</fb>
    <v>0</v>
  </rv>
  <rv s="0">
    <fb>96.14</fb>
    <v>1</v>
  </rv>
  <rv s="0">
    <fb>45586</fb>
    <v>0</v>
  </rv>
  <rv s="0">
    <fb>93.17</fb>
    <v>1</v>
  </rv>
  <rv s="0">
    <fb>45587</fb>
    <v>0</v>
  </rv>
  <rv s="0">
    <fb>93.77</fb>
    <v>1</v>
  </rv>
  <rv s="0">
    <fb>45588</fb>
    <v>0</v>
  </rv>
  <rv s="0">
    <fb>93.35</fb>
    <v>1</v>
  </rv>
  <rv s="0">
    <fb>45589</fb>
    <v>0</v>
  </rv>
  <rv s="0">
    <fb>94.12</fb>
    <v>1</v>
  </rv>
  <rv s="0">
    <fb>45590</fb>
    <v>0</v>
  </rv>
  <rv s="0">
    <fb>92.68</fb>
    <v>1</v>
  </rv>
  <rv s="0">
    <fb>45593</fb>
    <v>0</v>
  </rv>
  <rv s="0">
    <fb>91.54</fb>
    <v>1</v>
  </rv>
  <rv s="0">
    <fb>45594</fb>
    <v>0</v>
  </rv>
  <rv s="0">
    <fb>89.97</fb>
    <v>1</v>
  </rv>
  <rv s="0">
    <fb>45595</fb>
    <v>0</v>
  </rv>
  <rv s="0">
    <fb>90.41</fb>
    <v>1</v>
  </rv>
  <rv s="0">
    <fb>45596</fb>
    <v>0</v>
  </rv>
  <rv s="0">
    <fb>90.43</fb>
    <v>1</v>
  </rv>
  <rv s="0">
    <fb>45597</fb>
    <v>0</v>
  </rv>
  <rv s="0">
    <fb>45600</fb>
    <v>0</v>
  </rv>
  <rv s="0">
    <fb>92.82</fb>
    <v>1</v>
  </rv>
  <rv s="0">
    <fb>45601</fb>
    <v>0</v>
  </rv>
  <rv s="0">
    <fb>92.84</fb>
    <v>1</v>
  </rv>
  <rv s="0">
    <fb>45602</fb>
    <v>0</v>
  </rv>
  <rv s="0">
    <fb>89.4</fb>
    <v>1</v>
  </rv>
  <rv s="0">
    <fb>45603</fb>
    <v>0</v>
  </rv>
  <rv s="0">
    <fb>90.11</fb>
    <v>1</v>
  </rv>
  <rv s="0">
    <fb>45604</fb>
    <v>0</v>
  </rv>
  <rv s="0">
    <fb>89.2</fb>
    <v>1</v>
  </rv>
  <rv s="0">
    <fb>45607</fb>
    <v>0</v>
  </rv>
  <rv s="0">
    <fb>89.29</fb>
    <v>1</v>
  </rv>
  <rv s="0">
    <fb>45608</fb>
    <v>0</v>
  </rv>
  <rv s="0">
    <fb>90.2</fb>
    <v>1</v>
  </rv>
  <rv s="0">
    <fb>45609</fb>
    <v>0</v>
  </rv>
  <rv s="0">
    <fb>90.7</fb>
    <v>1</v>
  </rv>
  <rv s="0">
    <fb>45610</fb>
    <v>0</v>
  </rv>
  <rv s="0">
    <fb>45611</fb>
    <v>0</v>
  </rv>
  <rv s="0">
    <fb>92.66</fb>
    <v>1</v>
  </rv>
  <rv s="0">
    <fb>45614</fb>
    <v>0</v>
  </rv>
  <rv s="0">
    <fb>89</fb>
    <v>1</v>
  </rv>
  <rv s="0">
    <fb>45615</fb>
    <v>0</v>
  </rv>
  <rv s="0">
    <fb>87.02</fb>
    <v>1</v>
  </rv>
  <rv s="0">
    <fb>45616</fb>
    <v>0</v>
  </rv>
  <rv s="0">
    <fb>86.77</fb>
    <v>1</v>
  </rv>
  <rv s="0">
    <fb>45617</fb>
    <v>0</v>
  </rv>
  <rv s="0">
    <fb>86.51</fb>
    <v>1</v>
  </rv>
  <rv s="0">
    <fb>45618</fb>
    <v>0</v>
  </rv>
  <rv s="0">
    <fb>89.54</fb>
    <v>1</v>
  </rv>
  <rv s="0">
    <fb>45621</fb>
    <v>0</v>
  </rv>
  <rv s="0">
    <fb>45622</fb>
    <v>0</v>
  </rv>
  <rv s="0">
    <fb>88.48</fb>
    <v>1</v>
  </rv>
  <rv s="0">
    <fb>45623</fb>
    <v>0</v>
  </rv>
  <rv s="0">
    <fb>88.17</fb>
    <v>1</v>
  </rv>
  <rv s="0">
    <fb>45625</fb>
    <v>0</v>
  </rv>
  <rv s="0">
    <fb>90</fb>
    <v>1</v>
  </rv>
  <rv s="0">
    <fb>45628</fb>
    <v>0</v>
  </rv>
  <rv s="0">
    <fb>90.93</fb>
    <v>1</v>
  </rv>
  <rv s="0">
    <fb>45629</fb>
    <v>0</v>
  </rv>
  <rv s="0">
    <fb>88.97</fb>
    <v>1</v>
  </rv>
  <rv s="0">
    <fb>45630</fb>
    <v>0</v>
  </rv>
  <rv s="0">
    <fb>90.49</fb>
    <v>1</v>
  </rv>
  <rv s="0">
    <fb>45631</fb>
    <v>0</v>
  </rv>
  <rv s="0">
    <fb>89.8</fb>
    <v>1</v>
  </rv>
  <rv s="0">
    <fb>45632</fb>
    <v>0</v>
  </rv>
  <rv s="0">
    <fb>45635</fb>
    <v>0</v>
  </rv>
  <rv s="0">
    <fb>87.32</fb>
    <v>1</v>
  </rv>
  <rv s="0">
    <fb>45636</fb>
    <v>0</v>
  </rv>
  <rv s="0">
    <fb>86.71</fb>
    <v>1</v>
  </rv>
  <rv s="0">
    <fb>45637</fb>
    <v>0</v>
  </rv>
  <rv s="0">
    <fb>87.07</fb>
    <v>1</v>
  </rv>
  <rv s="0">
    <fb>45638</fb>
    <v>0</v>
  </rv>
  <rv s="0">
    <fb>88.4</fb>
    <v>1</v>
  </rv>
  <rv s="0">
    <fb>45639</fb>
    <v>0</v>
  </rv>
  <rv s="0">
    <fb>87.6</fb>
    <v>1</v>
  </rv>
  <rv s="0">
    <fb>45642</fb>
    <v>0</v>
  </rv>
  <rv s="0">
    <fb>88.56</fb>
    <v>1</v>
  </rv>
  <rv s="0">
    <fb>45643</fb>
    <v>0</v>
  </rv>
  <rv s="0">
    <fb>87.48</fb>
    <v>1</v>
  </rv>
  <rv s="0">
    <fb>45644</fb>
    <v>0</v>
  </rv>
  <rv s="0">
    <fb>45645</fb>
    <v>0</v>
  </rv>
  <rv s="0">
    <fb>85.2</fb>
    <v>1</v>
  </rv>
  <rv s="0">
    <fb>45646</fb>
    <v>0</v>
  </rv>
  <rv s="0">
    <fb>85.55</fb>
    <v>1</v>
  </rv>
  <rv s="0">
    <fb>45649</fb>
    <v>0</v>
  </rv>
  <rv s="0">
    <fb>85.32</fb>
    <v>1</v>
  </rv>
  <rv s="0">
    <fb>45650</fb>
    <v>0</v>
  </rv>
  <rv s="0">
    <fb>86.85</fb>
    <v>1</v>
  </rv>
  <rv s="0">
    <fb>45652</fb>
    <v>0</v>
  </rv>
  <rv s="0">
    <fb>89.37</fb>
    <v>1</v>
  </rv>
  <rv s="0">
    <fb>45653</fb>
    <v>0</v>
  </rv>
  <rv s="0">
    <fb>88.03</fb>
    <v>1</v>
  </rv>
  <rv s="0">
    <fb>45656</fb>
    <v>0</v>
  </rv>
  <rv s="0">
    <fb>45657</fb>
    <v>0</v>
  </rv>
  <rv s="0">
    <fb>85.8</fb>
    <v>1</v>
  </rv>
  <rv s="0">
    <fb>45659</fb>
    <v>0</v>
  </rv>
  <rv s="0">
    <fb>86.17</fb>
    <v>1</v>
  </rv>
  <rv s="0">
    <fb>45660</fb>
    <v>0</v>
  </rv>
  <rv s="0">
    <fb>45663</fb>
    <v>0</v>
  </rv>
  <rv s="0">
    <fb>45664</fb>
    <v>0</v>
  </rv>
  <rv s="0">
    <fb>84.28</fb>
    <v>1</v>
  </rv>
  <rv s="0">
    <fb>45665</fb>
    <v>0</v>
  </rv>
  <rv s="0">
    <fb>84.19</fb>
    <v>1</v>
  </rv>
  <rv s="0">
    <fb>45667</fb>
    <v>0</v>
  </rv>
  <rv s="0">
    <fb>83.27</fb>
    <v>1</v>
  </rv>
  <rv s="0">
    <fb>45670</fb>
    <v>0</v>
  </rv>
  <rv s="0">
    <fb>84.31</fb>
    <v>1</v>
  </rv>
  <rv s="0">
    <fb>45671</fb>
    <v>0</v>
  </rv>
  <rv s="0">
    <fb>82.8</fb>
    <v>1</v>
  </rv>
  <rv s="0">
    <fb>45672</fb>
    <v>0</v>
  </rv>
  <rv s="0">
    <fb>45673</fb>
    <v>0</v>
  </rv>
  <rv s="0">
    <fb>82.21</fb>
    <v>1</v>
  </rv>
  <rv s="0">
    <fb>45674</fb>
    <v>0</v>
  </rv>
  <rv s="0">
    <fb>81.900000000000006</fb>
    <v>1</v>
  </rv>
  <rv s="0">
    <fb>45678</fb>
    <v>0</v>
  </rv>
  <rv s="0">
    <fb>84.53</fb>
    <v>1</v>
  </rv>
  <rv s="0">
    <fb>45679</fb>
    <v>0</v>
  </rv>
  <rv s="0">
    <fb>83.92</fb>
    <v>1</v>
  </rv>
  <rv s="0">
    <fb>45680</fb>
    <v>0</v>
  </rv>
  <rv s="0">
    <fb>85.63</fb>
    <v>1</v>
  </rv>
  <rv s="0">
    <fb>45681</fb>
    <v>0</v>
  </rv>
  <rv s="0">
    <fb>84.73</fb>
    <v>1</v>
  </rv>
  <rv s="0">
    <fb>45684</fb>
    <v>0</v>
  </rv>
  <rv s="0">
    <fb>45685</fb>
    <v>0</v>
  </rv>
  <rv s="0">
    <fb>86.78</fb>
    <v>1</v>
  </rv>
  <rv s="0">
    <fb>45686</fb>
    <v>0</v>
  </rv>
  <rv s="0">
    <fb>85.09</fb>
    <v>1</v>
  </rv>
  <rv s="0">
    <fb>45687</fb>
    <v>0</v>
  </rv>
  <rv s="0">
    <fb>86.86</fb>
    <v>1</v>
  </rv>
  <rv s="0">
    <fb>45688</fb>
    <v>0</v>
  </rv>
  <rv s="0">
    <fb>85.86</fb>
    <v>1</v>
  </rv>
  <rv s="0">
    <fb>45691</fb>
    <v>0</v>
  </rv>
  <rv s="0">
    <fb>83.78</fb>
    <v>1</v>
  </rv>
  <rv s="0">
    <fb>45692</fb>
    <v>0</v>
  </rv>
  <rv s="0">
    <fb>85.05</fb>
    <v>1</v>
  </rv>
  <rv s="0">
    <fb>45693</fb>
    <v>0</v>
  </rv>
  <rv s="0">
    <fb>86.48</fb>
    <v>1</v>
  </rv>
  <rv s="0">
    <fb>45694</fb>
    <v>0</v>
  </rv>
  <rv s="0">
    <fb>85.94</fb>
    <v>1</v>
  </rv>
  <rv s="0">
    <fb>45695</fb>
    <v>0</v>
  </rv>
  <rv s="0">
    <fb>84.89</fb>
    <v>1</v>
  </rv>
  <rv s="0">
    <fb>45698</fb>
    <v>0</v>
  </rv>
  <rv s="0">
    <fb>88.07</fb>
    <v>1</v>
  </rv>
  <rv s="0">
    <fb>45699</fb>
    <v>0</v>
  </rv>
  <rv s="0">
    <fb>88.01</fb>
    <v>1</v>
  </rv>
  <rv s="0">
    <fb>45700</fb>
    <v>0</v>
  </rv>
  <rv s="0">
    <fb>86.79</fb>
    <v>1</v>
  </rv>
  <rv s="0">
    <fb>45701</fb>
    <v>0</v>
  </rv>
  <rv s="0">
    <fb>89.17</fb>
    <v>1</v>
  </rv>
  <rv s="0">
    <fb>45702</fb>
    <v>0</v>
  </rv>
  <rv s="0">
    <fb>91.1</fb>
    <v>1</v>
  </rv>
  <rv s="0">
    <fb>45706</fb>
    <v>0</v>
  </rv>
  <rv s="0">
    <fb>91.07</fb>
    <v>1</v>
  </rv>
  <rv s="0">
    <fb>45707</fb>
    <v>0</v>
  </rv>
  <rv s="0">
    <fb>45708</fb>
    <v>0</v>
  </rv>
  <rv s="0">
    <fb>90.94</fb>
    <v>1</v>
  </rv>
  <rv s="0">
    <fb>45709</fb>
    <v>0</v>
  </rv>
  <rv s="0">
    <fb>89.78</fb>
    <v>1</v>
  </rv>
  <rv s="0">
    <fb>45712</fb>
    <v>0</v>
  </rv>
  <rv s="0">
    <fb>88.7</fb>
    <v>1</v>
  </rv>
  <rv s="0">
    <fb>45713</fb>
    <v>0</v>
  </rv>
  <rv s="0">
    <fb>90.09</fb>
    <v>1</v>
  </rv>
  <rv s="0">
    <fb>45714</fb>
    <v>0</v>
  </rv>
  <rv s="0">
    <fb>45715</fb>
    <v>0</v>
  </rv>
  <rv s="0">
    <fb>88.62</fb>
    <v>1</v>
  </rv>
  <rv s="0">
    <fb>45716</fb>
    <v>0</v>
  </rv>
  <rv s="0">
    <fb>89.91</fb>
    <v>1</v>
  </rv>
  <rv s="0">
    <fb>45719</fb>
    <v>0</v>
  </rv>
  <rv s="0">
    <fb>86.74</fb>
    <v>1</v>
  </rv>
  <rv s="0">
    <fb>45720</fb>
    <v>0</v>
  </rv>
  <rv s="0">
    <fb>75.2</fb>
    <v>1</v>
  </rv>
  <rv s="0">
    <fb>45721</fb>
    <v>0</v>
  </rv>
  <rv s="0">
    <fb>75.53</fb>
    <v>1</v>
  </rv>
  <rv s="0">
    <fb>45722</fb>
    <v>0</v>
  </rv>
  <rv s="0">
    <fb>78.599999999999994</fb>
    <v>1</v>
  </rv>
  <rv s="0">
    <fb>45723</fb>
    <v>0</v>
  </rv>
  <rv s="0">
    <fb>79.41</fb>
    <v>1</v>
  </rv>
  <rv s="0">
    <fb>45726</fb>
    <v>0</v>
  </rv>
  <rv s="0">
    <fb>78.86</fb>
    <v>1</v>
  </rv>
  <rv s="0">
    <fb>45727</fb>
    <v>0</v>
  </rv>
  <rv s="0">
    <fb>45728</fb>
    <v>0</v>
  </rv>
  <rv s="0">
    <fb>72.64</fb>
    <v>1</v>
  </rv>
  <rv s="0">
    <fb>45729</fb>
    <v>0</v>
  </rv>
  <rv s="0">
    <fb>70.3</fb>
    <v>1</v>
  </rv>
  <rv s="0">
    <fb>45730</fb>
    <v>0</v>
  </rv>
  <rv s="0">
    <fb>71.489999999999995</fb>
    <v>1</v>
  </rv>
  <rv s="0">
    <fb>45733</fb>
    <v>0</v>
  </rv>
  <rv s="0">
    <fb>73.77</fb>
    <v>1</v>
  </rv>
  <rv s="0">
    <fb>45734</fb>
    <v>0</v>
  </rv>
  <rv s="0">
    <fb>45735</fb>
    <v>0</v>
  </rv>
  <rv s="0">
    <fb>73.790000000000006</fb>
    <v>1</v>
  </rv>
  <rv s="0">
    <fb>45736</fb>
    <v>0</v>
  </rv>
  <rv s="0">
    <fb>73.48</fb>
    <v>1</v>
  </rv>
  <rv s="0">
    <fb>45737</fb>
    <v>0</v>
  </rv>
  <rv s="0">
    <fb>73.56</fb>
    <v>1</v>
  </rv>
  <rv s="0">
    <fb>45740</fb>
    <v>0</v>
  </rv>
  <rv s="0">
    <fb>75.67</fb>
    <v>1</v>
  </rv>
  <rv s="0">
    <fb>45741</fb>
    <v>0</v>
  </rv>
  <rv s="0">
    <fb>74.62</fb>
    <v>1</v>
  </rv>
  <rv s="0">
    <fb>45742</fb>
    <v>0</v>
  </rv>
  <rv s="0">
    <fb>74.83</fb>
    <v>1</v>
  </rv>
  <rv s="0">
    <fb>45743</fb>
    <v>0</v>
  </rv>
  <rv s="0">
    <fb>74.87</fb>
    <v>1</v>
  </rv>
  <rv s="0">
    <fb>45744</fb>
    <v>0</v>
  </rv>
  <rv s="0">
    <fb>72.45</fb>
    <v>1</v>
  </rv>
  <rv s="0">
    <fb>45747</fb>
    <v>0</v>
  </rv>
  <rv s="0">
    <fb>73.61</fb>
    <v>1</v>
  </rv>
  <rv s="0">
    <fb>45748</fb>
    <v>0</v>
  </rv>
  <rv s="0">
    <fb>74.37</fb>
    <v>1</v>
  </rv>
  <rv s="0">
    <fb>45749</fb>
    <v>0</v>
  </rv>
  <rv s="0">
    <fb>75.73</fb>
    <v>1</v>
  </rv>
  <rv s="0">
    <fb>45750</fb>
    <v>0</v>
  </rv>
  <rv s="0">
    <fb>62.22</fb>
    <v>1</v>
  </rv>
  <rv s="0">
    <fb>45751</fb>
    <v>0</v>
  </rv>
  <rv s="0">
    <fb>60.44</fb>
    <v>1</v>
  </rv>
  <rv s="0">
    <fb>45754</fb>
    <v>0</v>
  </rv>
  <rv s="0">
    <fb>61.23</fb>
    <v>1</v>
  </rv>
  <rv s="0">
    <fb>45755</fb>
    <v>0</v>
  </rv>
  <rv s="0">
    <fb>56.17</fb>
    <v>1</v>
  </rv>
  <rv s="0">
    <fb>45756</fb>
    <v>0</v>
  </rv>
  <rv s="0">
    <fb>63.65</fb>
    <v>1</v>
  </rv>
  <rv s="0">
    <fb>45757</fb>
    <v>0</v>
  </rv>
  <rv s="0">
    <fb>59.75</fb>
    <v>1</v>
  </rv>
  <rv s="0">
    <fb>45758</fb>
    <v>0</v>
  </rv>
  <rv s="0">
    <fb>60.43</fb>
    <v>1</v>
  </rv>
  <rv s="0">
    <fb>45761</fb>
    <v>0</v>
  </rv>
  <rv s="0">
    <fb>61.76</fb>
    <v>1</v>
  </rv>
  <rv s="0">
    <fb>45762</fb>
    <v>0</v>
  </rv>
  <rv s="0">
    <fb>61.14</fb>
    <v>1</v>
  </rv>
  <rv s="0">
    <fb>45763</fb>
    <v>0</v>
  </rv>
  <rv s="0">
    <fb>59.63</fb>
    <v>1</v>
  </rv>
  <rv s="0">
    <fb>45764</fb>
    <v>0</v>
  </rv>
  <rv s="0">
    <fb>61.97</fb>
    <v>1</v>
  </rv>
  <rv s="0">
    <fb>45768</fb>
    <v>0</v>
  </rv>
  <rv s="0">
    <fb>62.11</fb>
    <v>1</v>
  </rv>
  <rv s="0">
    <fb>45769</fb>
    <v>0</v>
  </rv>
  <rv s="0">
    <fb>63.38</fb>
    <v>1</v>
  </rv>
  <rv s="0">
    <fb>45770</fb>
    <v>0</v>
  </rv>
  <rv s="0">
    <fb>63.47</fb>
    <v>1</v>
  </rv>
  <rv s="0">
    <fb>45771</fb>
    <v>0</v>
  </rv>
  <rv s="0">
    <fb>66</fb>
    <v>1</v>
  </rv>
  <rv s="0">
    <fb>45772</fb>
    <v>0</v>
  </rv>
  <rv s="0">
    <fb>67.709999999999994</fb>
    <v>1</v>
  </rv>
  <rv s="0">
    <fb>45775</fb>
    <v>0</v>
  </rv>
  <rv s="0">
    <fb>67.48</fb>
    <v>1</v>
  </rv>
  <rv s="0">
    <fb>45776</fb>
    <v>0</v>
  </rv>
  <rv s="0">
    <fb>66.680000000000007</fb>
    <v>1</v>
  </rv>
  <rv s="0">
    <fb>45777</fb>
    <v>0</v>
  </rv>
  <rv s="0">
    <fb>66.69</fb>
    <v>1</v>
  </rv>
  <rv s="0">
    <fb>45778</fb>
    <v>0</v>
  </rv>
  <rv s="0">
    <fb>67.040000000000006</fb>
    <v>1</v>
  </rv>
  <rv s="0">
    <fb>45779</fb>
    <v>0</v>
  </rv>
  <rv s="0">
    <fb>68.069999999999993</fb>
    <v>1</v>
  </rv>
  <rv s="0">
    <fb>45782</fb>
    <v>0</v>
  </rv>
  <rv s="0">
    <fb>67.66</fb>
    <v>1</v>
  </rv>
  <rv s="0">
    <fb>45783</fb>
    <v>0</v>
  </rv>
  <rv s="0">
    <fb>45784</fb>
    <v>0</v>
  </rv>
  <rv s="0">
    <fb>68.38</fb>
    <v>1</v>
  </rv>
  <rv s="0">
    <fb>45785</fb>
    <v>0</v>
  </rv>
  <rv s="0">
    <fb>69.42</fb>
    <v>1</v>
  </rv>
  <rv s="0">
    <fb>45786</fb>
    <v>0</v>
  </rv>
  <rv s="0">
    <fb>45789</fb>
    <v>0</v>
  </rv>
  <rv s="0">
    <fb>73.37</fb>
    <v>1</v>
  </rv>
  <rv s="0">
    <fb>45790</fb>
    <v>0</v>
  </rv>
  <rv s="0">
    <fb>45791</fb>
    <v>0</v>
  </rv>
  <rv s="0">
    <fb>73.39</fb>
    <v>1</v>
  </rv>
  <rv s="0">
    <fb>45792</fb>
    <v>0</v>
  </rv>
  <rv s="0">
    <fb>72.84</fb>
    <v>1</v>
  </rv>
  <rv s="0">
    <fb>45793</fb>
    <v>0</v>
  </rv>
  <rv s="0">
    <fb>73.8</fb>
    <v>1</v>
  </rv>
  <rv s="0">
    <fb>45796</fb>
    <v>0</v>
  </rv>
  <rv s="0">
    <fb>45797</fb>
    <v>0</v>
  </rv>
  <rv s="0">
    <fb>71.150000000000006</fb>
    <v>1</v>
  </rv>
  <rv s="0">
    <fb>45798</fb>
    <v>0</v>
  </rv>
  <rv s="0">
    <fb>70.150000000000006</fb>
    <v>1</v>
  </rv>
  <rv s="0">
    <fb>45799</fb>
    <v>0</v>
  </rv>
  <rv s="0">
    <fb>45800</fb>
    <v>0</v>
  </rv>
  <rv s="0">
    <fb>69.92</fb>
    <v>1</v>
  </rv>
  <rv s="0">
    <fb>45804</fb>
    <v>0</v>
  </rv>
  <rv s="0">
    <fb>45805</fb>
    <v>0</v>
  </rv>
  <rv s="0">
    <fb>71.52</fb>
    <v>1</v>
  </rv>
  <rv s="0">
    <fb>45806</fb>
    <v>0</v>
  </rv>
  <rv s="0">
    <fb>66.319999999999993</fb>
    <v>1</v>
  </rv>
  <rv s="0">
    <fb>45807</fb>
    <v>0</v>
  </rv>
  <rv s="0">
    <fb>66.28</fb>
    <v>1</v>
  </rv>
  <rv s="0">
    <fb>45810</fb>
    <v>0</v>
  </rv>
  <rv s="0">
    <fb>68.27</fb>
    <v>1</v>
  </rv>
  <rv s="0">
    <fb>45811</fb>
    <v>0</v>
  </rv>
  <rv s="0">
    <fb>69.84</fb>
    <v>1</v>
  </rv>
  <rv s="0">
    <fb>45812</fb>
    <v>0</v>
  </rv>
  <rv s="0">
    <fb>69.67</fb>
    <v>1</v>
  </rv>
  <rv s="0">
    <fb>45813</fb>
    <v>0</v>
  </rv>
  <rv s="0">
    <fb>70.459999999999994</fb>
    <v>1</v>
  </rv>
  <rv s="0">
    <fb>45814</fb>
    <v>0</v>
  </rv>
  <rv s="0">
    <fb>73.02</fb>
    <v>1</v>
  </rv>
  <rv s="0">
    <fb>45817</fb>
    <v>0</v>
  </rv>
  <rv s="0">
    <fb>72.75</fb>
    <v>1</v>
  </rv>
  <rv s="0">
    <fb>45818</fb>
    <v>0</v>
  </rv>
  <rv s="0">
    <fb>74.91</fb>
    <v>1</v>
  </rv>
  <rv s="0">
    <fb>45819</fb>
    <v>0</v>
  </rv>
  <rv s="0">
    <fb>45820</fb>
    <v>0</v>
  </rv>
  <rv s="0">
    <fb>72.540000000000006</fb>
    <v>1</v>
  </rv>
  <rv s="0">
    <fb>45821</fb>
    <v>0</v>
  </rv>
  <rv s="0">
    <fb>69.599999999999994</fb>
    <v>1</v>
  </rv>
  <rv s="0">
    <fb>45824</fb>
    <v>0</v>
  </rv>
  <rv s="0">
    <fb>71.23</fb>
    <v>1</v>
  </rv>
  <rv s="0">
    <fb>45825</fb>
    <v>0</v>
  </rv>
  <rv s="0">
    <fb>69.39</fb>
    <v>1</v>
  </rv>
  <rv s="0">
    <fb>45826</fb>
    <v>0</v>
  </rv>
  <rv s="0">
    <fb>67.760000000000005</fb>
    <v>1</v>
  </rv>
  <rv s="0">
    <fb>45828</fb>
    <v>0</v>
  </rv>
  <rv s="0">
    <fb>67.52</fb>
    <v>1</v>
  </rv>
  <rv s="0">
    <fb>45831</fb>
    <v>0</v>
  </rv>
  <rv s="0">
    <fb>66.37</fb>
    <v>1</v>
  </rv>
  <rv s="0">
    <fb>45832</fb>
    <v>0</v>
  </rv>
  <rv s="0">
    <fb>68.84</fb>
    <v>1</v>
  </rv>
  <rv s="0">
    <fb>45833</fb>
    <v>0</v>
  </rv>
  <rv s="0">
    <fb>68</fb>
    <v>1</v>
  </rv>
  <rv s="0">
    <fb>45834</fb>
    <v>0</v>
  </rv>
  <rv s="0">
    <fb>68.430000000000007</fb>
    <v>1</v>
  </rv>
  <rv s="0">
    <fb>45835</fb>
    <v>0</v>
  </rv>
  <rv s="0">
    <fb>45838</fb>
    <v>0</v>
  </rv>
  <rv s="0">
    <fb>67.13</fb>
    <v>1</v>
  </rv>
  <rv s="0">
    <fb>45839</fb>
    <v>0</v>
  </rv>
  <rv s="0">
    <fb>70.650000000000006</fb>
    <v>1</v>
  </rv>
  <rv s="0">
    <fb>45840</fb>
    <v>0</v>
  </rv>
  <rv s="0">
    <fb>71.59</fb>
    <v>1</v>
  </rv>
  <rv s="0">
    <fb>45841</fb>
    <v>0</v>
  </rv>
  <rv s="0">
    <fb>72.099999999999994</fb>
    <v>1</v>
  </rv>
  <rv s="0">
    <fb>45845</fb>
    <v>0</v>
  </rv>
  <rv s="0">
    <fb>45846</fb>
    <v>0</v>
  </rv>
  <rv s="0">
    <fb>72.239999999999995</fb>
    <v>1</v>
  </rv>
  <rv s="0">
    <fb>45847</fb>
    <v>0</v>
  </rv>
  <rv s="0">
    <fb>45848</fb>
    <v>0</v>
  </rv>
  <rv s="0">
    <fb>73.72</fb>
    <v>1</v>
  </rv>
  <rv s="0">
    <fb>45849</fb>
    <v>0</v>
  </rv>
  <rv s="0">
    <fb>71.790000000000006</fb>
    <v>1</v>
  </rv>
  <rv s="0">
    <fb>45852</fb>
    <v>0</v>
  </rv>
  <rv s="0">
    <fb>45853</fb>
    <v>0</v>
  </rv>
  <rv s="0">
    <fb>68.87</fb>
    <v>1</v>
  </rv>
  <rv s="0">
    <fb>45854</fb>
    <v>0</v>
  </rv>
  <rv s="0">
    <fb>66.849999999999994</fb>
    <v>1</v>
  </rv>
  <rv s="0">
    <fb>45855</fb>
    <v>0</v>
  </rv>
  <rv s="0">
    <fb>67.67</fb>
    <v>1</v>
  </rv>
  <rv s="0">
    <fb>45856</fb>
    <v>0</v>
  </rv>
  <rv s="0">
    <fb>67.55</fb>
    <v>1</v>
  </rv>
  <rv s="0">
    <fb>45859</fb>
    <v>0</v>
  </rv>
  <rv s="0">
    <fb>66.19</fb>
    <v>1</v>
  </rv>
  <rv s="0">
    <fb>45860</fb>
    <v>0</v>
  </rv>
  <rv s="0">
    <fb>68.150000000000006</fb>
    <v>1</v>
  </rv>
  <rv s="0">
    <fb>45861</fb>
    <v>0</v>
  </rv>
  <rv s="0">
    <fb>68.459999999999994</fb>
    <v>1</v>
  </rv>
  <rv s="0">
    <fb>45862</fb>
    <v>0</v>
  </rv>
  <rv s="0">
    <fb>67.290000000000006</fb>
    <v>1</v>
  </rv>
  <rv s="0">
    <fb>45863</fb>
    <v>0</v>
  </rv>
  <rv s="0">
    <fb>45866</fb>
    <v>0</v>
  </rv>
  <rv s="0">
    <fb>67.790000000000006</fb>
    <v>1</v>
  </rv>
  <rv s="0">
    <fb>45867</fb>
    <v>0</v>
  </rv>
  <rv s="0">
    <fb>66.44</fb>
    <v>1</v>
  </rv>
  <rv s="0">
    <fb>45868</fb>
    <v>0</v>
  </rv>
  <rv s="0">
    <fb>65.790000000000006</fb>
    <v>1</v>
  </rv>
  <rv s="0">
    <fb>45869</fb>
    <v>0</v>
  </rv>
  <rv s="0">
    <fb>65.06</fb>
    <v>1</v>
  </rv>
  <rv s="0">
    <fb>45870</fb>
    <v>0</v>
  </rv>
  <rv s="0">
    <fb>45873</fb>
    <v>0</v>
  </rv>
  <rv s="0">
    <fb>66.22</fb>
    <v>1</v>
  </rv>
  <rv s="0">
    <fb>45874</fb>
    <v>0</v>
  </rv>
  <rv s="0">
    <fb>66.98</fb>
    <v>1</v>
  </rv>
  <rv s="0">
    <fb>45875</fb>
    <v>0</v>
  </rv>
  <rv s="0">
    <fb>67.430000000000007</fb>
    <v>1</v>
  </rv>
  <rv s="0">
    <fb>45876</fb>
    <v>0</v>
  </rv>
  <rv s="0">
    <fb>45877</fb>
    <v>0</v>
  </rv>
  <rv s="0">
    <fb>68.97</fb>
    <v>1</v>
  </rv>
  <rv s="0">
    <fb>45880</fb>
    <v>0</v>
  </rv>
  <rv s="0">
    <fb>68.59</fb>
    <v>1</v>
  </rv>
  <rv s="0">
    <fb>45881</fb>
    <v>0</v>
  </rv>
  <rv s="0">
    <fb>70.239999999999995</fb>
    <v>1</v>
  </rv>
  <rv s="0">
    <fb>45882</fb>
    <v>0</v>
  </rv>
  <rv s="0">
    <fb>72.73</fb>
    <v>1</v>
  </rv>
  <rv s="0">
    <fb>45883</fb>
    <v>0</v>
  </rv>
  <rv s="0">
    <fb>71.739999999999995</fb>
    <v>1</v>
  </rv>
  <rv s="0">
    <fb>45884</fb>
    <v>0</v>
  </rv>
  <rv s="0">
    <fb>71.63</fb>
    <v>1</v>
  </rv>
  <rv s="0">
    <fb>45887</fb>
    <v>0</v>
  </rv>
  <rv s="0">
    <fb>71.8</fb>
    <v>1</v>
  </rv>
  <rv s="0">
    <fb>45888</fb>
    <v>0</v>
  </rv>
  <rv s="0">
    <fb>74.099999999999994</fb>
    <v>1</v>
  </rv>
  <rv s="0">
    <fb>45889</fb>
    <v>0</v>
  </rv>
  <rv s="0">
    <fb>45890</fb>
    <v>0</v>
  </rv>
  <rv s="0">
    <fb>45891</fb>
    <v>0</v>
  </rv>
  <rv s="0">
    <fb>75.39</fb>
    <v>1</v>
  </rv>
  <rv s="0">
    <fb>45894</fb>
    <v>0</v>
  </rv>
  <rv s="0">
    <fb>45895</fb>
    <v>0</v>
  </rv>
  <rv s="0">
    <fb>73.67</fb>
    <v>1</v>
  </rv>
  <rv s="0">
    <fb>45896</fb>
    <v>0</v>
  </rv>
  <rv s="0">
    <fb>75.45</fb>
    <v>1</v>
  </rv>
  <rv s="0">
    <fb>45897</fb>
    <v>0</v>
  </rv>
  <rv s="0">
    <fb>72.66</fb>
    <v>1</v>
  </rv>
  <rv s="0">
    <fb>45898</fb>
    <v>0</v>
  </rv>
  <rv s="0">
    <fb>45902</fb>
    <v>0</v>
  </rv>
  <rv s="0">
    <fb>74.459999999999994</fb>
    <v>1</v>
  </rv>
  <rv s="0">
    <fb>45903</fb>
    <v>0</v>
  </rv>
  <rv s="0">
    <fb>45904</fb>
    <v>0</v>
  </rv>
  <rv s="0">
    <fb>77.05</fb>
    <v>1</v>
  </rv>
  <rv s="0">
    <fb>45905</fb>
    <v>0</v>
  </rv>
  <rv s="0">
    <fb>76.17</fb>
    <v>1</v>
  </rv>
  <rv s="0">
    <fb>45908</fb>
    <v>0</v>
  </rv>
  <rv s="0">
    <fb>77.59</fb>
    <v>1</v>
  </rv>
  <rv s="0">
    <fb>45909</fb>
    <v>0</v>
  </rv>
  <rv s="0">
    <fb>77.02</fb>
    <v>1</v>
  </rv>
  <rv s="0">
    <fb>45910</fb>
    <v>0</v>
  </rv>
  <rv s="0">
    <fb>76.61</fb>
    <v>1</v>
  </rv>
  <rv s="0">
    <fb>45911</fb>
    <v>0</v>
  </rv>
  <rv s="0">
    <fb>45912</fb>
    <v>0</v>
  </rv>
  <rv s="0">
    <fb>75.87</fb>
    <v>1</v>
  </rv>
  <rv s="0">
    <fb>45915</fb>
    <v>0</v>
  </rv>
  <rv s="0">
    <fb>45916</fb>
    <v>0</v>
  </rv>
  <rv s="0">
    <fb>74.040000000000006</fb>
    <v>1</v>
  </rv>
  <rv s="0">
    <fb>45917</fb>
    <v>0</v>
  </rv>
  <rv s="0">
    <fb>45918</fb>
    <v>0</v>
  </rv>
  <rv s="0">
    <fb>73.73</fb>
    <v>1</v>
  </rv>
  <rv s="0">
    <fb>45919</fb>
    <v>0</v>
  </rv>
  <rv s="0">
    <fb>72.23</fb>
    <v>1</v>
  </rv>
  <rv s="0">
    <fb>45922</fb>
    <v>0</v>
  </rv>
  <rv s="0">
    <fb>72.33</fb>
    <v>1</v>
  </rv>
  <rv s="0">
    <fb>45923</fb>
    <v>0</v>
  </rv>
  <rv s="0">
    <fb>73.010000000000005</fb>
    <v>1</v>
  </rv>
  <rv s="0">
    <fb>45924</fb>
    <v>0</v>
  </rv>
  <rv s="0">
    <fb>45925</fb>
    <v>0</v>
  </rv>
  <rv s="0">
    <fb>74.19</fb>
    <v>1</v>
  </rv>
  <rv s="0">
    <fb>45926</fb>
    <v>0</v>
  </rv>
  <rv s="0">
    <fb>45929</fb>
    <v>0</v>
  </rv>
  <rv s="0">
    <fb>75.66</fb>
    <v>1</v>
  </rv>
  <rv s="0">
    <fb>45930</fb>
    <v>0</v>
  </rv>
  <rv s="0">
    <fb>45931</fb>
    <v>0</v>
  </rv>
  <rv s="0">
    <fb>77.349999999999994</fb>
    <v>1</v>
  </rv>
  <rv s="0">
    <fb>45932</fb>
    <v>0</v>
  </rv>
  <rv s="0">
    <fb>76.62</fb>
    <v>1</v>
  </rv>
  <rv s="0">
    <fb>45933</fb>
    <v>0</v>
  </rv>
  <rv s="0">
    <fb>76.86</fb>
    <v>1</v>
  </rv>
  <rv s="0">
    <fb>45936</fb>
    <v>0</v>
  </rv>
  <rv s="0">
    <fb>45937</fb>
    <v>0</v>
  </rv>
  <rv s="0">
    <fb>75.23</fb>
    <v>1</v>
  </rv>
  <rv s="0">
    <fb>45938</fb>
    <v>0</v>
  </rv>
  <rv s="0">
    <fb>76.95</fb>
    <v>1</v>
  </rv>
  <rv s="0">
    <fb>45939</fb>
    <v>0</v>
  </rv>
  <rv s="0">
    <fb>45940</fb>
    <v>0</v>
  </rv>
  <rv s="0">
    <fb>70.430000000000007</fb>
    <v>1</v>
  </rv>
  <rv s="0">
    <fb>45943</fb>
    <v>0</v>
  </rv>
  <rv s="0">
    <fb>77.45</fb>
    <v>1</v>
  </rv>
  <rv s="0">
    <fb>45944</fb>
    <v>0</v>
  </rv>
  <rv s="0">
    <fb>77.209999999999994</fb>
    <v>1</v>
  </rv>
  <rv s="0">
    <fb>45945</fb>
    <v>0</v>
  </rv>
  <rv s="0">
    <fb>78.41</fb>
    <v>1</v>
  </rv>
  <rv s="0">
    <fb>45946</fb>
    <v>0</v>
  </rv>
  <rv s="0">
    <fb>45947</fb>
    <v>0</v>
  </rv>
  <rv s="0">
    <fb>79.709999999999994</fb>
    <v>1</v>
  </rv>
  <rv s="0">
    <fb>45950</fb>
    <v>0</v>
  </rv>
  <rv s="0">
    <fb>81.010000000000005</fb>
    <v>1</v>
  </rv>
  <rv s="0">
    <fb>45951</fb>
    <v>0</v>
  </rv>
  <rv s="0">
    <fb>82.66</fb>
    <v>1</v>
  </rv>
  <rv s="0">
    <fb>45952</fb>
    <v>0</v>
  </rv>
  <rv s="0">
    <fb>45953</fb>
    <v>0</v>
  </rv>
  <rv s="0">
    <fb>82.43</fb>
    <v>1</v>
  </rv>
  <rv s="0">
    <fb>45954</fb>
    <v>0</v>
  </rv>
  <rv s="0">
    <fb>45957</fb>
    <v>0</v>
  </rv>
  <rv s="0">
    <fb>82.88</fb>
    <v>1</v>
  </rv>
  <rv s="0">
    <fb>45958</fb>
    <v>0</v>
  </rv>
  <rv s="0">
    <fb>83.86</fb>
    <v>1</v>
  </rv>
  <rv s="0">
    <fb>45959</fb>
    <v>0</v>
  </rv>
  <rv s="0">
    <fb>45960</fb>
    <v>0</v>
  </rv>
  <rv s="0">
    <fb>45961</fb>
    <v>0</v>
  </rv>
  <rv s="0">
    <fb>82.14</fb>
    <v>1</v>
  </rv>
  <rv s="0">
    <fb>45964</fb>
    <v>0</v>
  </rv>
  <rv s="0">
    <fb>45965</fb>
    <v>0</v>
  </rv>
  <rv s="0">
    <fb>79.37</fb>
    <v>1</v>
  </rv>
  <rv s="0">
    <fb>45966</fb>
    <v>0</v>
  </rv>
  <rv s="0">
    <fb>45967</fb>
    <v>0</v>
  </rv>
  <rv s="0">
    <fb>78.67</fb>
    <v>1</v>
  </rv>
  <rv s="0">
    <fb>45968</fb>
    <v>0</v>
  </rv>
  <rv s="0">
    <fb>79.03</fb>
    <v>1</v>
  </rv>
  <rv s="0">
    <fb>45971</fb>
    <v>0</v>
  </rv>
  <rv s="0">
    <fb>78.150000000000006</fb>
    <v>1</v>
  </rv>
  <rv s="0">
    <fb>45972</fb>
    <v>0</v>
  </rv>
  <rv s="0">
    <fb>77.680000000000007</fb>
    <v>1</v>
  </rv>
  <rv s="0">
    <fb>45973</fb>
    <v>0</v>
  </rv>
  <rv s="0">
    <fb>77.709999999999994</fb>
    <v>1</v>
  </rv>
  <rv s="0">
    <fb>45974</fb>
    <v>0</v>
  </rv>
  <rv s="0">
    <fb>76.180000000000007</fb>
    <v>1</v>
  </rv>
  <rv s="0">
    <fb>45975</fb>
    <v>0</v>
  </rv>
  <rv s="0">
    <fb>75.72</fb>
    <v>1</v>
  </rv>
  <rv s="0">
    <fb>45978</fb>
    <v>0</v>
  </rv>
  <rv s="0">
    <fb>45979</fb>
    <v>0</v>
  </rv>
  <rv s="0">
    <fb>45980</fb>
    <v>0</v>
  </rv>
  <rv s="0">
    <fb>74.38</fb>
    <v>1</v>
  </rv>
  <rv s="0">
    <fb>45981</fb>
    <v>0</v>
  </rv>
  <rv s="0">
    <fb>73.78</fb>
    <v>1</v>
  </rv>
  <rv s="0">
    <fb>45982</fb>
    <v>0</v>
  </rv>
  <rv s="0">
    <fb>45985</fb>
    <v>0</v>
  </rv>
  <rv s="0">
    <fb>45986</fb>
    <v>0</v>
  </rv>
  <rv s="0">
    <fb>79.66</fb>
    <v>1</v>
  </rv>
  <rv s="0">
    <fb>45987</fb>
    <v>0</v>
  </rv>
  <rv s="0">
    <fb>80.98</fb>
    <v>1</v>
  </rv>
  <rv s="1">
    <v>2</v>
    <v>BBY</v>
    <v>Daily</v>
    <v>44161</v>
    <v>45987</v>
    <v>0</v>
    <v>1</v>
    <v>638997120000000000,639001585645411867,0</v>
    <v>0</v>
    <v>a1o9gh</v>
    <v>XNYS:BBY</v>
    <v>1</v>
  </rv>
  <rv s="2">
    <v>3</v>
    <v>BBY</v>
    <v>Daily</v>
    <v>44161</v>
    <v>45987</v>
    <v>0</v>
    <v>1</v>
    <v>638997120000000000,639001585845044512,0</v>
    <v>0</v>
    <v>a1o9gh</v>
    <v>XNYS:BBY</v>
    <v>2</v>
  </rv>
</rvData>
</file>

<file path=xl/richData/rdrichvaluestructure.xml><?xml version="1.0" encoding="utf-8"?>
<rvStructures xmlns="http://schemas.microsoft.com/office/spreadsheetml/2017/richdata" count="3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Volume" t="a"/>
  </s>
</rvStructures>
</file>

<file path=xl/richData/rdsupportingpropertybag.xml><?xml version="1.0" encoding="utf-8"?>
<supportingPropertyBags xmlns="http://schemas.microsoft.com/office/spreadsheetml/2017/richdata2">
  <spbData count="4">
    <spb s="0">
      <v>1</v>
    </spb>
    <spb s="0">
      <v>2</v>
    </spb>
    <spb s="1">
      <v>1</v>
      <v>2</v>
    </spb>
    <spb s="2">
      <v>1</v>
      <v>3</v>
    </spb>
  </spbData>
</supportingPropertyBags>
</file>

<file path=xl/richData/rdsupportingpropertybagstructure.xml><?xml version="1.0" encoding="utf-8"?>
<spbStructures xmlns="http://schemas.microsoft.com/office/spreadsheetml/2017/richdata2" count="3">
  <s>
    <k n="_Self" t="i"/>
  </s>
  <s>
    <k n="Date" t="i"/>
    <k n="Close" t="i"/>
  </s>
  <s>
    <k n="Date" t="i"/>
    <k n="Volum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3">
    <x:dxf>
      <x:numFmt numFmtId="19" formatCode="yyyy/mm/dd"/>
    </x:dxf>
    <x:dxf>
      <x:numFmt numFmtId="0" formatCode="General"/>
    </x:dxf>
    <x:dxf>
      <x:numFmt numFmtId="3" formatCode="#,##0"/>
    </x:dxf>
  </dxfs>
  <richProperties>
    <rPr n="NumberFormat" t="s"/>
  </richProperties>
  <richStyles>
    <rSty dxfid="0"/>
    <rSty dxfid="1">
      <rpv i="0">_([$$-en-US]* #,##0.00_);_([$$-en-US]* (#,##0.00);_([$$-en-US]* "-"??_);_(@_)</rpv>
    </rSty>
    <rSty dxfid="2">
      <rpv i="0">#,##0</rpv>
    </rSty>
  </richStyles>
</richStyleShee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E6E7E8"/>
      </a:accent1>
      <a:accent2>
        <a:srgbClr val="F57A16"/>
      </a:accent2>
      <a:accent3>
        <a:srgbClr val="1E8496"/>
      </a:accent3>
      <a:accent4>
        <a:srgbClr val="E6E7E8"/>
      </a:accent4>
      <a:accent5>
        <a:srgbClr val="ED942D"/>
      </a:accent5>
      <a:accent6>
        <a:srgbClr val="1E2A39"/>
      </a:accent6>
      <a:hlink>
        <a:srgbClr val="E6E7E8"/>
      </a:hlink>
      <a:folHlink>
        <a:srgbClr val="E6E7E8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visualcapitalist.com/video-game-industry-revenue-over-time" TargetMode="External"/><Relationship Id="rId2" Type="http://schemas.openxmlformats.org/officeDocument/2006/relationships/hyperlink" Target="https://sell.amazon.com/pricing" TargetMode="External"/><Relationship Id="rId1" Type="http://schemas.openxmlformats.org/officeDocument/2006/relationships/hyperlink" Target="https://www-statista-com.proxy.library.vanderbilt.edu/outlook/cmo/consumer-electronics/north-america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F8ECE-93FC-8949-B541-F5705E70F8BE}">
  <dimension ref="A1:H15"/>
  <sheetViews>
    <sheetView showGridLines="0" workbookViewId="0">
      <selection activeCell="G19" sqref="G19"/>
    </sheetView>
  </sheetViews>
  <sheetFormatPr baseColWidth="10" defaultColWidth="10.83203125" defaultRowHeight="15" x14ac:dyDescent="0.2"/>
  <cols>
    <col min="1" max="16384" width="10.83203125" style="110"/>
  </cols>
  <sheetData>
    <row r="1" spans="1:8" s="109" customFormat="1" ht="47" thickBot="1" x14ac:dyDescent="0.6">
      <c r="A1" s="108" t="s">
        <v>0</v>
      </c>
    </row>
    <row r="2" spans="1:8" ht="33" customHeight="1" x14ac:dyDescent="0.2">
      <c r="A2" s="378" t="s">
        <v>1</v>
      </c>
      <c r="B2" s="378"/>
      <c r="C2" s="378"/>
      <c r="D2" s="378"/>
      <c r="E2" s="378"/>
      <c r="F2" s="378"/>
      <c r="G2" s="378"/>
      <c r="H2" s="379"/>
    </row>
    <row r="3" spans="1:8" x14ac:dyDescent="0.2">
      <c r="A3" s="380"/>
      <c r="B3" s="380"/>
      <c r="C3" s="380"/>
      <c r="D3" s="380"/>
      <c r="E3" s="380"/>
      <c r="F3" s="380"/>
      <c r="G3" s="380"/>
      <c r="H3" s="381"/>
    </row>
    <row r="4" spans="1:8" x14ac:dyDescent="0.2">
      <c r="A4" s="380"/>
      <c r="B4" s="380"/>
      <c r="C4" s="380"/>
      <c r="D4" s="380"/>
      <c r="E4" s="380"/>
      <c r="F4" s="380"/>
      <c r="G4" s="380"/>
      <c r="H4" s="381"/>
    </row>
    <row r="5" spans="1:8" x14ac:dyDescent="0.2">
      <c r="A5" s="380"/>
      <c r="B5" s="380"/>
      <c r="C5" s="380"/>
      <c r="D5" s="380"/>
      <c r="E5" s="380"/>
      <c r="F5" s="380"/>
      <c r="G5" s="380"/>
      <c r="H5" s="381"/>
    </row>
    <row r="6" spans="1:8" x14ac:dyDescent="0.2">
      <c r="A6" s="380"/>
      <c r="B6" s="380"/>
      <c r="C6" s="380"/>
      <c r="D6" s="380"/>
      <c r="E6" s="380"/>
      <c r="F6" s="380"/>
      <c r="G6" s="380"/>
      <c r="H6" s="381"/>
    </row>
    <row r="7" spans="1:8" x14ac:dyDescent="0.2">
      <c r="A7" s="380"/>
      <c r="B7" s="380"/>
      <c r="C7" s="380"/>
      <c r="D7" s="380"/>
      <c r="E7" s="380"/>
      <c r="F7" s="380"/>
      <c r="G7" s="380"/>
      <c r="H7" s="381"/>
    </row>
    <row r="8" spans="1:8" x14ac:dyDescent="0.2">
      <c r="A8" s="380"/>
      <c r="B8" s="380"/>
      <c r="C8" s="380"/>
      <c r="D8" s="380"/>
      <c r="E8" s="380"/>
      <c r="F8" s="380"/>
      <c r="G8" s="380"/>
      <c r="H8" s="381"/>
    </row>
    <row r="9" spans="1:8" x14ac:dyDescent="0.2">
      <c r="A9" s="380"/>
      <c r="B9" s="380"/>
      <c r="C9" s="380"/>
      <c r="D9" s="380"/>
      <c r="E9" s="380"/>
      <c r="F9" s="380"/>
      <c r="G9" s="380"/>
      <c r="H9" s="381"/>
    </row>
    <row r="10" spans="1:8" x14ac:dyDescent="0.2">
      <c r="A10" s="380"/>
      <c r="B10" s="380"/>
      <c r="C10" s="380"/>
      <c r="D10" s="380"/>
      <c r="E10" s="380"/>
      <c r="F10" s="380"/>
      <c r="G10" s="380"/>
      <c r="H10" s="381"/>
    </row>
    <row r="11" spans="1:8" x14ac:dyDescent="0.2">
      <c r="A11" s="380"/>
      <c r="B11" s="380"/>
      <c r="C11" s="380"/>
      <c r="D11" s="380"/>
      <c r="E11" s="380"/>
      <c r="F11" s="380"/>
      <c r="G11" s="380"/>
      <c r="H11" s="381"/>
    </row>
    <row r="12" spans="1:8" x14ac:dyDescent="0.2">
      <c r="A12" s="380"/>
      <c r="B12" s="380"/>
      <c r="C12" s="380"/>
      <c r="D12" s="380"/>
      <c r="E12" s="380"/>
      <c r="F12" s="380"/>
      <c r="G12" s="380"/>
      <c r="H12" s="381"/>
    </row>
    <row r="13" spans="1:8" x14ac:dyDescent="0.2">
      <c r="A13" s="380"/>
      <c r="B13" s="380"/>
      <c r="C13" s="380"/>
      <c r="D13" s="380"/>
      <c r="E13" s="380"/>
      <c r="F13" s="380"/>
      <c r="G13" s="380"/>
      <c r="H13" s="381"/>
    </row>
    <row r="14" spans="1:8" x14ac:dyDescent="0.2">
      <c r="A14" s="380"/>
      <c r="B14" s="380"/>
      <c r="C14" s="380"/>
      <c r="D14" s="380"/>
      <c r="E14" s="380"/>
      <c r="F14" s="380"/>
      <c r="G14" s="380"/>
      <c r="H14" s="381"/>
    </row>
    <row r="15" spans="1:8" ht="16" thickBot="1" x14ac:dyDescent="0.25">
      <c r="A15" s="382"/>
      <c r="B15" s="382"/>
      <c r="C15" s="382"/>
      <c r="D15" s="382"/>
      <c r="E15" s="382"/>
      <c r="F15" s="382"/>
      <c r="G15" s="382"/>
      <c r="H15" s="383"/>
    </row>
  </sheetData>
  <mergeCells count="1">
    <mergeCell ref="A2:H1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192BA-D346-45E7-8623-92B4C2C53F9D}">
  <dimension ref="B2:M31"/>
  <sheetViews>
    <sheetView showGridLines="0" topLeftCell="A2" zoomScale="88" workbookViewId="0">
      <selection activeCell="G27" sqref="G27"/>
    </sheetView>
  </sheetViews>
  <sheetFormatPr baseColWidth="10" defaultColWidth="8.6640625" defaultRowHeight="14" x14ac:dyDescent="0.15"/>
  <cols>
    <col min="1" max="1" width="8.6640625" style="149"/>
    <col min="2" max="2" width="33" style="149" customWidth="1"/>
    <col min="3" max="3" width="7.1640625" style="149" bestFit="1" customWidth="1"/>
    <col min="4" max="4" width="3.6640625" style="149" customWidth="1"/>
    <col min="5" max="5" width="18.5" style="149" bestFit="1" customWidth="1"/>
    <col min="6" max="6" width="14.33203125" style="149" bestFit="1" customWidth="1"/>
    <col min="7" max="7" width="15" style="149" bestFit="1" customWidth="1"/>
    <col min="8" max="8" width="8.6640625" style="149"/>
    <col min="9" max="9" width="20" style="149" bestFit="1" customWidth="1"/>
    <col min="10" max="10" width="10.1640625" style="149" bestFit="1" customWidth="1"/>
    <col min="11" max="16384" width="8.6640625" style="149"/>
  </cols>
  <sheetData>
    <row r="2" spans="2:13" ht="18" x14ac:dyDescent="0.2">
      <c r="B2" s="226" t="s">
        <v>284</v>
      </c>
      <c r="C2" s="227" t="s">
        <v>285</v>
      </c>
      <c r="D2" s="288"/>
      <c r="E2" s="289" t="s">
        <v>286</v>
      </c>
      <c r="F2" s="289" t="s">
        <v>287</v>
      </c>
      <c r="G2" s="290" t="s">
        <v>288</v>
      </c>
      <c r="I2" s="258" t="s">
        <v>289</v>
      </c>
      <c r="J2" s="259"/>
      <c r="L2" s="149" t="s">
        <v>290</v>
      </c>
      <c r="M2" s="149" t="s">
        <v>291</v>
      </c>
    </row>
    <row r="3" spans="2:13" ht="5.25" customHeight="1" x14ac:dyDescent="0.15">
      <c r="B3" s="260"/>
      <c r="C3" s="260"/>
      <c r="E3" s="261"/>
      <c r="F3" s="261"/>
      <c r="G3" s="261"/>
    </row>
    <row r="4" spans="2:13" ht="16" x14ac:dyDescent="0.2">
      <c r="B4" s="262" t="s">
        <v>292</v>
      </c>
      <c r="C4" s="262" t="s">
        <v>293</v>
      </c>
      <c r="D4" s="209"/>
      <c r="E4" s="263">
        <v>20.170000000000002</v>
      </c>
      <c r="F4" s="263">
        <v>32.35</v>
      </c>
      <c r="G4" s="264">
        <v>38.15</v>
      </c>
      <c r="I4" s="262" t="s">
        <v>294</v>
      </c>
      <c r="J4" s="265">
        <v>2607</v>
      </c>
    </row>
    <row r="5" spans="2:13" ht="16" x14ac:dyDescent="0.2">
      <c r="B5" s="262" t="s">
        <v>295</v>
      </c>
      <c r="C5" s="262" t="s">
        <v>296</v>
      </c>
      <c r="D5" s="209"/>
      <c r="E5" s="263">
        <v>6.67</v>
      </c>
      <c r="F5" s="263">
        <v>10.66</v>
      </c>
      <c r="G5" s="264">
        <v>10.88</v>
      </c>
      <c r="I5" s="262" t="s">
        <v>297</v>
      </c>
      <c r="J5" s="265">
        <v>1763</v>
      </c>
    </row>
    <row r="6" spans="2:13" ht="16" x14ac:dyDescent="0.2">
      <c r="B6" s="262" t="s">
        <v>298</v>
      </c>
      <c r="C6" s="262" t="s">
        <v>299</v>
      </c>
      <c r="D6" s="209"/>
      <c r="E6" s="263">
        <v>13.72</v>
      </c>
      <c r="F6" s="263">
        <v>22.66</v>
      </c>
      <c r="G6" s="264">
        <v>26.25</v>
      </c>
      <c r="I6" s="262" t="s">
        <v>300</v>
      </c>
      <c r="J6" s="266">
        <v>5.23</v>
      </c>
    </row>
    <row r="7" spans="2:13" ht="16" x14ac:dyDescent="0.2">
      <c r="B7" s="262" t="s">
        <v>301</v>
      </c>
      <c r="C7" s="262" t="s">
        <v>302</v>
      </c>
      <c r="D7" s="209"/>
      <c r="E7" s="263">
        <v>14.88</v>
      </c>
      <c r="F7" s="263">
        <v>19.420000000000002</v>
      </c>
      <c r="G7" s="264">
        <v>24.25</v>
      </c>
    </row>
    <row r="8" spans="2:13" ht="16" x14ac:dyDescent="0.2">
      <c r="B8" s="262" t="s">
        <v>303</v>
      </c>
      <c r="C8" s="262" t="s">
        <v>304</v>
      </c>
      <c r="D8" s="209"/>
      <c r="E8" s="263">
        <v>13.21</v>
      </c>
      <c r="F8" s="263">
        <v>17.149999999999999</v>
      </c>
      <c r="G8" s="264">
        <v>20.03</v>
      </c>
    </row>
    <row r="9" spans="2:13" ht="16" x14ac:dyDescent="0.2">
      <c r="B9" s="262" t="s">
        <v>305</v>
      </c>
      <c r="C9" s="262" t="s">
        <v>306</v>
      </c>
      <c r="D9" s="209"/>
      <c r="E9" s="263">
        <v>8.74</v>
      </c>
      <c r="F9" s="263">
        <v>16.260000000000002</v>
      </c>
      <c r="G9" s="264">
        <v>16.89</v>
      </c>
    </row>
    <row r="10" spans="2:13" ht="16" x14ac:dyDescent="0.2">
      <c r="B10" s="262" t="s">
        <v>307</v>
      </c>
      <c r="C10" s="262" t="s">
        <v>308</v>
      </c>
      <c r="D10" s="209"/>
      <c r="E10" s="263">
        <v>5.67</v>
      </c>
      <c r="F10" s="263">
        <v>9.89</v>
      </c>
      <c r="G10" s="264">
        <v>9.06</v>
      </c>
    </row>
    <row r="11" spans="2:13" ht="16" x14ac:dyDescent="0.2">
      <c r="B11" s="262" t="s">
        <v>309</v>
      </c>
      <c r="C11" s="262" t="s">
        <v>310</v>
      </c>
      <c r="D11" s="209"/>
      <c r="E11" s="263">
        <v>4.3499999999999996</v>
      </c>
      <c r="F11" s="263">
        <v>6.68</v>
      </c>
      <c r="G11" s="264">
        <v>5.27</v>
      </c>
    </row>
    <row r="12" spans="2:13" ht="5.25" customHeight="1" x14ac:dyDescent="0.2">
      <c r="B12" s="209"/>
      <c r="C12" s="209"/>
      <c r="D12" s="209"/>
      <c r="E12" s="267"/>
      <c r="F12" s="267"/>
      <c r="G12" s="267"/>
    </row>
    <row r="13" spans="2:13" ht="16" x14ac:dyDescent="0.2">
      <c r="B13" s="268" t="s">
        <v>311</v>
      </c>
      <c r="C13" s="269" t="s">
        <v>312</v>
      </c>
      <c r="D13" s="269"/>
      <c r="E13" s="270">
        <v>5.72</v>
      </c>
      <c r="F13" s="270">
        <v>11.94</v>
      </c>
      <c r="G13" s="271">
        <v>14.78</v>
      </c>
      <c r="J13" s="272"/>
    </row>
    <row r="14" spans="2:13" ht="5.25" customHeight="1" x14ac:dyDescent="0.2">
      <c r="B14" s="209"/>
      <c r="C14" s="209"/>
      <c r="D14" s="209"/>
      <c r="E14" s="267"/>
      <c r="F14" s="267"/>
      <c r="G14" s="267"/>
    </row>
    <row r="15" spans="2:13" ht="16" x14ac:dyDescent="0.2">
      <c r="B15" s="273" t="s">
        <v>313</v>
      </c>
      <c r="C15" s="274"/>
      <c r="D15" s="274"/>
      <c r="E15" s="275">
        <f>AVERAGE(E4:E11)</f>
        <v>10.92625</v>
      </c>
      <c r="F15" s="275">
        <f>AVERAGE(F4:F11)</f>
        <v>16.883750000000003</v>
      </c>
      <c r="G15" s="276">
        <f>AVERAGE(G4:G11)</f>
        <v>18.8475</v>
      </c>
      <c r="J15" s="272"/>
    </row>
    <row r="16" spans="2:13" ht="16" x14ac:dyDescent="0.2">
      <c r="B16" s="277" t="s">
        <v>314</v>
      </c>
      <c r="C16" s="278"/>
      <c r="D16" s="278"/>
      <c r="E16" s="279">
        <f>MEDIAN(E4:E11)</f>
        <v>10.975000000000001</v>
      </c>
      <c r="F16" s="279">
        <f>MEDIAN(F4:F11)</f>
        <v>16.704999999999998</v>
      </c>
      <c r="G16" s="280">
        <f>MEDIAN(G4:G11)</f>
        <v>18.46</v>
      </c>
      <c r="J16" s="272"/>
    </row>
    <row r="17" spans="2:10" ht="5.25" customHeight="1" x14ac:dyDescent="0.15">
      <c r="J17" s="272"/>
    </row>
    <row r="18" spans="2:10" ht="18" x14ac:dyDescent="0.2">
      <c r="B18" s="291" t="s">
        <v>311</v>
      </c>
      <c r="C18" s="292"/>
      <c r="D18" s="292"/>
      <c r="E18" s="292" t="s">
        <v>315</v>
      </c>
      <c r="F18" s="292"/>
      <c r="G18" s="293"/>
    </row>
    <row r="19" spans="2:10" ht="5.25" customHeight="1" x14ac:dyDescent="0.15"/>
    <row r="20" spans="2:10" ht="16" x14ac:dyDescent="0.2">
      <c r="B20" s="223" t="s">
        <v>266</v>
      </c>
      <c r="C20" s="223"/>
      <c r="D20" s="223"/>
      <c r="E20" s="281">
        <f>E16*J4</f>
        <v>28611.825000000004</v>
      </c>
      <c r="F20" s="281">
        <f>F16*J5</f>
        <v>29450.914999999997</v>
      </c>
      <c r="G20" s="281">
        <f>G22+G21</f>
        <v>20477.820280000004</v>
      </c>
    </row>
    <row r="21" spans="2:10" ht="16" x14ac:dyDescent="0.2">
      <c r="B21" s="209" t="s">
        <v>267</v>
      </c>
      <c r="C21" s="209"/>
      <c r="D21" s="209"/>
      <c r="E21" s="282">
        <f>DCF!$D$49</f>
        <v>-434</v>
      </c>
      <c r="F21" s="282">
        <f>DCF!$D$49</f>
        <v>-434</v>
      </c>
      <c r="G21" s="282">
        <f>DCF!$D$49</f>
        <v>-434</v>
      </c>
    </row>
    <row r="22" spans="2:10" ht="16" x14ac:dyDescent="0.2">
      <c r="B22" s="223" t="s">
        <v>268</v>
      </c>
      <c r="C22" s="223"/>
      <c r="D22" s="223"/>
      <c r="E22" s="281">
        <f t="shared" ref="E22:F22" si="0">E20-E21</f>
        <v>29045.825000000004</v>
      </c>
      <c r="F22" s="281">
        <f t="shared" si="0"/>
        <v>29884.914999999997</v>
      </c>
      <c r="G22" s="281">
        <f>G23*G25</f>
        <v>20911.820280000004</v>
      </c>
    </row>
    <row r="23" spans="2:10" ht="16" x14ac:dyDescent="0.2">
      <c r="B23" s="209" t="s">
        <v>269</v>
      </c>
      <c r="C23" s="209"/>
      <c r="D23" s="209"/>
      <c r="E23" s="283">
        <f>'Three Statement Model'!H57</f>
        <v>216.6</v>
      </c>
      <c r="F23" s="283">
        <f>E23</f>
        <v>216.6</v>
      </c>
      <c r="G23" s="283">
        <f>F23</f>
        <v>216.6</v>
      </c>
    </row>
    <row r="24" spans="2:10" ht="5.25" customHeight="1" x14ac:dyDescent="0.2">
      <c r="B24" s="209"/>
      <c r="C24" s="209"/>
      <c r="D24" s="209"/>
      <c r="E24" s="284"/>
      <c r="F24" s="284"/>
      <c r="G24" s="284"/>
    </row>
    <row r="25" spans="2:10" ht="16" x14ac:dyDescent="0.2">
      <c r="B25" s="268" t="s">
        <v>270</v>
      </c>
      <c r="C25" s="269"/>
      <c r="D25" s="269"/>
      <c r="E25" s="285">
        <f t="shared" ref="E25:F25" si="1">E22/E23</f>
        <v>134.09891505078488</v>
      </c>
      <c r="F25" s="285">
        <f t="shared" si="1"/>
        <v>137.97283010156971</v>
      </c>
      <c r="G25" s="286">
        <f>G16*J6</f>
        <v>96.545800000000014</v>
      </c>
    </row>
    <row r="26" spans="2:10" ht="16" x14ac:dyDescent="0.2">
      <c r="B26" s="209"/>
      <c r="C26" s="209"/>
      <c r="D26" s="209"/>
      <c r="E26" s="209"/>
      <c r="F26" s="209"/>
      <c r="G26" s="209"/>
    </row>
    <row r="27" spans="2:10" ht="16" x14ac:dyDescent="0.2">
      <c r="B27" s="209" t="s">
        <v>275</v>
      </c>
      <c r="C27" s="209"/>
      <c r="D27" s="209"/>
      <c r="E27" s="209"/>
      <c r="F27" s="209"/>
      <c r="G27" s="233">
        <f>AVERAGE(E25:G25)</f>
        <v>122.87251505078488</v>
      </c>
    </row>
    <row r="28" spans="2:10" ht="16" x14ac:dyDescent="0.2">
      <c r="B28" s="209" t="s">
        <v>271</v>
      </c>
      <c r="C28" s="209"/>
      <c r="D28" s="209"/>
      <c r="E28" s="209"/>
      <c r="F28" s="209"/>
      <c r="G28" s="233">
        <v>80.98</v>
      </c>
    </row>
    <row r="29" spans="2:10" ht="16" x14ac:dyDescent="0.2">
      <c r="B29" s="268" t="s">
        <v>316</v>
      </c>
      <c r="C29" s="269"/>
      <c r="D29" s="269"/>
      <c r="E29" s="285"/>
      <c r="F29" s="285"/>
      <c r="G29" s="287">
        <f>G27/G28-1</f>
        <v>0.51731927699166302</v>
      </c>
    </row>
    <row r="30" spans="2:10" ht="16" x14ac:dyDescent="0.2">
      <c r="B30" s="209"/>
      <c r="C30" s="209"/>
      <c r="D30" s="209"/>
      <c r="E30" s="209"/>
      <c r="F30" s="209"/>
      <c r="G30" s="209"/>
    </row>
    <row r="31" spans="2:10" ht="16" x14ac:dyDescent="0.2">
      <c r="B31" s="223" t="s">
        <v>276</v>
      </c>
      <c r="C31" s="209"/>
      <c r="D31" s="209"/>
      <c r="E31" s="209"/>
      <c r="F31" s="209"/>
      <c r="G31" s="281">
        <f>MEDIAN(E20:G20)</f>
        <v>28611.825000000004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CA313-D43B-44E0-B0DB-BF39227E5944}">
  <dimension ref="A2:Y16"/>
  <sheetViews>
    <sheetView showGridLines="0" topLeftCell="A30" zoomScale="56" workbookViewId="0">
      <selection activeCell="J45" sqref="J45"/>
    </sheetView>
  </sheetViews>
  <sheetFormatPr baseColWidth="10" defaultColWidth="8.6640625" defaultRowHeight="15" x14ac:dyDescent="0.2"/>
  <cols>
    <col min="1" max="1" width="15.33203125" style="161" bestFit="1" customWidth="1"/>
    <col min="2" max="2" width="22.6640625" style="161" bestFit="1" customWidth="1"/>
    <col min="3" max="6" width="9.83203125" style="161" bestFit="1" customWidth="1"/>
    <col min="7" max="7" width="8.83203125" style="161" bestFit="1" customWidth="1"/>
    <col min="8" max="9" width="8.6640625" style="161"/>
    <col min="10" max="10" width="15.33203125" style="161" bestFit="1" customWidth="1"/>
    <col min="11" max="11" width="22.6640625" style="161" bestFit="1" customWidth="1"/>
    <col min="12" max="15" width="9.83203125" style="161" bestFit="1" customWidth="1"/>
    <col min="16" max="16" width="8.83203125" style="161" bestFit="1" customWidth="1"/>
    <col min="17" max="18" width="8.6640625" style="161"/>
    <col min="19" max="19" width="16.33203125" style="161" bestFit="1" customWidth="1"/>
    <col min="20" max="20" width="11.83203125" style="161" bestFit="1" customWidth="1"/>
    <col min="21" max="21" width="10.83203125" style="161" bestFit="1" customWidth="1"/>
    <col min="22" max="23" width="8.6640625" style="161"/>
    <col min="24" max="24" width="13" style="161" bestFit="1" customWidth="1"/>
    <col min="25" max="25" width="9.83203125" style="161" bestFit="1" customWidth="1"/>
    <col min="26" max="16384" width="8.6640625" style="161"/>
  </cols>
  <sheetData>
    <row r="2" spans="1:25" ht="18" x14ac:dyDescent="0.2">
      <c r="A2" s="148" t="s">
        <v>317</v>
      </c>
      <c r="B2" s="148"/>
      <c r="C2" s="148"/>
      <c r="D2" s="148"/>
      <c r="E2" s="148"/>
      <c r="F2" s="148"/>
      <c r="G2" s="148"/>
      <c r="J2" s="148" t="s">
        <v>318</v>
      </c>
      <c r="K2" s="148"/>
      <c r="L2" s="148"/>
      <c r="M2" s="148"/>
      <c r="N2" s="148"/>
      <c r="O2" s="148"/>
      <c r="P2" s="148"/>
    </row>
    <row r="3" spans="1:25" ht="16" x14ac:dyDescent="0.2">
      <c r="C3" s="162" t="s">
        <v>319</v>
      </c>
      <c r="D3" s="162" t="s">
        <v>320</v>
      </c>
      <c r="E3" s="162" t="s">
        <v>321</v>
      </c>
      <c r="F3" s="162" t="s">
        <v>322</v>
      </c>
      <c r="G3" s="162" t="s">
        <v>323</v>
      </c>
      <c r="L3" s="162" t="s">
        <v>319</v>
      </c>
      <c r="M3" s="162" t="s">
        <v>320</v>
      </c>
      <c r="N3" s="162" t="s">
        <v>321</v>
      </c>
      <c r="O3" s="162" t="s">
        <v>322</v>
      </c>
      <c r="P3" s="162" t="s">
        <v>323</v>
      </c>
      <c r="S3" s="163" t="s">
        <v>324</v>
      </c>
      <c r="U3" s="162" t="s">
        <v>319</v>
      </c>
      <c r="V3" s="162" t="s">
        <v>320</v>
      </c>
      <c r="X3" s="158" t="s">
        <v>294</v>
      </c>
      <c r="Y3" s="159">
        <v>2607</v>
      </c>
    </row>
    <row r="4" spans="1:25" ht="16" x14ac:dyDescent="0.2">
      <c r="A4" s="164" t="s">
        <v>325</v>
      </c>
      <c r="B4" s="161" t="s">
        <v>326</v>
      </c>
      <c r="C4" s="165">
        <f>E4*(1-$B$10)</f>
        <v>80.852419968634337</v>
      </c>
      <c r="D4" s="165">
        <f>E4*(1+$B$10)</f>
        <v>98.819624406108645</v>
      </c>
      <c r="E4" s="165">
        <f>DCF!D54</f>
        <v>89.836022187371483</v>
      </c>
      <c r="F4" s="165">
        <f>C4</f>
        <v>80.852419968634337</v>
      </c>
      <c r="G4" s="165">
        <f>D4-C4</f>
        <v>17.967204437474308</v>
      </c>
      <c r="J4" s="164" t="s">
        <v>325</v>
      </c>
      <c r="K4" s="161" t="s">
        <v>326</v>
      </c>
      <c r="L4" s="165">
        <f>N4*(1-$B$10)</f>
        <v>17122.034165206198</v>
      </c>
      <c r="M4" s="165">
        <f>N4*(1+$B$10)</f>
        <v>20926.930646363133</v>
      </c>
      <c r="N4" s="165">
        <f>DCF!D47</f>
        <v>19024.482405784664</v>
      </c>
      <c r="O4" s="165">
        <f>L4</f>
        <v>17122.034165206198</v>
      </c>
      <c r="P4" s="165">
        <f>M4-L4</f>
        <v>3804.8964811569349</v>
      </c>
      <c r="S4" s="164" t="s">
        <v>325</v>
      </c>
      <c r="T4" s="161" t="s">
        <v>326</v>
      </c>
      <c r="U4" s="166">
        <f>((Y13*Y6)-Y7)/(Y13+Y7)</f>
        <v>3.0238360291022027E-3</v>
      </c>
      <c r="V4" s="166">
        <f>((Y12*Y6)-Y7)/(Y12+Y7)</f>
        <v>2.4192558664303674E-2</v>
      </c>
      <c r="X4" s="158" t="s">
        <v>297</v>
      </c>
      <c r="Y4" s="159">
        <v>1763</v>
      </c>
    </row>
    <row r="5" spans="1:25" ht="17" thickBot="1" x14ac:dyDescent="0.25">
      <c r="A5" s="167"/>
      <c r="B5" s="168" t="s">
        <v>277</v>
      </c>
      <c r="C5" s="169">
        <f>E5*(1-$B$10)</f>
        <v>78.852858358507405</v>
      </c>
      <c r="D5" s="169">
        <f>E5*(1+$B$10)</f>
        <v>96.375715771509064</v>
      </c>
      <c r="E5" s="169">
        <f>DCF!D73</f>
        <v>87.614287065008227</v>
      </c>
      <c r="F5" s="169">
        <f>C5</f>
        <v>78.852858358507405</v>
      </c>
      <c r="G5" s="169">
        <f>D5-C5</f>
        <v>17.52285741300166</v>
      </c>
      <c r="J5" s="167"/>
      <c r="K5" s="168" t="s">
        <v>277</v>
      </c>
      <c r="L5" s="169">
        <f>N5*(1-$B$10)</f>
        <v>16688.929120452704</v>
      </c>
      <c r="M5" s="169">
        <f>N5*(1+$B$10)</f>
        <v>20397.580036108862</v>
      </c>
      <c r="N5" s="169">
        <f>DCF!D66</f>
        <v>18543.254578280783</v>
      </c>
      <c r="O5" s="169">
        <f>L5</f>
        <v>16688.929120452704</v>
      </c>
      <c r="P5" s="169">
        <f>M5-L5</f>
        <v>3708.6509156561588</v>
      </c>
      <c r="S5" s="167"/>
      <c r="T5" s="168" t="s">
        <v>277</v>
      </c>
      <c r="U5" s="170">
        <f>L5/$Y$14</f>
        <v>5.7627636750309446</v>
      </c>
      <c r="V5" s="170">
        <f>M5/$Y$14</f>
        <v>7.0433778250378216</v>
      </c>
      <c r="X5" s="158" t="s">
        <v>300</v>
      </c>
      <c r="Y5" s="160">
        <v>5.23</v>
      </c>
    </row>
    <row r="6" spans="1:25" ht="16" x14ac:dyDescent="0.2">
      <c r="A6" s="171" t="s">
        <v>327</v>
      </c>
      <c r="B6" s="161" t="s">
        <v>328</v>
      </c>
      <c r="C6" s="165">
        <f>E6*(1-$B$10)</f>
        <v>120.68902354570639</v>
      </c>
      <c r="D6" s="165">
        <f>E6*(1+$B$10)</f>
        <v>147.50880655586337</v>
      </c>
      <c r="E6" s="165">
        <f>Multiples!E25</f>
        <v>134.09891505078488</v>
      </c>
      <c r="F6" s="165">
        <f>C6</f>
        <v>120.68902354570639</v>
      </c>
      <c r="G6" s="165">
        <f t="shared" ref="G6:G9" si="0">D6-C6</f>
        <v>26.819783010156982</v>
      </c>
      <c r="J6" s="171" t="s">
        <v>327</v>
      </c>
      <c r="K6" s="161" t="s">
        <v>328</v>
      </c>
      <c r="L6" s="165">
        <f>N6*(1-$B$10)</f>
        <v>25750.642500000005</v>
      </c>
      <c r="M6" s="165">
        <f>N6*(1+$B$10)</f>
        <v>31473.007500000007</v>
      </c>
      <c r="N6" s="165">
        <f>Multiples!E20</f>
        <v>28611.825000000004</v>
      </c>
      <c r="O6" s="165">
        <f>L6</f>
        <v>25750.642500000005</v>
      </c>
      <c r="P6" s="165">
        <f t="shared" ref="P6:P8" si="1">M6-L6</f>
        <v>5722.3650000000016</v>
      </c>
      <c r="S6" s="171" t="s">
        <v>327</v>
      </c>
      <c r="T6" s="161" t="s">
        <v>328</v>
      </c>
      <c r="U6" s="172">
        <f>L6/$Y3</f>
        <v>9.8775000000000013</v>
      </c>
      <c r="V6" s="172">
        <f>M6/$Y3</f>
        <v>12.072500000000003</v>
      </c>
      <c r="X6" s="158" t="s">
        <v>262</v>
      </c>
      <c r="Y6" s="173">
        <f>DCF!D40</f>
        <v>9.4100000000000003E-2</v>
      </c>
    </row>
    <row r="7" spans="1:25" ht="16" x14ac:dyDescent="0.2">
      <c r="A7" s="171"/>
      <c r="B7" s="161" t="s">
        <v>329</v>
      </c>
      <c r="C7" s="165">
        <f>E7*(1-$B$10)</f>
        <v>124.17554709141274</v>
      </c>
      <c r="D7" s="165">
        <f>E7*(1+$B$10)</f>
        <v>151.77011311172669</v>
      </c>
      <c r="E7" s="165">
        <f>Multiples!F25</f>
        <v>137.97283010156971</v>
      </c>
      <c r="F7" s="165">
        <f>C7</f>
        <v>124.17554709141274</v>
      </c>
      <c r="G7" s="165">
        <f t="shared" si="0"/>
        <v>27.594566020313948</v>
      </c>
      <c r="J7" s="171"/>
      <c r="K7" s="161" t="s">
        <v>329</v>
      </c>
      <c r="L7" s="165">
        <f>N7*(1-$B$10)</f>
        <v>26505.823499999999</v>
      </c>
      <c r="M7" s="165">
        <f>N7*(1+$B$10)</f>
        <v>32396.0065</v>
      </c>
      <c r="N7" s="165">
        <f>Multiples!F20</f>
        <v>29450.914999999997</v>
      </c>
      <c r="O7" s="165">
        <f>L7</f>
        <v>26505.823499999999</v>
      </c>
      <c r="P7" s="165">
        <f t="shared" si="1"/>
        <v>5890.1830000000009</v>
      </c>
      <c r="S7" s="171"/>
      <c r="T7" s="161" t="s">
        <v>329</v>
      </c>
      <c r="U7" s="172">
        <f t="shared" ref="U7:V7" si="2">L7/$Y4</f>
        <v>15.0345</v>
      </c>
      <c r="V7" s="172">
        <f t="shared" si="2"/>
        <v>18.375499999999999</v>
      </c>
      <c r="X7" s="158" t="s">
        <v>330</v>
      </c>
      <c r="Y7" s="159">
        <f>DCF!O23</f>
        <v>1567.7466928397832</v>
      </c>
    </row>
    <row r="8" spans="1:25" ht="16" x14ac:dyDescent="0.2">
      <c r="A8" s="171"/>
      <c r="B8" s="161" t="s">
        <v>288</v>
      </c>
      <c r="C8" s="165">
        <f>E8*(1-$B$10)</f>
        <v>86.891220000000018</v>
      </c>
      <c r="D8" s="165">
        <f>E8*(1+$B$10)</f>
        <v>106.20038000000002</v>
      </c>
      <c r="E8" s="165">
        <f>Multiples!G25</f>
        <v>96.545800000000014</v>
      </c>
      <c r="F8" s="165">
        <f>C8</f>
        <v>86.891220000000018</v>
      </c>
      <c r="G8" s="165">
        <f t="shared" si="0"/>
        <v>19.309160000000006</v>
      </c>
      <c r="J8" s="171"/>
      <c r="K8" s="161" t="s">
        <v>288</v>
      </c>
      <c r="L8" s="165">
        <f>N8*(1-$B$10)</f>
        <v>18430.038252000002</v>
      </c>
      <c r="M8" s="165">
        <f>N8*(1+$B$10)</f>
        <v>22525.602308000005</v>
      </c>
      <c r="N8" s="165">
        <f>Multiples!G20</f>
        <v>20477.820280000004</v>
      </c>
      <c r="O8" s="165">
        <f>L8</f>
        <v>18430.038252000002</v>
      </c>
      <c r="P8" s="165">
        <f t="shared" si="1"/>
        <v>4095.5640560000029</v>
      </c>
      <c r="S8" s="171"/>
      <c r="T8" s="161" t="s">
        <v>288</v>
      </c>
      <c r="U8" s="172">
        <f>C8/$Y$5</f>
        <v>16.614000000000001</v>
      </c>
      <c r="V8" s="172">
        <f>D8/$Y$5</f>
        <v>20.306000000000004</v>
      </c>
      <c r="X8" s="158" t="s">
        <v>331</v>
      </c>
      <c r="Y8" s="174">
        <f>DCF!D46</f>
        <v>5602.7408820560895</v>
      </c>
    </row>
    <row r="9" spans="1:25" ht="16" x14ac:dyDescent="0.2">
      <c r="A9" s="171"/>
      <c r="B9" s="161" t="s">
        <v>332</v>
      </c>
      <c r="C9" s="165">
        <v>54.99</v>
      </c>
      <c r="D9" s="165">
        <v>91.72</v>
      </c>
      <c r="E9" s="165"/>
      <c r="F9" s="165">
        <v>54.99</v>
      </c>
      <c r="G9" s="165">
        <f t="shared" si="0"/>
        <v>36.729999999999997</v>
      </c>
      <c r="J9" s="171"/>
      <c r="L9" s="165"/>
      <c r="M9" s="165"/>
      <c r="N9" s="165"/>
      <c r="O9" s="165"/>
      <c r="P9" s="165"/>
      <c r="X9" s="158" t="s">
        <v>333</v>
      </c>
      <c r="Y9" s="175">
        <f>M4-Y8</f>
        <v>15324.189764307044</v>
      </c>
    </row>
    <row r="10" spans="1:25" ht="16" x14ac:dyDescent="0.2">
      <c r="A10" s="176" t="s">
        <v>334</v>
      </c>
      <c r="B10" s="177">
        <v>0.1</v>
      </c>
      <c r="C10" s="178"/>
      <c r="D10" s="178"/>
      <c r="J10" s="176" t="s">
        <v>334</v>
      </c>
      <c r="K10" s="177">
        <v>0.1</v>
      </c>
      <c r="L10" s="178"/>
      <c r="M10" s="178"/>
      <c r="X10" s="158" t="s">
        <v>335</v>
      </c>
      <c r="Y10" s="175">
        <f>L4-Y8</f>
        <v>11519.293283150109</v>
      </c>
    </row>
    <row r="11" spans="1:25" ht="16" x14ac:dyDescent="0.2">
      <c r="E11" s="179"/>
      <c r="F11" s="178"/>
      <c r="O11" s="178"/>
      <c r="X11" s="158" t="s">
        <v>336</v>
      </c>
      <c r="Y11" s="180">
        <f>DCF!O26</f>
        <v>0.66718061424177943</v>
      </c>
    </row>
    <row r="12" spans="1:25" ht="16" x14ac:dyDescent="0.2">
      <c r="C12" s="178"/>
      <c r="D12" s="181"/>
      <c r="F12" s="178"/>
      <c r="L12" s="178"/>
      <c r="M12" s="181"/>
      <c r="O12" s="178"/>
      <c r="X12" s="158" t="s">
        <v>337</v>
      </c>
      <c r="Y12" s="179">
        <f>Y9/$Y$11</f>
        <v>22968.577679257502</v>
      </c>
    </row>
    <row r="13" spans="1:25" ht="16" x14ac:dyDescent="0.2">
      <c r="C13" s="178"/>
      <c r="D13" s="181"/>
      <c r="L13" s="178"/>
      <c r="M13" s="181"/>
      <c r="X13" s="158" t="s">
        <v>338</v>
      </c>
      <c r="Y13" s="179">
        <f>Y10/$Y$11</f>
        <v>17265.629482117471</v>
      </c>
    </row>
    <row r="14" spans="1:25" x14ac:dyDescent="0.2">
      <c r="C14" s="178"/>
      <c r="D14" s="178"/>
      <c r="L14" s="178"/>
      <c r="M14" s="178"/>
      <c r="X14" s="341" t="s">
        <v>382</v>
      </c>
      <c r="Y14" s="342">
        <f>DCF!O11</f>
        <v>2895.9940163368037</v>
      </c>
    </row>
    <row r="15" spans="1:25" x14ac:dyDescent="0.2">
      <c r="C15" s="178"/>
      <c r="D15" s="178"/>
      <c r="L15" s="178"/>
      <c r="M15" s="178"/>
    </row>
    <row r="16" spans="1:25" x14ac:dyDescent="0.2">
      <c r="C16" s="178"/>
      <c r="D16" s="178"/>
      <c r="L16" s="178"/>
      <c r="M16" s="178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F216A-6BCD-45A0-B741-701B82FF2F56}">
  <dimension ref="A1:C24"/>
  <sheetViews>
    <sheetView showGridLines="0" tabSelected="1" workbookViewId="0">
      <selection activeCell="C8" sqref="C8"/>
    </sheetView>
  </sheetViews>
  <sheetFormatPr baseColWidth="10" defaultColWidth="8.6640625" defaultRowHeight="16" x14ac:dyDescent="0.2"/>
  <cols>
    <col min="1" max="1" width="41.33203125" style="147" bestFit="1" customWidth="1"/>
    <col min="2" max="2" width="8.6640625" style="147"/>
    <col min="3" max="3" width="12.5" style="147" bestFit="1" customWidth="1"/>
    <col min="4" max="16384" width="8.6640625" style="147"/>
  </cols>
  <sheetData>
    <row r="1" spans="1:3" x14ac:dyDescent="0.2">
      <c r="A1" s="390" t="s">
        <v>0</v>
      </c>
      <c r="B1" s="390"/>
      <c r="C1" s="390"/>
    </row>
    <row r="2" spans="1:3" x14ac:dyDescent="0.2">
      <c r="A2" s="390"/>
      <c r="B2" s="390"/>
      <c r="C2" s="390"/>
    </row>
    <row r="4" spans="1:3" x14ac:dyDescent="0.2">
      <c r="A4" s="182" t="s">
        <v>339</v>
      </c>
    </row>
    <row r="5" spans="1:3" x14ac:dyDescent="0.2">
      <c r="A5" s="183" t="s">
        <v>340</v>
      </c>
      <c r="B5" s="184"/>
      <c r="C5" s="185">
        <v>3.9899999999999998E-2</v>
      </c>
    </row>
    <row r="6" spans="1:3" x14ac:dyDescent="0.2">
      <c r="A6" s="183" t="s">
        <v>341</v>
      </c>
      <c r="B6" s="186"/>
      <c r="C6" s="187" t="s">
        <v>342</v>
      </c>
    </row>
    <row r="7" spans="1:3" x14ac:dyDescent="0.2">
      <c r="A7" s="183" t="s">
        <v>343</v>
      </c>
      <c r="B7" s="186"/>
      <c r="C7" s="187">
        <v>4.9000000000000002E-2</v>
      </c>
    </row>
    <row r="8" spans="1:3" x14ac:dyDescent="0.2">
      <c r="A8" s="183" t="s">
        <v>344</v>
      </c>
      <c r="B8" s="186"/>
      <c r="C8" s="188">
        <v>1.26</v>
      </c>
    </row>
    <row r="9" spans="1:3" x14ac:dyDescent="0.2">
      <c r="A9" s="183" t="s">
        <v>345</v>
      </c>
      <c r="B9" s="186"/>
      <c r="C9" s="187">
        <v>0.1048</v>
      </c>
    </row>
    <row r="10" spans="1:3" x14ac:dyDescent="0.2">
      <c r="A10" s="183" t="s">
        <v>346</v>
      </c>
      <c r="B10" s="186"/>
      <c r="C10" s="188">
        <v>0.16</v>
      </c>
    </row>
    <row r="11" spans="1:3" x14ac:dyDescent="0.2">
      <c r="A11" s="183" t="s">
        <v>262</v>
      </c>
      <c r="B11" s="186"/>
      <c r="C11" s="187">
        <v>9.4100000000000003E-2</v>
      </c>
    </row>
    <row r="12" spans="1:3" x14ac:dyDescent="0.2">
      <c r="A12" s="183" t="s">
        <v>347</v>
      </c>
      <c r="B12" s="186"/>
      <c r="C12" s="189">
        <f>(1-C10)*C9+C10*C7</f>
        <v>9.5871999999999999E-2</v>
      </c>
    </row>
    <row r="13" spans="1:3" x14ac:dyDescent="0.2">
      <c r="A13" s="183" t="s">
        <v>348</v>
      </c>
      <c r="B13" s="186"/>
      <c r="C13" s="189">
        <f>C12</f>
        <v>9.5871999999999999E-2</v>
      </c>
    </row>
    <row r="14" spans="1:3" x14ac:dyDescent="0.2">
      <c r="A14" s="183" t="s">
        <v>349</v>
      </c>
      <c r="B14" s="186"/>
      <c r="C14" s="187">
        <v>3.8420000000000003E-2</v>
      </c>
    </row>
    <row r="15" spans="1:3" x14ac:dyDescent="0.2">
      <c r="A15" s="183" t="s">
        <v>350</v>
      </c>
      <c r="B15" s="186"/>
      <c r="C15" s="187">
        <v>0.3</v>
      </c>
    </row>
    <row r="16" spans="1:3" x14ac:dyDescent="0.2">
      <c r="A16" s="183" t="s">
        <v>351</v>
      </c>
      <c r="B16" s="186"/>
      <c r="C16" s="187">
        <v>1.4999999999999999E-2</v>
      </c>
    </row>
    <row r="17" spans="1:3" x14ac:dyDescent="0.2">
      <c r="A17" s="190" t="s">
        <v>352</v>
      </c>
      <c r="B17" s="191"/>
      <c r="C17" s="192">
        <v>0.25</v>
      </c>
    </row>
    <row r="18" spans="1:3" x14ac:dyDescent="0.2">
      <c r="A18" s="193" t="s">
        <v>353</v>
      </c>
      <c r="B18" s="194"/>
      <c r="C18" s="195" t="s">
        <v>354</v>
      </c>
    </row>
    <row r="19" spans="1:3" x14ac:dyDescent="0.2">
      <c r="A19" s="193" t="s">
        <v>355</v>
      </c>
      <c r="B19" s="194"/>
      <c r="C19" s="196">
        <v>17258000</v>
      </c>
    </row>
    <row r="20" spans="1:3" x14ac:dyDescent="0.2">
      <c r="A20" s="193" t="s">
        <v>356</v>
      </c>
      <c r="B20" s="194"/>
      <c r="C20" s="196">
        <f>1031*1000</f>
        <v>1031000</v>
      </c>
    </row>
    <row r="21" spans="1:3" x14ac:dyDescent="0.2">
      <c r="A21" s="193" t="s">
        <v>357</v>
      </c>
      <c r="B21" s="194"/>
      <c r="C21" s="187">
        <v>2.41E-2</v>
      </c>
    </row>
    <row r="22" spans="1:3" x14ac:dyDescent="0.2">
      <c r="A22" s="193" t="s">
        <v>358</v>
      </c>
      <c r="B22" s="194"/>
      <c r="C22" s="196">
        <v>1985</v>
      </c>
    </row>
    <row r="23" spans="1:3" x14ac:dyDescent="0.2">
      <c r="A23" s="193" t="s">
        <v>359</v>
      </c>
      <c r="B23" s="194"/>
      <c r="C23" s="192">
        <v>0.28360000000000002</v>
      </c>
    </row>
    <row r="24" spans="1:3" x14ac:dyDescent="0.2">
      <c r="A24" s="193" t="s">
        <v>360</v>
      </c>
      <c r="B24" s="194"/>
      <c r="C24" s="196">
        <v>211369</v>
      </c>
    </row>
  </sheetData>
  <mergeCells count="1">
    <mergeCell ref="A1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E1DEA-CCEE-A344-9FE6-34CF41976A80}">
  <sheetPr>
    <outlinePr summaryBelow="0"/>
  </sheetPr>
  <dimension ref="A1:R76"/>
  <sheetViews>
    <sheetView showGridLines="0" zoomScale="125" zoomScaleNormal="133" workbookViewId="0">
      <pane xSplit="2" topLeftCell="J1" activePane="topRight" state="frozen"/>
      <selection pane="topRight" activeCell="M65" sqref="M65"/>
    </sheetView>
  </sheetViews>
  <sheetFormatPr baseColWidth="10" defaultColWidth="10.83203125" defaultRowHeight="15" outlineLevelRow="2" outlineLevelCol="1" x14ac:dyDescent="0.2"/>
  <cols>
    <col min="1" max="1" width="60.83203125" style="83" bestFit="1" customWidth="1"/>
    <col min="2" max="2" width="11" customWidth="1"/>
    <col min="3" max="5" width="10.83203125" customWidth="1" outlineLevel="1"/>
    <col min="6" max="10" width="10.83203125" style="83" customWidth="1" outlineLevel="1"/>
    <col min="11" max="11" width="12.33203125" style="83" customWidth="1" outlineLevel="1"/>
    <col min="12" max="12" width="13.5" style="83" bestFit="1" customWidth="1"/>
    <col min="13" max="13" width="10.6640625" style="83" customWidth="1"/>
    <col min="14" max="14" width="11.33203125" style="83" bestFit="1" customWidth="1"/>
    <col min="15" max="17" width="10.83203125" style="83"/>
    <col min="18" max="18" width="255.6640625" style="305" bestFit="1" customWidth="1"/>
    <col min="19" max="16384" width="10.83203125" style="83"/>
  </cols>
  <sheetData>
    <row r="1" spans="1:18" ht="14.25" customHeight="1" x14ac:dyDescent="0.15">
      <c r="A1" s="384" t="s">
        <v>414</v>
      </c>
      <c r="B1" s="384"/>
      <c r="C1" s="309">
        <v>2017</v>
      </c>
      <c r="D1" s="309">
        <v>2018</v>
      </c>
      <c r="E1" s="309">
        <v>2019</v>
      </c>
      <c r="F1" s="309">
        <v>2020</v>
      </c>
      <c r="G1" s="309">
        <v>2021</v>
      </c>
      <c r="H1" s="309">
        <v>2022</v>
      </c>
      <c r="I1" s="309">
        <v>2023</v>
      </c>
      <c r="J1" s="309">
        <v>2024</v>
      </c>
      <c r="K1" s="309">
        <v>2025</v>
      </c>
      <c r="L1" s="143">
        <v>2026</v>
      </c>
      <c r="M1" s="143">
        <v>2027</v>
      </c>
      <c r="N1" s="143">
        <v>2028</v>
      </c>
      <c r="O1" s="143">
        <v>2029</v>
      </c>
      <c r="P1" s="143">
        <v>2030</v>
      </c>
      <c r="Q1" s="143">
        <v>2031</v>
      </c>
    </row>
    <row r="2" spans="1:18" ht="14" x14ac:dyDescent="0.15">
      <c r="A2" s="84" t="s">
        <v>2</v>
      </c>
      <c r="B2" s="122"/>
      <c r="C2" s="122">
        <v>17826</v>
      </c>
      <c r="D2" s="122">
        <v>18998</v>
      </c>
      <c r="E2" s="122">
        <v>19064</v>
      </c>
      <c r="F2" s="122">
        <v>18769</v>
      </c>
      <c r="G2" s="122">
        <v>21653</v>
      </c>
      <c r="H2" s="122">
        <v>22478</v>
      </c>
      <c r="I2" s="122">
        <v>19766</v>
      </c>
      <c r="J2" s="122">
        <v>18482</v>
      </c>
      <c r="K2" s="122">
        <v>18681</v>
      </c>
      <c r="L2" s="125">
        <f>L36*L34+(L26-L34)*L37</f>
        <v>19334.999165939051</v>
      </c>
      <c r="M2" s="125">
        <f t="shared" ref="M2:Q2" si="0">M36*M34+(M26-M34)*M37</f>
        <v>19681.254879754473</v>
      </c>
      <c r="N2" s="125">
        <f t="shared" si="0"/>
        <v>20033.416093720203</v>
      </c>
      <c r="O2" s="125">
        <f t="shared" si="0"/>
        <v>20123.959442683212</v>
      </c>
      <c r="P2" s="125">
        <f t="shared" si="0"/>
        <v>20073.05078748611</v>
      </c>
      <c r="Q2" s="125">
        <f t="shared" si="0"/>
        <v>20300.815429360679</v>
      </c>
    </row>
    <row r="3" spans="1:18" ht="14" x14ac:dyDescent="0.15">
      <c r="A3" s="84" t="s">
        <v>3</v>
      </c>
      <c r="B3" s="122"/>
      <c r="C3" s="122">
        <v>13302.37</v>
      </c>
      <c r="D3" s="122">
        <v>13943</v>
      </c>
      <c r="E3" s="122">
        <v>14062</v>
      </c>
      <c r="F3" s="122">
        <v>14292</v>
      </c>
      <c r="G3" s="122">
        <v>14211</v>
      </c>
      <c r="H3" s="122">
        <v>16203</v>
      </c>
      <c r="I3" s="122">
        <v>14094</v>
      </c>
      <c r="J3" s="122">
        <v>12969</v>
      </c>
      <c r="K3" s="122">
        <v>12065</v>
      </c>
      <c r="L3" s="133">
        <f t="shared" ref="L3:Q3" si="1">K3*(1+L4)</f>
        <v>11309.349999999999</v>
      </c>
      <c r="M3" s="133">
        <f t="shared" si="1"/>
        <v>10601.027552631576</v>
      </c>
      <c r="N3" s="133">
        <f t="shared" si="1"/>
        <v>9937.0684585457038</v>
      </c>
      <c r="O3" s="133">
        <f t="shared" si="1"/>
        <v>9314.6941708788927</v>
      </c>
      <c r="P3" s="133">
        <f t="shared" si="1"/>
        <v>8731.3001675448977</v>
      </c>
      <c r="Q3" s="133">
        <f t="shared" si="1"/>
        <v>8184.4450517881378</v>
      </c>
      <c r="R3" s="306"/>
    </row>
    <row r="4" spans="1:18" ht="14" x14ac:dyDescent="0.15">
      <c r="A4" s="123" t="s">
        <v>4</v>
      </c>
      <c r="B4" s="122"/>
      <c r="C4" s="141"/>
      <c r="D4" s="200">
        <f t="shared" ref="D4:K4" si="2">D3/C3-1</f>
        <v>4.8159087440809323E-2</v>
      </c>
      <c r="E4" s="200">
        <f t="shared" si="2"/>
        <v>8.5347486193789734E-3</v>
      </c>
      <c r="F4" s="200">
        <f t="shared" si="2"/>
        <v>1.6356137107097046E-2</v>
      </c>
      <c r="G4" s="200">
        <f t="shared" si="2"/>
        <v>-5.6675062972292301E-3</v>
      </c>
      <c r="H4" s="200">
        <f t="shared" si="2"/>
        <v>0.14017310534093319</v>
      </c>
      <c r="I4" s="200">
        <f t="shared" si="2"/>
        <v>-0.13016108128124426</v>
      </c>
      <c r="J4" s="200">
        <f t="shared" si="2"/>
        <v>-7.9821200510855728E-2</v>
      </c>
      <c r="K4" s="200">
        <f t="shared" si="2"/>
        <v>-6.97046803917033E-2</v>
      </c>
      <c r="L4" s="138">
        <f t="shared" ref="L4:Q4" si="3">SUM(L5:L7)</f>
        <v>-6.2631578947368441E-2</v>
      </c>
      <c r="M4" s="138">
        <f t="shared" si="3"/>
        <v>-6.2631578947368441E-2</v>
      </c>
      <c r="N4" s="138">
        <f t="shared" si="3"/>
        <v>-6.2631578947368441E-2</v>
      </c>
      <c r="O4" s="138">
        <f t="shared" si="3"/>
        <v>-6.2631578947368441E-2</v>
      </c>
      <c r="P4" s="138">
        <f t="shared" si="3"/>
        <v>-6.2631578947368441E-2</v>
      </c>
      <c r="Q4" s="198">
        <f t="shared" si="3"/>
        <v>-6.2631578947368441E-2</v>
      </c>
      <c r="R4" s="306"/>
    </row>
    <row r="5" spans="1:18" ht="14" outlineLevel="1" x14ac:dyDescent="0.15">
      <c r="A5" s="123" t="s">
        <v>8</v>
      </c>
      <c r="B5" s="310"/>
      <c r="C5" s="310"/>
      <c r="D5" s="201"/>
      <c r="E5" s="201"/>
      <c r="F5" s="201"/>
      <c r="G5" s="201"/>
      <c r="H5" s="201"/>
      <c r="I5" s="201"/>
      <c r="J5" s="201"/>
      <c r="K5" s="201"/>
      <c r="L5" s="199">
        <v>-0.01</v>
      </c>
      <c r="M5" s="129">
        <f>L5</f>
        <v>-0.01</v>
      </c>
      <c r="N5" s="129">
        <f>M5</f>
        <v>-0.01</v>
      </c>
      <c r="O5" s="129">
        <f>N5</f>
        <v>-0.01</v>
      </c>
      <c r="P5" s="129">
        <f>O5</f>
        <v>-0.01</v>
      </c>
      <c r="Q5" s="129">
        <f>P5</f>
        <v>-0.01</v>
      </c>
      <c r="R5" s="83" t="s">
        <v>371</v>
      </c>
    </row>
    <row r="6" spans="1:18" ht="14" outlineLevel="1" x14ac:dyDescent="0.15">
      <c r="A6" s="123" t="s">
        <v>361</v>
      </c>
      <c r="B6" s="310"/>
      <c r="C6" s="310"/>
      <c r="D6" s="201"/>
      <c r="E6" s="201"/>
      <c r="F6" s="201"/>
      <c r="G6" s="201"/>
      <c r="H6" s="201"/>
      <c r="I6" s="201"/>
      <c r="J6" s="201"/>
      <c r="K6" s="201"/>
      <c r="L6" s="126">
        <v>0</v>
      </c>
      <c r="M6" s="126">
        <v>0</v>
      </c>
      <c r="N6" s="126">
        <v>0</v>
      </c>
      <c r="O6" s="126">
        <v>0</v>
      </c>
      <c r="P6" s="126">
        <v>0</v>
      </c>
      <c r="Q6" s="126">
        <v>0</v>
      </c>
      <c r="R6" s="83"/>
    </row>
    <row r="7" spans="1:18" ht="14" outlineLevel="1" x14ac:dyDescent="0.15">
      <c r="A7" s="123" t="s">
        <v>9</v>
      </c>
      <c r="B7" s="310"/>
      <c r="C7" s="310"/>
      <c r="D7" s="201"/>
      <c r="E7" s="201"/>
      <c r="F7" s="201"/>
      <c r="G7" s="201"/>
      <c r="H7" s="201"/>
      <c r="I7" s="201"/>
      <c r="J7" s="201"/>
      <c r="K7" s="201"/>
      <c r="L7" s="202">
        <f>((56/66.5)-1)/3</f>
        <v>-5.2631578947368439E-2</v>
      </c>
      <c r="M7" s="202">
        <f>L7</f>
        <v>-5.2631578947368439E-2</v>
      </c>
      <c r="N7" s="202">
        <f>M7</f>
        <v>-5.2631578947368439E-2</v>
      </c>
      <c r="O7" s="202">
        <f>N7</f>
        <v>-5.2631578947368439E-2</v>
      </c>
      <c r="P7" s="202">
        <f>O7</f>
        <v>-5.2631578947368439E-2</v>
      </c>
      <c r="Q7" s="202">
        <f>P7</f>
        <v>-5.2631578947368439E-2</v>
      </c>
      <c r="R7" s="306" t="s">
        <v>369</v>
      </c>
    </row>
    <row r="8" spans="1:18" ht="14" x14ac:dyDescent="0.15">
      <c r="A8" s="84" t="s">
        <v>5</v>
      </c>
      <c r="B8" s="122"/>
      <c r="C8" s="122">
        <v>3451.62</v>
      </c>
      <c r="D8" s="122">
        <v>3990</v>
      </c>
      <c r="E8" s="122">
        <v>4344</v>
      </c>
      <c r="F8" s="122">
        <v>4810</v>
      </c>
      <c r="G8" s="122">
        <v>5873</v>
      </c>
      <c r="H8" s="122">
        <v>7167</v>
      </c>
      <c r="I8" s="122">
        <v>6736</v>
      </c>
      <c r="J8" s="122">
        <v>5804</v>
      </c>
      <c r="K8" s="122">
        <v>4910</v>
      </c>
      <c r="L8" s="133">
        <f t="shared" ref="L8:Q8" si="4">K8*(1+L9)</f>
        <v>4310.8502848610151</v>
      </c>
      <c r="M8" s="133">
        <f t="shared" si="4"/>
        <v>3922.7826500514107</v>
      </c>
      <c r="N8" s="133">
        <f t="shared" si="4"/>
        <v>3695.1990757826457</v>
      </c>
      <c r="O8" s="133">
        <f t="shared" si="4"/>
        <v>3599.0848510740734</v>
      </c>
      <c r="P8" s="133">
        <f t="shared" si="4"/>
        <v>3620.6603436513255</v>
      </c>
      <c r="Q8" s="133">
        <f t="shared" si="4"/>
        <v>3758.2454367100759</v>
      </c>
      <c r="R8" s="306"/>
    </row>
    <row r="9" spans="1:18" ht="14" x14ac:dyDescent="0.15">
      <c r="A9" s="123" t="s">
        <v>4</v>
      </c>
      <c r="B9" s="122"/>
      <c r="C9" s="122"/>
      <c r="D9" s="201">
        <f t="shared" ref="D9:K9" si="5">D8/C8-1</f>
        <v>0.15597893163210319</v>
      </c>
      <c r="E9" s="201">
        <f t="shared" si="5"/>
        <v>8.8721804511278091E-2</v>
      </c>
      <c r="F9" s="201">
        <f t="shared" si="5"/>
        <v>0.10727440147329648</v>
      </c>
      <c r="G9" s="201">
        <f t="shared" si="5"/>
        <v>0.22099792099792093</v>
      </c>
      <c r="H9" s="201">
        <f t="shared" si="5"/>
        <v>0.22033032521709517</v>
      </c>
      <c r="I9" s="201">
        <f t="shared" si="5"/>
        <v>-6.013673782614759E-2</v>
      </c>
      <c r="J9" s="201">
        <f t="shared" si="5"/>
        <v>-0.13836104513064129</v>
      </c>
      <c r="K9" s="200">
        <f t="shared" si="5"/>
        <v>-0.15403170227429364</v>
      </c>
      <c r="L9" s="198">
        <f>($Q$9-$K$9)/6+K9</f>
        <v>-0.12202641856191136</v>
      </c>
      <c r="M9" s="198">
        <f>($Q$9-$K$9)/6+L9</f>
        <v>-9.0021134849529089E-2</v>
      </c>
      <c r="N9" s="198">
        <f>($Q$9-$K$9)/6+M9</f>
        <v>-5.8015851137146815E-2</v>
      </c>
      <c r="O9" s="198">
        <f>($Q$9-$K$9)/6+N9</f>
        <v>-2.6010567424764541E-2</v>
      </c>
      <c r="P9" s="198">
        <f>($Q$9-$K$9)/6+O9</f>
        <v>5.9947162876177323E-3</v>
      </c>
      <c r="Q9" s="199">
        <v>3.7999999999999999E-2</v>
      </c>
      <c r="R9" s="306"/>
    </row>
    <row r="10" spans="1:18" ht="14" x14ac:dyDescent="0.15">
      <c r="A10" s="84" t="s">
        <v>6</v>
      </c>
      <c r="B10" s="122"/>
      <c r="C10" s="122">
        <v>2758.21</v>
      </c>
      <c r="D10" s="122">
        <v>3159</v>
      </c>
      <c r="E10" s="122">
        <v>3210</v>
      </c>
      <c r="F10" s="122">
        <v>2597</v>
      </c>
      <c r="G10" s="122">
        <v>3079</v>
      </c>
      <c r="H10" s="122">
        <v>3275</v>
      </c>
      <c r="I10" s="122">
        <v>3053</v>
      </c>
      <c r="J10" s="122">
        <v>3363</v>
      </c>
      <c r="K10" s="122">
        <v>2908</v>
      </c>
      <c r="L10" s="133">
        <f t="shared" ref="L10:Q10" si="6">K10*(1+L11)</f>
        <v>2861.1250900915866</v>
      </c>
      <c r="M10" s="133">
        <f t="shared" si="6"/>
        <v>3043.8957778921927</v>
      </c>
      <c r="N10" s="133">
        <f t="shared" si="6"/>
        <v>3238.3419860797935</v>
      </c>
      <c r="O10" s="133">
        <f t="shared" si="6"/>
        <v>3186.1421962413747</v>
      </c>
      <c r="P10" s="133">
        <f t="shared" si="6"/>
        <v>3134.7838302151681</v>
      </c>
      <c r="Q10" s="133">
        <f t="shared" si="6"/>
        <v>3084.2533248425111</v>
      </c>
      <c r="R10" s="306"/>
    </row>
    <row r="11" spans="1:18" ht="14" outlineLevel="1" x14ac:dyDescent="0.15">
      <c r="A11" s="123" t="s">
        <v>7</v>
      </c>
      <c r="B11" s="122"/>
      <c r="C11" s="122"/>
      <c r="D11" s="200">
        <f>D10/C10-1</f>
        <v>0.14530800772965069</v>
      </c>
      <c r="E11" s="200">
        <f t="shared" ref="E11:J11" si="7">E10/D10-1</f>
        <v>1.6144349477682729E-2</v>
      </c>
      <c r="F11" s="200">
        <f t="shared" si="7"/>
        <v>-0.19096573208722745</v>
      </c>
      <c r="G11" s="200">
        <f t="shared" si="7"/>
        <v>0.1855987678090103</v>
      </c>
      <c r="H11" s="200">
        <f t="shared" si="7"/>
        <v>6.3657031503735029E-2</v>
      </c>
      <c r="I11" s="200">
        <f t="shared" si="7"/>
        <v>-6.7786259541984695E-2</v>
      </c>
      <c r="J11" s="200">
        <f t="shared" si="7"/>
        <v>0.10153946937438585</v>
      </c>
      <c r="K11" s="200">
        <f>K10/J10-1</f>
        <v>-0.13529586678560812</v>
      </c>
      <c r="L11" s="129">
        <f t="shared" ref="L11:Q11" si="8">SUM(L12:L14)</f>
        <v>-1.6119295016648327E-2</v>
      </c>
      <c r="M11" s="129">
        <f t="shared" si="8"/>
        <v>6.3880704983351674E-2</v>
      </c>
      <c r="N11" s="129">
        <f t="shared" si="8"/>
        <v>6.3880704983351674E-2</v>
      </c>
      <c r="O11" s="129">
        <f t="shared" si="8"/>
        <v>-1.6119295016648327E-2</v>
      </c>
      <c r="P11" s="129">
        <f t="shared" si="8"/>
        <v>-1.6119295016648327E-2</v>
      </c>
      <c r="Q11" s="129">
        <f t="shared" si="8"/>
        <v>-1.6119295016648327E-2</v>
      </c>
      <c r="R11" s="306"/>
    </row>
    <row r="12" spans="1:18" ht="14" outlineLevel="1" x14ac:dyDescent="0.15">
      <c r="A12" s="123" t="s">
        <v>8</v>
      </c>
      <c r="B12" s="122"/>
      <c r="C12" s="122"/>
      <c r="D12" s="200"/>
      <c r="E12" s="200"/>
      <c r="F12" s="200"/>
      <c r="G12" s="200"/>
      <c r="H12" s="200"/>
      <c r="I12" s="200"/>
      <c r="J12" s="200"/>
      <c r="K12" s="200"/>
      <c r="L12" s="129">
        <f>(109.4/91.9)^(1/7)-1</f>
        <v>2.5214038316685006E-2</v>
      </c>
      <c r="M12" s="129">
        <f>L12</f>
        <v>2.5214038316685006E-2</v>
      </c>
      <c r="N12" s="129">
        <f>M12</f>
        <v>2.5214038316685006E-2</v>
      </c>
      <c r="O12" s="129">
        <f>N12</f>
        <v>2.5214038316685006E-2</v>
      </c>
      <c r="P12" s="129">
        <f>O12</f>
        <v>2.5214038316685006E-2</v>
      </c>
      <c r="Q12" s="129">
        <f>P12</f>
        <v>2.5214038316685006E-2</v>
      </c>
      <c r="R12" s="306" t="s">
        <v>362</v>
      </c>
    </row>
    <row r="13" spans="1:18" outlineLevel="1" x14ac:dyDescent="0.2">
      <c r="A13" s="123" t="s">
        <v>361</v>
      </c>
      <c r="B13" s="122"/>
      <c r="C13" s="122"/>
      <c r="D13" s="200"/>
      <c r="E13" s="200"/>
      <c r="F13" s="200"/>
      <c r="G13" s="200"/>
      <c r="H13" s="200"/>
      <c r="I13" s="200"/>
      <c r="J13" s="200"/>
      <c r="K13" s="200"/>
      <c r="M13" s="199">
        <v>0.08</v>
      </c>
      <c r="N13" s="199">
        <v>0.08</v>
      </c>
      <c r="R13" s="311" t="s">
        <v>364</v>
      </c>
    </row>
    <row r="14" spans="1:18" ht="14" outlineLevel="1" x14ac:dyDescent="0.15">
      <c r="A14" s="123" t="s">
        <v>365</v>
      </c>
      <c r="B14" s="122"/>
      <c r="C14" s="122"/>
      <c r="D14" s="200"/>
      <c r="E14" s="200"/>
      <c r="F14" s="200"/>
      <c r="G14" s="200"/>
      <c r="H14" s="200"/>
      <c r="I14" s="200"/>
      <c r="J14" s="200"/>
      <c r="K14" s="200"/>
      <c r="L14" s="294">
        <f>-6.2%/3*2</f>
        <v>-4.1333333333333333E-2</v>
      </c>
      <c r="M14" s="294">
        <f>L14</f>
        <v>-4.1333333333333333E-2</v>
      </c>
      <c r="N14" s="294">
        <f t="shared" ref="N14:Q14" si="9">M14</f>
        <v>-4.1333333333333333E-2</v>
      </c>
      <c r="O14" s="294">
        <f t="shared" si="9"/>
        <v>-4.1333333333333333E-2</v>
      </c>
      <c r="P14" s="294">
        <f t="shared" si="9"/>
        <v>-4.1333333333333333E-2</v>
      </c>
      <c r="Q14" s="294">
        <f t="shared" si="9"/>
        <v>-4.1333333333333333E-2</v>
      </c>
      <c r="R14" s="306" t="s">
        <v>363</v>
      </c>
    </row>
    <row r="15" spans="1:18" ht="14" x14ac:dyDescent="0.15">
      <c r="A15" s="84" t="s">
        <v>10</v>
      </c>
      <c r="B15" s="122"/>
      <c r="C15" s="122">
        <v>2033.25</v>
      </c>
      <c r="D15" s="122">
        <v>1848</v>
      </c>
      <c r="E15" s="122">
        <v>1967</v>
      </c>
      <c r="F15" s="122">
        <v>2325</v>
      </c>
      <c r="G15" s="122">
        <v>2252</v>
      </c>
      <c r="H15" s="122">
        <v>2380</v>
      </c>
      <c r="I15" s="122">
        <v>2332</v>
      </c>
      <c r="J15" s="122">
        <v>2530</v>
      </c>
      <c r="K15" s="122">
        <v>2631</v>
      </c>
      <c r="L15" s="133">
        <f t="shared" ref="L15:Q15" si="10">L16*SUM(L2:L10)</f>
        <v>2729.6558633462528</v>
      </c>
      <c r="M15" s="133">
        <f t="shared" si="10"/>
        <v>2786.9858219492144</v>
      </c>
      <c r="N15" s="133">
        <f t="shared" si="10"/>
        <v>2826.0940392202147</v>
      </c>
      <c r="O15" s="133">
        <f t="shared" si="10"/>
        <v>2816.4896129418639</v>
      </c>
      <c r="P15" s="133">
        <f t="shared" si="10"/>
        <v>2792.6576261207856</v>
      </c>
      <c r="Q15" s="133">
        <f t="shared" si="10"/>
        <v>2792.8496974758632</v>
      </c>
    </row>
    <row r="16" spans="1:18" s="87" customFormat="1" ht="16" customHeight="1" outlineLevel="1" x14ac:dyDescent="0.15">
      <c r="A16" s="123" t="s">
        <v>11</v>
      </c>
      <c r="B16" s="124"/>
      <c r="C16" s="124">
        <f t="shared" ref="C16:K16" si="11">C15/SUM(C2:C10)</f>
        <v>5.4454954979083078E-2</v>
      </c>
      <c r="D16" s="124">
        <f t="shared" si="11"/>
        <v>4.6096048641654862E-2</v>
      </c>
      <c r="E16" s="124">
        <f t="shared" si="11"/>
        <v>4.8352883416057653E-2</v>
      </c>
      <c r="F16" s="124">
        <f t="shared" si="11"/>
        <v>5.7452626695186783E-2</v>
      </c>
      <c r="G16" s="124">
        <f t="shared" si="11"/>
        <v>5.0249669308235212E-2</v>
      </c>
      <c r="H16" s="124">
        <f t="shared" si="11"/>
        <v>4.8449454101044072E-2</v>
      </c>
      <c r="I16" s="124">
        <f t="shared" si="11"/>
        <v>5.3426428255693825E-2</v>
      </c>
      <c r="J16" s="124">
        <f t="shared" si="11"/>
        <v>6.2287990303156258E-2</v>
      </c>
      <c r="K16" s="124">
        <f t="shared" si="11"/>
        <v>6.8224646414676834E-2</v>
      </c>
      <c r="L16" s="124">
        <f t="shared" ref="L16:Q16" si="12">K16+L17</f>
        <v>7.2182417155690556E-2</v>
      </c>
      <c r="M16" s="124">
        <f t="shared" si="12"/>
        <v>7.4820930983033038E-2</v>
      </c>
      <c r="N16" s="124">
        <f t="shared" si="12"/>
        <v>7.6579940201261354E-2</v>
      </c>
      <c r="O16" s="124">
        <f t="shared" si="12"/>
        <v>7.775261301341356E-2</v>
      </c>
      <c r="P16" s="124">
        <f t="shared" si="12"/>
        <v>7.8534394888181702E-2</v>
      </c>
      <c r="Q16" s="124">
        <f t="shared" si="12"/>
        <v>7.9055582804693797E-2</v>
      </c>
      <c r="R16" s="307"/>
    </row>
    <row r="17" spans="1:18" s="87" customFormat="1" ht="16" customHeight="1" outlineLevel="1" x14ac:dyDescent="0.15">
      <c r="A17" s="123" t="s">
        <v>12</v>
      </c>
      <c r="B17" s="124"/>
      <c r="C17" s="124"/>
      <c r="D17" s="124">
        <f t="shared" ref="D17:K17" si="13">D16-C16</f>
        <v>-8.3589063374282166E-3</v>
      </c>
      <c r="E17" s="124">
        <f t="shared" si="13"/>
        <v>2.2568347744027911E-3</v>
      </c>
      <c r="F17" s="124">
        <f t="shared" si="13"/>
        <v>9.0997432791291299E-3</v>
      </c>
      <c r="G17" s="124">
        <f t="shared" si="13"/>
        <v>-7.2029573869515709E-3</v>
      </c>
      <c r="H17" s="124">
        <f t="shared" si="13"/>
        <v>-1.8002152071911401E-3</v>
      </c>
      <c r="I17" s="124">
        <f t="shared" si="13"/>
        <v>4.9769741546497534E-3</v>
      </c>
      <c r="J17" s="124">
        <f t="shared" si="13"/>
        <v>8.8615620474624332E-3</v>
      </c>
      <c r="K17" s="124">
        <f t="shared" si="13"/>
        <v>5.936656111520576E-3</v>
      </c>
      <c r="L17" s="124">
        <f>2/3*K17</f>
        <v>3.9577707410137167E-3</v>
      </c>
      <c r="M17" s="124">
        <f t="shared" ref="M17:P17" si="14">2/3*L17</f>
        <v>2.6385138273424778E-3</v>
      </c>
      <c r="N17" s="124">
        <f t="shared" si="14"/>
        <v>1.7590092182283184E-3</v>
      </c>
      <c r="O17" s="124">
        <f t="shared" si="14"/>
        <v>1.1726728121522123E-3</v>
      </c>
      <c r="P17" s="124">
        <f t="shared" si="14"/>
        <v>7.8178187476814144E-4</v>
      </c>
      <c r="Q17" s="124">
        <f>2/3*P17</f>
        <v>5.211879165120943E-4</v>
      </c>
      <c r="R17" s="307"/>
    </row>
    <row r="18" spans="1:18" ht="14" x14ac:dyDescent="0.15">
      <c r="A18" s="84" t="s">
        <v>13</v>
      </c>
      <c r="B18" s="122"/>
      <c r="C18" s="122">
        <v>31.55</v>
      </c>
      <c r="D18" s="122">
        <v>213</v>
      </c>
      <c r="E18" s="122">
        <v>232</v>
      </c>
      <c r="F18" s="122">
        <v>215</v>
      </c>
      <c r="G18" s="122">
        <v>194</v>
      </c>
      <c r="H18" s="122">
        <v>258</v>
      </c>
      <c r="I18" s="122">
        <v>317</v>
      </c>
      <c r="J18" s="122">
        <v>304</v>
      </c>
      <c r="K18" s="122">
        <v>333</v>
      </c>
      <c r="L18" s="134">
        <f>K18*(1+L19)</f>
        <v>358.27070153292163</v>
      </c>
      <c r="M18" s="134">
        <f t="shared" ref="M18:Q18" si="15">L18*(1+M19)</f>
        <v>385.45914587655199</v>
      </c>
      <c r="N18" s="134">
        <f t="shared" si="15"/>
        <v>414.71086668310227</v>
      </c>
      <c r="O18" s="134">
        <f t="shared" si="15"/>
        <v>446.18244186150446</v>
      </c>
      <c r="P18" s="134">
        <f t="shared" si="15"/>
        <v>480.04233170388358</v>
      </c>
      <c r="Q18" s="134">
        <f t="shared" si="15"/>
        <v>516.47178061576528</v>
      </c>
    </row>
    <row r="19" spans="1:18" ht="14" outlineLevel="1" x14ac:dyDescent="0.15">
      <c r="A19" s="123" t="s">
        <v>14</v>
      </c>
      <c r="B19" s="122"/>
      <c r="C19" s="122"/>
      <c r="D19" s="138">
        <f t="shared" ref="D19:J19" si="16">D18/C18-1</f>
        <v>5.751188589540412</v>
      </c>
      <c r="E19" s="138">
        <f t="shared" si="16"/>
        <v>8.9201877934272256E-2</v>
      </c>
      <c r="F19" s="138">
        <f t="shared" si="16"/>
        <v>-7.3275862068965525E-2</v>
      </c>
      <c r="G19" s="138">
        <f t="shared" si="16"/>
        <v>-9.7674418604651203E-2</v>
      </c>
      <c r="H19" s="138">
        <f t="shared" si="16"/>
        <v>0.32989690721649478</v>
      </c>
      <c r="I19" s="138">
        <f t="shared" si="16"/>
        <v>0.22868217054263562</v>
      </c>
      <c r="J19" s="138">
        <f t="shared" si="16"/>
        <v>-4.1009463722397443E-2</v>
      </c>
      <c r="K19" s="138">
        <f>K18/J18-1</f>
        <v>9.539473684210531E-2</v>
      </c>
      <c r="L19" s="129">
        <f>AVERAGE($E$19:$K$19)</f>
        <v>7.5887992591356257E-2</v>
      </c>
      <c r="M19" s="129">
        <f t="shared" ref="M19:P19" si="17">AVERAGE($E$19:$K$19)</f>
        <v>7.5887992591356257E-2</v>
      </c>
      <c r="N19" s="129">
        <f t="shared" si="17"/>
        <v>7.5887992591356257E-2</v>
      </c>
      <c r="O19" s="129">
        <f t="shared" si="17"/>
        <v>7.5887992591356257E-2</v>
      </c>
      <c r="P19" s="129">
        <f t="shared" si="17"/>
        <v>7.5887992591356257E-2</v>
      </c>
      <c r="Q19" s="129">
        <f>AVERAGE($E$19:$K$19)</f>
        <v>7.5887992591356257E-2</v>
      </c>
    </row>
    <row r="20" spans="1:18" ht="16" x14ac:dyDescent="0.2">
      <c r="A20" s="84" t="s">
        <v>15</v>
      </c>
      <c r="B20" s="122"/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133">
        <f t="shared" ref="L20:Q20" si="18">L52</f>
        <v>0</v>
      </c>
      <c r="M20" s="133">
        <f>M52</f>
        <v>78.297992677897696</v>
      </c>
      <c r="N20" s="133">
        <f t="shared" si="18"/>
        <v>275.61502605518933</v>
      </c>
      <c r="O20" s="133">
        <f t="shared" si="18"/>
        <v>488.43970335332591</v>
      </c>
      <c r="P20" s="133">
        <f t="shared" si="18"/>
        <v>717.75394276525401</v>
      </c>
      <c r="Q20" s="133">
        <f t="shared" si="18"/>
        <v>787.60306865659231</v>
      </c>
    </row>
    <row r="21" spans="1:18" ht="16" x14ac:dyDescent="0.2">
      <c r="A21" s="84" t="s">
        <v>16</v>
      </c>
      <c r="B21" s="122"/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133">
        <f>L65</f>
        <v>0</v>
      </c>
      <c r="M21" s="133">
        <f t="shared" ref="M21:Q21" si="19">M65</f>
        <v>111.80711647307001</v>
      </c>
      <c r="N21" s="133">
        <f t="shared" si="19"/>
        <v>393.5697489289476</v>
      </c>
      <c r="O21" s="133">
        <f t="shared" si="19"/>
        <v>697.47681818046044</v>
      </c>
      <c r="P21" s="133">
        <f t="shared" si="19"/>
        <v>1024.9304730951717</v>
      </c>
      <c r="Q21" s="133">
        <f t="shared" si="19"/>
        <v>1124.6728686148404</v>
      </c>
    </row>
    <row r="22" spans="1:18" ht="14" x14ac:dyDescent="0.15">
      <c r="A22" s="84" t="s">
        <v>17</v>
      </c>
      <c r="B22" s="133"/>
      <c r="C22" s="133">
        <f t="shared" ref="C22:K22" si="20">SUM(C2:C15,C18)</f>
        <v>39403.000000000007</v>
      </c>
      <c r="D22" s="133">
        <f t="shared" si="20"/>
        <v>42151.349446026798</v>
      </c>
      <c r="E22" s="133">
        <f t="shared" si="20"/>
        <v>42879.113400902606</v>
      </c>
      <c r="F22" s="133">
        <f t="shared" si="20"/>
        <v>43007.932664806496</v>
      </c>
      <c r="G22" s="133">
        <f t="shared" si="20"/>
        <v>47262.400929182506</v>
      </c>
      <c r="H22" s="133">
        <f t="shared" si="20"/>
        <v>51761.424160462062</v>
      </c>
      <c r="I22" s="133">
        <f t="shared" si="20"/>
        <v>46297.741915921353</v>
      </c>
      <c r="J22" s="133">
        <f t="shared" si="20"/>
        <v>43451.883357223734</v>
      </c>
      <c r="K22" s="133">
        <f t="shared" si="20"/>
        <v>41527.640967750551</v>
      </c>
      <c r="L22" s="133">
        <f t="shared" ref="L22:Q22" si="21">L2+L3+L8+L10+L15+L18+SUM(L20:L21)</f>
        <v>40904.251105770825</v>
      </c>
      <c r="M22" s="133">
        <f t="shared" si="21"/>
        <v>40611.510937306382</v>
      </c>
      <c r="N22" s="133">
        <f t="shared" si="21"/>
        <v>40814.015295015808</v>
      </c>
      <c r="O22" s="133">
        <f t="shared" si="21"/>
        <v>40672.469237214711</v>
      </c>
      <c r="P22" s="133">
        <f t="shared" si="21"/>
        <v>40575.1795025826</v>
      </c>
      <c r="Q22" s="133">
        <f t="shared" si="21"/>
        <v>40549.356658064462</v>
      </c>
    </row>
    <row r="23" spans="1:18" ht="14" x14ac:dyDescent="0.15">
      <c r="B23" s="83"/>
      <c r="C23" s="83"/>
      <c r="D23" s="83"/>
      <c r="E23" s="83"/>
    </row>
    <row r="24" spans="1:18" ht="14" x14ac:dyDescent="0.15">
      <c r="A24" s="84" t="s">
        <v>18</v>
      </c>
      <c r="B24" s="84"/>
      <c r="C24" s="83"/>
      <c r="D24" s="83"/>
      <c r="E24" s="83"/>
    </row>
    <row r="25" spans="1:18" outlineLevel="1" x14ac:dyDescent="0.2">
      <c r="C25" s="84">
        <v>2016</v>
      </c>
      <c r="D25" s="84">
        <v>2017</v>
      </c>
      <c r="E25" s="84">
        <v>2018</v>
      </c>
      <c r="F25" s="84">
        <v>2019</v>
      </c>
      <c r="G25" s="84">
        <v>2020</v>
      </c>
      <c r="H25" s="84">
        <v>2021</v>
      </c>
      <c r="I25" s="84">
        <v>2022</v>
      </c>
      <c r="J25" s="84">
        <v>2023</v>
      </c>
      <c r="K25" s="84">
        <v>2024</v>
      </c>
      <c r="L25" s="84">
        <v>2025</v>
      </c>
      <c r="M25" s="84">
        <v>2026</v>
      </c>
      <c r="N25" s="84">
        <v>2027</v>
      </c>
      <c r="O25" s="84">
        <v>2028</v>
      </c>
      <c r="P25" s="84">
        <v>2029</v>
      </c>
      <c r="Q25" s="84">
        <v>2030</v>
      </c>
    </row>
    <row r="26" spans="1:18" ht="14" outlineLevel="1" x14ac:dyDescent="0.15">
      <c r="A26" s="135" t="s">
        <v>2</v>
      </c>
      <c r="B26" s="133"/>
      <c r="C26" s="133">
        <f>D26/(1+D30)</f>
        <v>49778.453694106087</v>
      </c>
      <c r="D26" s="133">
        <f>E26/(1+E30)</f>
        <v>47636.090722158937</v>
      </c>
      <c r="E26" s="122">
        <v>47510</v>
      </c>
      <c r="F26" s="122">
        <v>47180</v>
      </c>
      <c r="G26" s="122">
        <v>52590</v>
      </c>
      <c r="H26" s="122">
        <v>51040</v>
      </c>
      <c r="I26" s="122">
        <v>47660</v>
      </c>
      <c r="J26" s="122">
        <v>47350</v>
      </c>
      <c r="K26" s="122">
        <v>46730</v>
      </c>
      <c r="L26" s="133">
        <f>L34+(L31-K31)*L32*L34/(1+L33)</f>
        <v>48699.654688764742</v>
      </c>
      <c r="M26" s="133">
        <f t="shared" ref="M26:Q26" si="22">M34+(M31-L31)*M32*M34/(1+M33)</f>
        <v>49525.279320002803</v>
      </c>
      <c r="N26" s="133">
        <f t="shared" si="22"/>
        <v>50364.476308596539</v>
      </c>
      <c r="O26" s="133">
        <f t="shared" si="22"/>
        <v>50708.082600632406</v>
      </c>
      <c r="P26" s="133">
        <f t="shared" si="22"/>
        <v>50784.851285632452</v>
      </c>
      <c r="Q26" s="133">
        <f t="shared" si="22"/>
        <v>51394.469441419438</v>
      </c>
    </row>
    <row r="27" spans="1:18" ht="14" outlineLevel="2" x14ac:dyDescent="0.15">
      <c r="A27" s="130" t="s">
        <v>19</v>
      </c>
      <c r="B27" s="134">
        <f>B28*B29</f>
        <v>37030.179999999993</v>
      </c>
      <c r="C27" s="134">
        <f>C28*C29</f>
        <v>36722.699999999997</v>
      </c>
      <c r="D27" s="134">
        <f>D28*D29</f>
        <v>35142.230000000003</v>
      </c>
      <c r="E27" s="134">
        <f>E28*E29</f>
        <v>35049.21</v>
      </c>
      <c r="F27" s="128"/>
      <c r="G27" s="128"/>
      <c r="H27" s="128"/>
      <c r="I27" s="128"/>
      <c r="J27" s="128"/>
      <c r="K27" s="128"/>
      <c r="Q27" s="133"/>
    </row>
    <row r="28" spans="1:18" ht="14" outlineLevel="2" x14ac:dyDescent="0.15">
      <c r="A28" s="140" t="s">
        <v>20</v>
      </c>
      <c r="B28" s="132">
        <v>61.819999999999993</v>
      </c>
      <c r="C28" s="132">
        <v>60.3</v>
      </c>
      <c r="D28" s="132">
        <v>55.870000000000005</v>
      </c>
      <c r="E28" s="132">
        <v>55.37</v>
      </c>
      <c r="F28" s="83" t="s">
        <v>21</v>
      </c>
      <c r="Q28" s="133"/>
    </row>
    <row r="29" spans="1:18" ht="14" outlineLevel="2" x14ac:dyDescent="0.15">
      <c r="A29" s="140" t="s">
        <v>22</v>
      </c>
      <c r="B29" s="122">
        <v>599</v>
      </c>
      <c r="C29" s="122">
        <v>609</v>
      </c>
      <c r="D29" s="122">
        <v>629</v>
      </c>
      <c r="E29" s="122">
        <v>633</v>
      </c>
      <c r="F29" s="83" t="s">
        <v>23</v>
      </c>
      <c r="Q29" s="133"/>
    </row>
    <row r="30" spans="1:18" ht="14" outlineLevel="2" x14ac:dyDescent="0.15">
      <c r="A30" s="140" t="s">
        <v>14</v>
      </c>
      <c r="B30" s="122"/>
      <c r="C30" s="128">
        <f>C27/B27-1</f>
        <v>-8.3034973094917586E-3</v>
      </c>
      <c r="D30" s="128">
        <f>D27/C27-1</f>
        <v>-4.3037957448662345E-2</v>
      </c>
      <c r="E30" s="128">
        <f>E27/D27-1</f>
        <v>-2.6469578054666432E-3</v>
      </c>
      <c r="O30" s="83">
        <f>_xlfn.RRI(4,L2,O2)</f>
        <v>1.0048711434905488E-2</v>
      </c>
      <c r="Q30" s="133"/>
    </row>
    <row r="31" spans="1:18" s="322" customFormat="1" ht="14" outlineLevel="2" x14ac:dyDescent="0.15">
      <c r="A31" s="314" t="s">
        <v>24</v>
      </c>
      <c r="B31" s="315"/>
      <c r="C31" s="315"/>
      <c r="D31" s="315"/>
      <c r="E31" s="316"/>
      <c r="F31" s="316"/>
      <c r="G31" s="316"/>
      <c r="H31" s="316"/>
      <c r="I31" s="316"/>
      <c r="J31" s="316"/>
      <c r="K31" s="317">
        <v>0.15</v>
      </c>
      <c r="L31" s="318">
        <v>0.31</v>
      </c>
      <c r="M31" s="317">
        <v>0.5</v>
      </c>
      <c r="N31" s="319">
        <f>(O31-M31)/2+M31</f>
        <v>0.72</v>
      </c>
      <c r="O31" s="318">
        <v>0.94</v>
      </c>
      <c r="P31" s="317">
        <v>1</v>
      </c>
      <c r="Q31" s="320">
        <f>P31</f>
        <v>1</v>
      </c>
      <c r="R31" s="321" t="s">
        <v>25</v>
      </c>
    </row>
    <row r="32" spans="1:18" s="322" customFormat="1" ht="14" outlineLevel="2" x14ac:dyDescent="0.15">
      <c r="A32" s="314" t="s">
        <v>26</v>
      </c>
      <c r="B32" s="315"/>
      <c r="C32" s="315"/>
      <c r="D32" s="315"/>
      <c r="E32" s="316"/>
      <c r="F32" s="316"/>
      <c r="G32" s="316"/>
      <c r="H32" s="316"/>
      <c r="I32" s="316"/>
      <c r="J32" s="316"/>
      <c r="K32" s="316"/>
      <c r="L32" s="318">
        <v>0.1</v>
      </c>
      <c r="M32" s="319">
        <f>L32</f>
        <v>0.1</v>
      </c>
      <c r="N32" s="319">
        <f>M32</f>
        <v>0.1</v>
      </c>
      <c r="O32" s="323">
        <f>N32-$N$32/3</f>
        <v>6.666666666666668E-2</v>
      </c>
      <c r="P32" s="323">
        <f t="shared" ref="P32:Q32" si="23">O32-$N$32/3</f>
        <v>3.3333333333333347E-2</v>
      </c>
      <c r="Q32" s="323">
        <f t="shared" si="23"/>
        <v>0</v>
      </c>
      <c r="R32" s="321" t="s">
        <v>27</v>
      </c>
    </row>
    <row r="33" spans="1:18" ht="14" outlineLevel="2" x14ac:dyDescent="0.15">
      <c r="A33" s="127" t="s">
        <v>28</v>
      </c>
      <c r="B33" s="133"/>
      <c r="C33" s="133"/>
      <c r="D33" s="133"/>
      <c r="E33" s="122"/>
      <c r="F33" s="122"/>
      <c r="G33" s="122"/>
      <c r="H33" s="122"/>
      <c r="I33" s="122"/>
      <c r="J33" s="122"/>
      <c r="K33" s="122"/>
      <c r="L33" s="199">
        <v>1.4E-2</v>
      </c>
      <c r="M33" s="202">
        <f>L33</f>
        <v>1.4E-2</v>
      </c>
      <c r="N33" s="202">
        <f>M33</f>
        <v>1.4E-2</v>
      </c>
      <c r="O33" s="202">
        <f>N33</f>
        <v>1.4E-2</v>
      </c>
      <c r="P33" s="202">
        <f>O33</f>
        <v>1.4E-2</v>
      </c>
      <c r="Q33" s="202">
        <f>P33</f>
        <v>1.4E-2</v>
      </c>
      <c r="R33" s="294" t="s">
        <v>29</v>
      </c>
    </row>
    <row r="34" spans="1:18" ht="14" outlineLevel="2" x14ac:dyDescent="0.15">
      <c r="A34" s="127" t="s">
        <v>30</v>
      </c>
      <c r="B34" s="133"/>
      <c r="C34" s="133"/>
      <c r="D34" s="133"/>
      <c r="E34" s="122"/>
      <c r="F34" s="122"/>
      <c r="G34" s="122"/>
      <c r="H34" s="122"/>
      <c r="I34" s="122"/>
      <c r="J34" s="122"/>
      <c r="K34" s="122"/>
      <c r="L34" s="139">
        <f>AVERAGE($J$26:$K$26,$D$26:$F$26)*(1+L33)</f>
        <v>47943.155198453831</v>
      </c>
      <c r="M34" s="139">
        <f>L34*(1+M33)</f>
        <v>48614.359371232182</v>
      </c>
      <c r="N34" s="139">
        <f>M34*(1+N33)</f>
        <v>49294.960402429431</v>
      </c>
      <c r="O34" s="139">
        <f>N34*(1+O33)</f>
        <v>49985.089848063442</v>
      </c>
      <c r="P34" s="139">
        <f>O34*(1+P33)</f>
        <v>50684.881105936329</v>
      </c>
      <c r="Q34" s="139">
        <f>P34*(1+Q33)</f>
        <v>51394.469441419438</v>
      </c>
      <c r="R34" s="305" t="s">
        <v>31</v>
      </c>
    </row>
    <row r="35" spans="1:18" ht="14" outlineLevel="1" x14ac:dyDescent="0.15">
      <c r="A35" s="127" t="s">
        <v>32</v>
      </c>
      <c r="B35" s="128"/>
      <c r="C35" s="128">
        <f t="shared" ref="C35:Q35" si="24">C2/C26</f>
        <v>0.35810674452731445</v>
      </c>
      <c r="D35" s="128">
        <f t="shared" si="24"/>
        <v>0.39881526195772982</v>
      </c>
      <c r="E35" s="128">
        <f t="shared" si="24"/>
        <v>0.40126289202273208</v>
      </c>
      <c r="F35" s="128">
        <f t="shared" si="24"/>
        <v>0.39781687155574397</v>
      </c>
      <c r="G35" s="128">
        <f t="shared" si="24"/>
        <v>0.41173226849210875</v>
      </c>
      <c r="H35" s="128">
        <f t="shared" si="24"/>
        <v>0.4403996865203762</v>
      </c>
      <c r="I35" s="128">
        <f t="shared" si="24"/>
        <v>0.41472933277381452</v>
      </c>
      <c r="J35" s="128">
        <f t="shared" si="24"/>
        <v>0.39032734952481518</v>
      </c>
      <c r="K35" s="128">
        <f t="shared" si="24"/>
        <v>0.39976460517868606</v>
      </c>
      <c r="L35" s="128">
        <f>L2/L26</f>
        <v>0.39702538528265446</v>
      </c>
      <c r="M35" s="128">
        <f t="shared" si="24"/>
        <v>0.39739816009084872</v>
      </c>
      <c r="N35" s="128">
        <f t="shared" si="24"/>
        <v>0.39776877597158233</v>
      </c>
      <c r="O35" s="128">
        <f t="shared" si="24"/>
        <v>0.39685900966076432</v>
      </c>
      <c r="P35" s="128">
        <f t="shared" si="24"/>
        <v>0.3952566617668718</v>
      </c>
      <c r="Q35" s="128">
        <f t="shared" si="24"/>
        <v>0.39500000000000002</v>
      </c>
    </row>
    <row r="36" spans="1:18" ht="14" outlineLevel="1" x14ac:dyDescent="0.15">
      <c r="A36" s="130" t="s">
        <v>33</v>
      </c>
      <c r="B36" s="132"/>
      <c r="C36" s="132"/>
      <c r="D36" s="132"/>
      <c r="E36" s="132"/>
      <c r="L36" s="137">
        <v>0.39500000000000002</v>
      </c>
      <c r="M36" s="138">
        <f>L36</f>
        <v>0.39500000000000002</v>
      </c>
      <c r="N36" s="138">
        <f t="shared" ref="N36:Q36" si="25">M36</f>
        <v>0.39500000000000002</v>
      </c>
      <c r="O36" s="138">
        <f t="shared" si="25"/>
        <v>0.39500000000000002</v>
      </c>
      <c r="P36" s="138">
        <f t="shared" si="25"/>
        <v>0.39500000000000002</v>
      </c>
      <c r="Q36" s="138">
        <f t="shared" si="25"/>
        <v>0.39500000000000002</v>
      </c>
    </row>
    <row r="37" spans="1:18" ht="14" outlineLevel="1" x14ac:dyDescent="0.15">
      <c r="A37" s="130" t="s">
        <v>34</v>
      </c>
      <c r="B37" s="83"/>
      <c r="C37" s="83"/>
      <c r="D37" s="83"/>
      <c r="E37" s="83"/>
      <c r="K37" s="128"/>
      <c r="L37" s="138">
        <f>K38/K39+IF(A1="Bull ($MM)",10%,IF(A1="Bear ($MM)",-20%,0%))</f>
        <v>0.52538417757087941</v>
      </c>
      <c r="M37" s="138">
        <f>L37</f>
        <v>0.52538417757087941</v>
      </c>
      <c r="N37" s="138">
        <f>M37</f>
        <v>0.52538417757087941</v>
      </c>
      <c r="O37" s="129">
        <f>N37</f>
        <v>0.52538417757087941</v>
      </c>
      <c r="P37" s="129">
        <f t="shared" ref="P37:Q37" si="26">O37</f>
        <v>0.52538417757087941</v>
      </c>
      <c r="Q37" s="129">
        <f t="shared" si="26"/>
        <v>0.52538417757087941</v>
      </c>
    </row>
    <row r="38" spans="1:18" ht="30" outlineLevel="2" x14ac:dyDescent="0.15">
      <c r="A38" s="142" t="s">
        <v>35</v>
      </c>
      <c r="B38" s="83"/>
      <c r="C38" s="83"/>
      <c r="D38" s="83"/>
      <c r="E38" s="83"/>
      <c r="K38" s="134">
        <f>(SUM(H2:I2)-2*AVERAGE(D2:F2,J2:K2)/AVERAGE(D26:F26,J26:K26)*AVERAGE(H26:I26))</f>
        <v>3001.3232497498175</v>
      </c>
    </row>
    <row r="39" spans="1:18" ht="14" outlineLevel="2" x14ac:dyDescent="0.15">
      <c r="A39" s="131" t="s">
        <v>36</v>
      </c>
      <c r="B39" s="83"/>
      <c r="C39" s="83"/>
      <c r="D39" s="83"/>
      <c r="E39" s="83"/>
      <c r="K39" s="134">
        <f>SUM(H26:I26)-2*AVERAGE(D26:F26,J26:K26)</f>
        <v>4137.563711136434</v>
      </c>
    </row>
    <row r="40" spans="1:18" ht="14" x14ac:dyDescent="0.15">
      <c r="B40" s="83"/>
      <c r="C40" s="83"/>
      <c r="D40" s="83"/>
      <c r="E40" s="83"/>
    </row>
    <row r="41" spans="1:18" x14ac:dyDescent="0.2">
      <c r="A41" s="84" t="s">
        <v>37</v>
      </c>
      <c r="F41"/>
      <c r="G41"/>
    </row>
    <row r="42" spans="1:18" outlineLevel="1" x14ac:dyDescent="0.2">
      <c r="A42" s="127" t="s">
        <v>38</v>
      </c>
      <c r="F42"/>
      <c r="G42"/>
      <c r="K42" s="122">
        <v>191600</v>
      </c>
      <c r="L42" s="134">
        <f t="shared" ref="L42:Q42" si="27">(1+L45)*K42</f>
        <v>200019.90022460645</v>
      </c>
      <c r="M42" s="134">
        <f t="shared" si="27"/>
        <v>208809.81464437119</v>
      </c>
      <c r="N42" s="134">
        <f t="shared" si="27"/>
        <v>217986.00360691908</v>
      </c>
      <c r="O42" s="134">
        <f t="shared" si="27"/>
        <v>227565.4420240953</v>
      </c>
      <c r="P42" s="134">
        <f t="shared" si="27"/>
        <v>237565.85077363261</v>
      </c>
      <c r="Q42" s="134">
        <f t="shared" si="27"/>
        <v>248005.72948077109</v>
      </c>
    </row>
    <row r="43" spans="1:18" outlineLevel="2" x14ac:dyDescent="0.2">
      <c r="A43" s="130" t="s">
        <v>39</v>
      </c>
      <c r="F43"/>
      <c r="G43"/>
      <c r="K43" s="133" t="s">
        <v>40</v>
      </c>
      <c r="L43" s="134"/>
      <c r="M43" s="134"/>
      <c r="N43" s="134"/>
      <c r="O43" s="134"/>
      <c r="P43" s="134"/>
      <c r="Q43" s="134"/>
      <c r="R43" s="308" t="s">
        <v>41</v>
      </c>
    </row>
    <row r="44" spans="1:18" outlineLevel="2" x14ac:dyDescent="0.2">
      <c r="A44" s="130" t="s">
        <v>42</v>
      </c>
      <c r="F44"/>
      <c r="G44"/>
      <c r="K44" s="141">
        <v>0.32</v>
      </c>
      <c r="L44" s="134"/>
      <c r="M44" s="134"/>
      <c r="N44" s="134"/>
      <c r="O44" s="134"/>
      <c r="P44" s="134"/>
      <c r="Q44" s="134"/>
      <c r="R44" s="305" t="s">
        <v>43</v>
      </c>
    </row>
    <row r="45" spans="1:18" outlineLevel="2" x14ac:dyDescent="0.2">
      <c r="A45" s="136" t="s">
        <v>44</v>
      </c>
      <c r="F45"/>
      <c r="G45"/>
      <c r="K45" s="122"/>
      <c r="L45" s="137">
        <f>((206.57/188.38*22.9/19.4)^(1/6)-1)</f>
        <v>4.394519950212139E-2</v>
      </c>
      <c r="M45" s="129">
        <f>L45</f>
        <v>4.394519950212139E-2</v>
      </c>
      <c r="N45" s="129">
        <f t="shared" ref="N45:Q45" si="28">M45</f>
        <v>4.394519950212139E-2</v>
      </c>
      <c r="O45" s="129">
        <f t="shared" si="28"/>
        <v>4.394519950212139E-2</v>
      </c>
      <c r="P45" s="129">
        <f t="shared" si="28"/>
        <v>4.394519950212139E-2</v>
      </c>
      <c r="Q45" s="129">
        <f t="shared" si="28"/>
        <v>4.394519950212139E-2</v>
      </c>
      <c r="R45" s="305" t="s">
        <v>45</v>
      </c>
    </row>
    <row r="46" spans="1:18" s="322" customFormat="1" ht="16" outlineLevel="1" x14ac:dyDescent="0.2">
      <c r="A46" s="314" t="s">
        <v>46</v>
      </c>
      <c r="B46" s="324"/>
      <c r="C46" s="324"/>
      <c r="D46" s="324"/>
      <c r="E46" s="324"/>
      <c r="F46" s="324"/>
      <c r="G46" s="324"/>
      <c r="K46" s="325"/>
      <c r="L46" s="325"/>
      <c r="M46" s="326">
        <f>K47/K42</f>
        <v>6.7818371607515651E-2</v>
      </c>
      <c r="N46" s="326">
        <f>($Q$46-$M$46)/3+M46</f>
        <v>7.8456547545949482E-2</v>
      </c>
      <c r="O46" s="326">
        <f>($Q$46-$M$46)/3+N46</f>
        <v>8.9094723484383312E-2</v>
      </c>
      <c r="P46" s="326">
        <f>K49</f>
        <v>9.9732899422817156E-2</v>
      </c>
      <c r="Q46" s="327">
        <f>P46</f>
        <v>9.9732899422817156E-2</v>
      </c>
      <c r="R46" s="321"/>
    </row>
    <row r="47" spans="1:18" ht="16" outlineLevel="2" x14ac:dyDescent="0.2">
      <c r="A47" s="130" t="s">
        <v>47</v>
      </c>
      <c r="F47"/>
      <c r="G47"/>
      <c r="K47" s="1">
        <f>'Three Statement Model'!H152</f>
        <v>12994</v>
      </c>
      <c r="L47" s="137"/>
      <c r="M47" s="126"/>
      <c r="N47" s="126"/>
      <c r="O47" s="126"/>
      <c r="P47" s="126"/>
      <c r="Q47" s="126"/>
    </row>
    <row r="48" spans="1:18" ht="16" outlineLevel="2" x14ac:dyDescent="0.2">
      <c r="A48" s="130" t="s">
        <v>48</v>
      </c>
      <c r="F48"/>
      <c r="G48"/>
      <c r="K48" s="1">
        <f>K42*(1-K44)</f>
        <v>130287.99999999999</v>
      </c>
      <c r="L48" s="137"/>
      <c r="M48" s="126"/>
      <c r="N48" s="126"/>
      <c r="O48" s="126"/>
      <c r="P48" s="126"/>
      <c r="Q48" s="126"/>
    </row>
    <row r="49" spans="1:18" ht="16" outlineLevel="2" x14ac:dyDescent="0.2">
      <c r="A49" s="130" t="s">
        <v>49</v>
      </c>
      <c r="F49"/>
      <c r="G49"/>
      <c r="K49" s="8">
        <f>K47/K48</f>
        <v>9.9732899422817156E-2</v>
      </c>
      <c r="L49" s="137"/>
      <c r="M49" s="126"/>
      <c r="N49" s="126"/>
      <c r="O49" s="126"/>
      <c r="P49" s="126"/>
      <c r="Q49" s="126"/>
    </row>
    <row r="50" spans="1:18" ht="16" outlineLevel="1" x14ac:dyDescent="0.2">
      <c r="A50" s="127" t="s">
        <v>50</v>
      </c>
      <c r="F50"/>
      <c r="G50"/>
      <c r="K50" s="1"/>
      <c r="L50" s="134">
        <f>L46*L42</f>
        <v>0</v>
      </c>
      <c r="M50" s="134">
        <f>M46*M42-$K$47</f>
        <v>1167.141604848428</v>
      </c>
      <c r="N50" s="134">
        <f t="shared" ref="N50:Q50" si="29">N46*N42-$K$47</f>
        <v>4108.4292563377639</v>
      </c>
      <c r="O50" s="134">
        <f t="shared" si="29"/>
        <v>7280.8801317382313</v>
      </c>
      <c r="P50" s="134">
        <f t="shared" si="29"/>
        <v>10699.131101502691</v>
      </c>
      <c r="Q50" s="134">
        <f t="shared" si="29"/>
        <v>11740.330474588143</v>
      </c>
    </row>
    <row r="51" spans="1:18" outlineLevel="1" x14ac:dyDescent="0.2">
      <c r="A51" s="127" t="s">
        <v>51</v>
      </c>
      <c r="F51"/>
      <c r="G51"/>
      <c r="L51" s="137"/>
      <c r="M51" s="129">
        <f>(0.08*2+((K62-100)*0.08+100*0.15)/K62)/3+IF(A1="Bull ($MM)",3%,IF(A1="Bear ($MM)",-3%,0%))</f>
        <v>6.7085255424568599E-2</v>
      </c>
      <c r="N51" s="129">
        <f t="shared" ref="N51:Q51" si="30">M51</f>
        <v>6.7085255424568599E-2</v>
      </c>
      <c r="O51" s="129">
        <f t="shared" si="30"/>
        <v>6.7085255424568599E-2</v>
      </c>
      <c r="P51" s="129">
        <f t="shared" si="30"/>
        <v>6.7085255424568599E-2</v>
      </c>
      <c r="Q51" s="129">
        <f t="shared" si="30"/>
        <v>6.7085255424568599E-2</v>
      </c>
      <c r="R51" s="308" t="s">
        <v>52</v>
      </c>
    </row>
    <row r="52" spans="1:18" outlineLevel="1" x14ac:dyDescent="0.2">
      <c r="A52" s="127" t="s">
        <v>53</v>
      </c>
      <c r="F52"/>
      <c r="G52"/>
      <c r="L52" s="134"/>
      <c r="M52" s="134">
        <f>M51*M50</f>
        <v>78.297992677897696</v>
      </c>
      <c r="N52" s="134">
        <f>N51*N50</f>
        <v>275.61502605518933</v>
      </c>
      <c r="O52" s="134">
        <f>O51*O50</f>
        <v>488.43970335332591</v>
      </c>
      <c r="P52" s="134">
        <f>P51*P50</f>
        <v>717.75394276525401</v>
      </c>
      <c r="Q52" s="134">
        <f>Q51*Q50</f>
        <v>787.60306865659231</v>
      </c>
    </row>
    <row r="53" spans="1:18" x14ac:dyDescent="0.2">
      <c r="A53" s="84"/>
      <c r="F53"/>
      <c r="G53"/>
    </row>
    <row r="54" spans="1:18" x14ac:dyDescent="0.2">
      <c r="A54" s="84" t="s">
        <v>54</v>
      </c>
      <c r="F54"/>
      <c r="G54"/>
    </row>
    <row r="55" spans="1:18" outlineLevel="1" x14ac:dyDescent="0.2">
      <c r="A55" s="83" t="s">
        <v>55</v>
      </c>
      <c r="F55"/>
      <c r="G55"/>
      <c r="L55" s="137"/>
      <c r="M55" s="129">
        <f>AVERAGE(K56:K58)</f>
        <v>6.1404965404965407E-2</v>
      </c>
      <c r="N55" s="129">
        <f t="shared" ref="N55:Q55" si="31">M55</f>
        <v>6.1404965404965407E-2</v>
      </c>
      <c r="O55" s="129">
        <f t="shared" si="31"/>
        <v>6.1404965404965407E-2</v>
      </c>
      <c r="P55" s="129">
        <f t="shared" si="31"/>
        <v>6.1404965404965407E-2</v>
      </c>
      <c r="Q55" s="129">
        <f t="shared" si="31"/>
        <v>6.1404965404965407E-2</v>
      </c>
    </row>
    <row r="56" spans="1:18" outlineLevel="2" x14ac:dyDescent="0.2">
      <c r="A56" s="127" t="s">
        <v>56</v>
      </c>
      <c r="F56"/>
      <c r="G56"/>
      <c r="K56" s="129">
        <f>56/750</f>
        <v>7.4666666666666673E-2</v>
      </c>
      <c r="L56" s="137"/>
      <c r="M56" s="129"/>
      <c r="N56" s="129"/>
      <c r="O56" s="129"/>
      <c r="P56" s="129"/>
      <c r="Q56" s="129"/>
    </row>
    <row r="57" spans="1:18" outlineLevel="2" x14ac:dyDescent="0.2">
      <c r="A57" s="127" t="s">
        <v>57</v>
      </c>
      <c r="F57"/>
      <c r="G57"/>
      <c r="K57" s="129">
        <f>4.4/93.6</f>
        <v>4.7008547008547015E-2</v>
      </c>
      <c r="L57" s="137"/>
      <c r="M57" s="129"/>
      <c r="N57" s="129"/>
      <c r="O57" s="129"/>
      <c r="P57" s="129"/>
      <c r="Q57" s="129"/>
    </row>
    <row r="58" spans="1:18" outlineLevel="2" x14ac:dyDescent="0.2">
      <c r="A58" s="127" t="s">
        <v>58</v>
      </c>
      <c r="F58"/>
      <c r="G58"/>
      <c r="K58" s="129">
        <f>0.788/12.6</f>
        <v>6.2539682539682548E-2</v>
      </c>
      <c r="L58" s="137"/>
      <c r="M58" s="129"/>
      <c r="N58" s="129"/>
      <c r="O58" s="129"/>
      <c r="P58" s="129"/>
      <c r="Q58" s="129"/>
    </row>
    <row r="59" spans="1:18" outlineLevel="1" x14ac:dyDescent="0.2">
      <c r="A59" s="83" t="s">
        <v>59</v>
      </c>
      <c r="F59"/>
      <c r="G59"/>
      <c r="L59" s="138"/>
      <c r="M59" s="129">
        <f>K62/K63-1+IF(A1="Bull ($MM)",10%,IF(A1="Bear ($MM)",-10%,0%))</f>
        <v>0.56006396522581092</v>
      </c>
      <c r="N59" s="129">
        <f t="shared" ref="N59:Q59" si="32">M59</f>
        <v>0.56006396522581092</v>
      </c>
      <c r="O59" s="129">
        <f>N59</f>
        <v>0.56006396522581092</v>
      </c>
      <c r="P59" s="129">
        <f t="shared" si="32"/>
        <v>0.56006396522581092</v>
      </c>
      <c r="Q59" s="129">
        <f t="shared" si="32"/>
        <v>0.56006396522581092</v>
      </c>
    </row>
    <row r="60" spans="1:18" outlineLevel="2" x14ac:dyDescent="0.2">
      <c r="A60" s="127" t="s">
        <v>60</v>
      </c>
      <c r="F60"/>
      <c r="G60"/>
      <c r="K60" s="86">
        <f>SUM('Three Statement Model'!F152:G152)</f>
        <v>27314</v>
      </c>
      <c r="L60" s="137"/>
      <c r="M60" s="129"/>
      <c r="N60" s="129"/>
      <c r="O60" s="129"/>
      <c r="P60" s="129"/>
      <c r="Q60" s="129"/>
    </row>
    <row r="61" spans="1:18" outlineLevel="2" x14ac:dyDescent="0.2">
      <c r="A61" s="127" t="s">
        <v>61</v>
      </c>
      <c r="F61"/>
      <c r="G61"/>
      <c r="K61" s="122">
        <v>200</v>
      </c>
      <c r="L61" s="137"/>
      <c r="M61" s="129"/>
      <c r="N61" s="129"/>
      <c r="O61" s="129"/>
      <c r="P61" s="129"/>
      <c r="Q61" s="129"/>
    </row>
    <row r="62" spans="1:18" outlineLevel="2" x14ac:dyDescent="0.2">
      <c r="A62" s="127" t="s">
        <v>62</v>
      </c>
      <c r="F62"/>
      <c r="G62"/>
      <c r="K62" s="90">
        <f>K60/K61</f>
        <v>136.57</v>
      </c>
      <c r="L62" s="137"/>
      <c r="M62" s="129"/>
      <c r="N62" s="129"/>
      <c r="O62" s="129"/>
      <c r="P62" s="129"/>
      <c r="Q62" s="129"/>
    </row>
    <row r="63" spans="1:18" outlineLevel="2" x14ac:dyDescent="0.2">
      <c r="A63" s="127" t="s">
        <v>63</v>
      </c>
      <c r="F63"/>
      <c r="G63"/>
      <c r="K63" s="90">
        <f>SUMPRODUCT(C72:C76,D72:D76)/SUM(D72:D76)</f>
        <v>82.267914285714284</v>
      </c>
      <c r="L63" s="137"/>
      <c r="M63" s="129"/>
      <c r="N63" s="129"/>
      <c r="O63" s="129"/>
      <c r="P63" s="129"/>
      <c r="Q63" s="129"/>
      <c r="R63" s="305" t="s">
        <v>64</v>
      </c>
    </row>
    <row r="64" spans="1:18" outlineLevel="1" x14ac:dyDescent="0.2">
      <c r="A64" s="83" t="s">
        <v>65</v>
      </c>
      <c r="F64"/>
      <c r="G64"/>
      <c r="L64" s="128"/>
      <c r="M64" s="128">
        <f>M55*(1+M59)+IF(B1="Bull ($MM)",2%,IF(B1="Bear ($MM)",-2%,0%))</f>
        <v>9.5795673814224075E-2</v>
      </c>
      <c r="N64" s="128">
        <f>N55*(1+N59)+IF(C1="Bull ($MM)",2%,IF(C1="Bear ($MM)",-2%,0%))</f>
        <v>9.5795673814224075E-2</v>
      </c>
      <c r="O64" s="128">
        <f>O55*(1+O59)+IF(D1="Bull ($MM)",2%,IF(D1="Bear ($MM)",-2%,0%))</f>
        <v>9.5795673814224075E-2</v>
      </c>
      <c r="P64" s="128">
        <f>P55*(1+P59)+IF(E1="Bull ($MM)",2%,IF(E1="Bear ($MM)",-2%,0%))</f>
        <v>9.5795673814224075E-2</v>
      </c>
      <c r="Q64" s="128">
        <f>Q55*(1+Q59)+IF(F1="Bull ($MM)",2%,IF(F1="Bear ($MM)",-2%,0%))</f>
        <v>9.5795673814224075E-2</v>
      </c>
    </row>
    <row r="65" spans="1:18" outlineLevel="1" x14ac:dyDescent="0.2">
      <c r="A65" s="83" t="s">
        <v>66</v>
      </c>
      <c r="F65"/>
      <c r="G65"/>
      <c r="L65" s="134"/>
      <c r="M65" s="134">
        <f>M64*M50</f>
        <v>111.80711647307001</v>
      </c>
      <c r="N65" s="134">
        <f>N64*N50</f>
        <v>393.5697489289476</v>
      </c>
      <c r="O65" s="134">
        <f>O64*O50</f>
        <v>697.47681818046044</v>
      </c>
      <c r="P65" s="134">
        <f>P64*P50</f>
        <v>1024.9304730951717</v>
      </c>
      <c r="Q65" s="134">
        <f>Q64*Q50</f>
        <v>1124.6728686148404</v>
      </c>
    </row>
    <row r="66" spans="1:18" outlineLevel="1" x14ac:dyDescent="0.2">
      <c r="A66" s="83" t="s">
        <v>67</v>
      </c>
      <c r="F66"/>
      <c r="G66"/>
      <c r="M66" s="128">
        <f>(0.7+0.7+0.8)/3</f>
        <v>0.73333333333333339</v>
      </c>
      <c r="N66" s="128">
        <f>M66</f>
        <v>0.73333333333333339</v>
      </c>
      <c r="O66" s="128">
        <f t="shared" ref="O66:Q66" si="33">N66</f>
        <v>0.73333333333333339</v>
      </c>
      <c r="P66" s="128">
        <f t="shared" si="33"/>
        <v>0.73333333333333339</v>
      </c>
      <c r="Q66" s="128">
        <f t="shared" si="33"/>
        <v>0.73333333333333339</v>
      </c>
      <c r="R66" s="305" t="s">
        <v>68</v>
      </c>
    </row>
    <row r="68" spans="1:18" x14ac:dyDescent="0.2">
      <c r="A68" s="127"/>
      <c r="E68" s="83"/>
    </row>
    <row r="69" spans="1:18" x14ac:dyDescent="0.2">
      <c r="A69" s="130"/>
      <c r="E69" s="83"/>
    </row>
    <row r="70" spans="1:18" x14ac:dyDescent="0.2">
      <c r="A70" s="84"/>
      <c r="B70" s="84"/>
      <c r="C70" s="84"/>
      <c r="D70" s="83"/>
      <c r="E70" s="84"/>
      <c r="F70" s="84"/>
      <c r="G70" s="84"/>
      <c r="I70" s="84"/>
      <c r="J70" s="84"/>
      <c r="K70" s="84"/>
      <c r="L70"/>
      <c r="M70"/>
      <c r="N70"/>
    </row>
    <row r="71" spans="1:18" ht="14" outlineLevel="1" x14ac:dyDescent="0.15">
      <c r="A71" s="84"/>
      <c r="B71" s="83"/>
      <c r="C71" s="83" t="s">
        <v>62</v>
      </c>
      <c r="D71" s="83" t="s">
        <v>69</v>
      </c>
      <c r="E71" s="83"/>
    </row>
    <row r="72" spans="1:18" ht="14" outlineLevel="2" x14ac:dyDescent="0.15">
      <c r="A72" s="84" t="s">
        <v>2</v>
      </c>
      <c r="B72" s="83"/>
      <c r="C72" s="83">
        <v>90.56</v>
      </c>
      <c r="D72" s="83">
        <v>46.73</v>
      </c>
      <c r="E72" s="83"/>
    </row>
    <row r="73" spans="1:18" ht="14" outlineLevel="2" x14ac:dyDescent="0.15">
      <c r="A73" s="84" t="s">
        <v>70</v>
      </c>
      <c r="B73" s="83"/>
      <c r="C73" s="83">
        <v>2.82</v>
      </c>
      <c r="D73" s="83">
        <v>1.45</v>
      </c>
      <c r="E73" s="83"/>
    </row>
    <row r="74" spans="1:18" ht="14" outlineLevel="2" x14ac:dyDescent="0.15">
      <c r="A74" s="84" t="s">
        <v>71</v>
      </c>
      <c r="B74" s="83"/>
      <c r="C74" s="83">
        <v>21.01</v>
      </c>
      <c r="D74" s="83">
        <v>10.84</v>
      </c>
      <c r="E74" s="83"/>
    </row>
    <row r="75" spans="1:18" ht="14" outlineLevel="2" x14ac:dyDescent="0.15">
      <c r="A75" s="84" t="s">
        <v>72</v>
      </c>
      <c r="B75" s="83"/>
      <c r="C75" s="83">
        <v>6.98</v>
      </c>
      <c r="D75" s="83">
        <v>3.6</v>
      </c>
      <c r="E75" s="83"/>
    </row>
    <row r="76" spans="1:18" ht="14" outlineLevel="2" x14ac:dyDescent="0.15">
      <c r="A76" s="84" t="s">
        <v>73</v>
      </c>
      <c r="B76" s="83"/>
      <c r="C76" s="83">
        <v>95.69</v>
      </c>
      <c r="D76" s="83">
        <v>49.38</v>
      </c>
      <c r="E76" s="83"/>
    </row>
  </sheetData>
  <mergeCells count="1">
    <mergeCell ref="A1:B1"/>
  </mergeCells>
  <dataValidations count="1">
    <dataValidation type="list" allowBlank="1" showInputMessage="1" showErrorMessage="1" sqref="A1" xr:uid="{8E42219F-1187-2148-BB9C-68F428E9873C}">
      <formula1>"Bull ($MM), Base ($MM), Bear ($MM)"</formula1>
    </dataValidation>
  </dataValidations>
  <hyperlinks>
    <hyperlink ref="R43" r:id="rId1" xr:uid="{7478BC2C-076E-544D-B078-C8E72F700B58}"/>
    <hyperlink ref="R51" r:id="rId2" location="referral-fees newegg" xr:uid="{4657AD63-B83D-9F4E-9B0A-88F3559D0C0B}"/>
    <hyperlink ref="R13" r:id="rId3" location=":~:text=Video%20Game%20Revenues%20Double%20in%20the%202010s" display="The overlapping release of GTA V &amp; PS4 led to an 8% increase in the annual growth of the gaming industry between 2012 and 2014 over the average of the previous 5 years; the boost directly attributable to the PS5 release in 2020 is obscured by lockdown-driven entertainment spending pull forward to be used as a driver: https://www.visualcapitalist.com/video-game-industry-revenue-over-time#:~:text=Video%20Game%20Revenues%20Double%20in%20the%202010s" xr:uid="{FD709DDE-D460-4755-983C-EBAFBAEF3E34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F837F-D3D9-4292-A117-DD282846AC5F}">
  <dimension ref="C2:Q27"/>
  <sheetViews>
    <sheetView showGridLines="0" zoomScale="113" workbookViewId="0">
      <selection activeCell="D27" sqref="D27:H27"/>
    </sheetView>
  </sheetViews>
  <sheetFormatPr baseColWidth="10" defaultColWidth="8.6640625" defaultRowHeight="14" x14ac:dyDescent="0.15"/>
  <cols>
    <col min="1" max="2" width="8.6640625" style="229"/>
    <col min="3" max="3" width="24.33203125" style="229" bestFit="1" customWidth="1"/>
    <col min="4" max="8" width="9.5" style="229" bestFit="1" customWidth="1"/>
    <col min="9" max="11" width="8.6640625" style="229"/>
    <col min="12" max="12" width="39.6640625" style="229" bestFit="1" customWidth="1"/>
    <col min="13" max="16384" width="8.6640625" style="229"/>
  </cols>
  <sheetData>
    <row r="2" spans="3:17" x14ac:dyDescent="0.15">
      <c r="C2" s="149"/>
      <c r="D2" s="332">
        <v>2026</v>
      </c>
      <c r="E2" s="332">
        <f>D2+1</f>
        <v>2027</v>
      </c>
      <c r="F2" s="332">
        <f t="shared" ref="F2:H2" si="0">E2+1</f>
        <v>2028</v>
      </c>
      <c r="G2" s="332">
        <f t="shared" si="0"/>
        <v>2029</v>
      </c>
      <c r="H2" s="332">
        <f t="shared" si="0"/>
        <v>2030</v>
      </c>
      <c r="I2" s="151" t="s">
        <v>280</v>
      </c>
      <c r="M2" s="332">
        <v>2026</v>
      </c>
      <c r="N2" s="332">
        <f>M2+1</f>
        <v>2027</v>
      </c>
      <c r="O2" s="332">
        <f t="shared" ref="O2:Q2" si="1">N2+1</f>
        <v>2028</v>
      </c>
      <c r="P2" s="332">
        <f t="shared" si="1"/>
        <v>2029</v>
      </c>
      <c r="Q2" s="332">
        <f t="shared" si="1"/>
        <v>2030</v>
      </c>
    </row>
    <row r="3" spans="3:17" x14ac:dyDescent="0.15">
      <c r="C3" s="336" t="s">
        <v>2</v>
      </c>
      <c r="D3" s="338">
        <f>'Segment Revenue Build'!L2</f>
        <v>19334.999165939051</v>
      </c>
      <c r="E3" s="338">
        <f>'Segment Revenue Build'!M2</f>
        <v>19681.254879754473</v>
      </c>
      <c r="F3" s="338">
        <f>'Segment Revenue Build'!N2</f>
        <v>20033.416093720203</v>
      </c>
      <c r="G3" s="338">
        <f>'Segment Revenue Build'!O2</f>
        <v>20123.959442683212</v>
      </c>
      <c r="H3" s="338">
        <f>'Segment Revenue Build'!P2</f>
        <v>20073.05078748611</v>
      </c>
      <c r="I3" s="337">
        <f>(H3/D3)^(1/COUNTA(D2:H2))-1</f>
        <v>7.5203925080080669E-3</v>
      </c>
      <c r="L3" s="336" t="s">
        <v>2</v>
      </c>
      <c r="M3" s="336"/>
      <c r="N3" s="336"/>
      <c r="O3" s="336"/>
      <c r="P3" s="336"/>
      <c r="Q3" s="336"/>
    </row>
    <row r="4" spans="3:17" x14ac:dyDescent="0.15">
      <c r="C4" s="331" t="s">
        <v>242</v>
      </c>
      <c r="D4" s="334">
        <f>D3/'Segment Revenue Build'!K2-1</f>
        <v>3.5008787856059653E-2</v>
      </c>
      <c r="E4" s="334">
        <f>E3/D3-1</f>
        <v>1.7908235259993965E-2</v>
      </c>
      <c r="F4" s="334">
        <f t="shared" ref="F4:H4" si="2">F3/E3-1</f>
        <v>1.7893229680592482E-2</v>
      </c>
      <c r="G4" s="334">
        <f t="shared" si="2"/>
        <v>4.5196160524709761E-3</v>
      </c>
      <c r="H4" s="334">
        <f t="shared" si="2"/>
        <v>-2.529753418659908E-3</v>
      </c>
      <c r="L4" s="331" t="s">
        <v>377</v>
      </c>
      <c r="M4" s="340">
        <f>'Segment Revenue Build'!L34</f>
        <v>47943.155198453831</v>
      </c>
      <c r="N4" s="340">
        <f>'Segment Revenue Build'!M34</f>
        <v>48614.359371232182</v>
      </c>
      <c r="O4" s="340">
        <f>'Segment Revenue Build'!N34</f>
        <v>49294.960402429431</v>
      </c>
      <c r="P4" s="340">
        <f>'Segment Revenue Build'!O34</f>
        <v>49985.089848063442</v>
      </c>
      <c r="Q4" s="340">
        <f>'Segment Revenue Build'!P34</f>
        <v>50684.881105936329</v>
      </c>
    </row>
    <row r="5" spans="3:17" x14ac:dyDescent="0.15">
      <c r="D5" s="339"/>
      <c r="E5" s="339"/>
      <c r="F5" s="339"/>
      <c r="G5" s="339"/>
      <c r="H5" s="339"/>
      <c r="L5" s="331" t="s">
        <v>375</v>
      </c>
      <c r="M5" s="333">
        <f>'Segment Revenue Build'!L31</f>
        <v>0.31</v>
      </c>
      <c r="N5" s="333">
        <f>'Segment Revenue Build'!M31</f>
        <v>0.5</v>
      </c>
      <c r="O5" s="333">
        <f>'Segment Revenue Build'!N31</f>
        <v>0.72</v>
      </c>
      <c r="P5" s="333">
        <f>'Segment Revenue Build'!O31</f>
        <v>0.94</v>
      </c>
      <c r="Q5" s="333">
        <f>'Segment Revenue Build'!P31</f>
        <v>1</v>
      </c>
    </row>
    <row r="6" spans="3:17" x14ac:dyDescent="0.15">
      <c r="C6" s="336" t="s">
        <v>372</v>
      </c>
      <c r="D6" s="338">
        <f>'Segment Revenue Build'!L3</f>
        <v>11309.349999999999</v>
      </c>
      <c r="E6" s="338">
        <f>'Segment Revenue Build'!M3</f>
        <v>10601.027552631576</v>
      </c>
      <c r="F6" s="338">
        <f>'Segment Revenue Build'!N3</f>
        <v>9937.0684585457038</v>
      </c>
      <c r="G6" s="338">
        <f>'Segment Revenue Build'!O3</f>
        <v>9314.6941708788927</v>
      </c>
      <c r="H6" s="338">
        <f>'Segment Revenue Build'!P3</f>
        <v>8731.3001675448977</v>
      </c>
      <c r="I6" s="337">
        <f>(H6/D6)^(1/COUNTA($D$2:$H$2))-1</f>
        <v>-5.0427224456772723E-2</v>
      </c>
      <c r="L6" s="331" t="s">
        <v>376</v>
      </c>
      <c r="M6" s="333">
        <f>'Segment Revenue Build'!L32</f>
        <v>0.1</v>
      </c>
      <c r="N6" s="333">
        <f>'Segment Revenue Build'!M32</f>
        <v>0.1</v>
      </c>
      <c r="O6" s="333">
        <f>'Segment Revenue Build'!N32</f>
        <v>0.1</v>
      </c>
      <c r="P6" s="333">
        <f>'Segment Revenue Build'!O32</f>
        <v>6.666666666666668E-2</v>
      </c>
      <c r="Q6" s="333">
        <f>'Segment Revenue Build'!P32</f>
        <v>3.3333333333333347E-2</v>
      </c>
    </row>
    <row r="7" spans="3:17" x14ac:dyDescent="0.15">
      <c r="C7" s="331" t="s">
        <v>242</v>
      </c>
      <c r="D7" s="334">
        <f>'Segment Revenue Build'!L3/'Segment Revenue Build'!K3-1</f>
        <v>-6.2631578947368594E-2</v>
      </c>
      <c r="E7" s="334">
        <f>E6/D6-1</f>
        <v>-6.2631578947368483E-2</v>
      </c>
      <c r="F7" s="334">
        <f t="shared" ref="F7" si="3">F6/E6-1</f>
        <v>-6.2631578947368483E-2</v>
      </c>
      <c r="G7" s="334">
        <f t="shared" ref="G7" si="4">G6/F6-1</f>
        <v>-6.2631578947368594E-2</v>
      </c>
      <c r="H7" s="334">
        <f t="shared" ref="H7" si="5">H6/G6-1</f>
        <v>-6.2631578947368594E-2</v>
      </c>
      <c r="L7" s="331" t="s">
        <v>8</v>
      </c>
      <c r="M7" s="333">
        <f>'Segment Revenue Build'!L33</f>
        <v>1.4E-2</v>
      </c>
      <c r="N7" s="333">
        <f>'Segment Revenue Build'!M33</f>
        <v>1.4E-2</v>
      </c>
      <c r="O7" s="333">
        <f>'Segment Revenue Build'!N33</f>
        <v>1.4E-2</v>
      </c>
      <c r="P7" s="333">
        <f>'Segment Revenue Build'!O33</f>
        <v>1.4E-2</v>
      </c>
      <c r="Q7" s="333">
        <f>'Segment Revenue Build'!P33</f>
        <v>1.4E-2</v>
      </c>
    </row>
    <row r="8" spans="3:17" x14ac:dyDescent="0.15">
      <c r="D8" s="339"/>
      <c r="E8" s="339"/>
      <c r="F8" s="339"/>
      <c r="G8" s="339"/>
      <c r="H8" s="339"/>
      <c r="L8" s="331" t="s">
        <v>33</v>
      </c>
      <c r="M8" s="333">
        <f>'Segment Revenue Build'!L36</f>
        <v>0.39500000000000002</v>
      </c>
      <c r="N8" s="333">
        <f>'Segment Revenue Build'!M36</f>
        <v>0.39500000000000002</v>
      </c>
      <c r="O8" s="333">
        <f>'Segment Revenue Build'!N36</f>
        <v>0.39500000000000002</v>
      </c>
      <c r="P8" s="333">
        <f>'Segment Revenue Build'!O36</f>
        <v>0.39500000000000002</v>
      </c>
      <c r="Q8" s="333">
        <f>'Segment Revenue Build'!P36</f>
        <v>0.39500000000000002</v>
      </c>
    </row>
    <row r="9" spans="3:17" x14ac:dyDescent="0.15">
      <c r="C9" s="336" t="s">
        <v>5</v>
      </c>
      <c r="D9" s="338">
        <f>'Segment Revenue Build'!L8</f>
        <v>4310.8502848610151</v>
      </c>
      <c r="E9" s="338">
        <f>'Segment Revenue Build'!M8</f>
        <v>3922.7826500514107</v>
      </c>
      <c r="F9" s="338">
        <f>'Segment Revenue Build'!N8</f>
        <v>3695.1990757826457</v>
      </c>
      <c r="G9" s="338">
        <f>'Segment Revenue Build'!O8</f>
        <v>3599.0848510740734</v>
      </c>
      <c r="H9" s="338">
        <f>'Segment Revenue Build'!P8</f>
        <v>3620.6603436513255</v>
      </c>
      <c r="I9" s="337">
        <f>(H9/D9)^(1/COUNTA($D$2:$H$2))-1</f>
        <v>-3.4293912576295882E-2</v>
      </c>
      <c r="L9" s="331" t="s">
        <v>34</v>
      </c>
      <c r="M9" s="333">
        <f>'Segment Revenue Build'!L37</f>
        <v>0.52538417757087941</v>
      </c>
      <c r="N9" s="333">
        <f>'Segment Revenue Build'!M37</f>
        <v>0.52538417757087941</v>
      </c>
      <c r="O9" s="333">
        <f>'Segment Revenue Build'!N37</f>
        <v>0.52538417757087941</v>
      </c>
      <c r="P9" s="333">
        <f>'Segment Revenue Build'!O37</f>
        <v>0.52538417757087941</v>
      </c>
      <c r="Q9" s="333">
        <f>'Segment Revenue Build'!P37</f>
        <v>0.52538417757087941</v>
      </c>
    </row>
    <row r="10" spans="3:17" x14ac:dyDescent="0.15">
      <c r="C10" s="331" t="s">
        <v>242</v>
      </c>
      <c r="D10" s="334">
        <f>D9/'Segment Revenue Build'!K8-1</f>
        <v>-0.12202641856191143</v>
      </c>
      <c r="E10" s="334">
        <f>E9/D9-1</f>
        <v>-9.0021134849529116E-2</v>
      </c>
      <c r="F10" s="334">
        <f t="shared" ref="F10" si="6">F9/E9-1</f>
        <v>-5.8015851137146801E-2</v>
      </c>
      <c r="G10" s="334">
        <f t="shared" ref="G10" si="7">G9/F9-1</f>
        <v>-2.6010567424764597E-2</v>
      </c>
      <c r="H10" s="334">
        <f t="shared" ref="H10" si="8">H9/G9-1</f>
        <v>5.9947162876177185E-3</v>
      </c>
    </row>
    <row r="11" spans="3:17" x14ac:dyDescent="0.15">
      <c r="D11" s="339"/>
      <c r="E11" s="339"/>
      <c r="F11" s="339"/>
      <c r="G11" s="339"/>
      <c r="H11" s="339"/>
      <c r="L11" s="336" t="s">
        <v>372</v>
      </c>
      <c r="M11" s="336"/>
      <c r="N11" s="336"/>
      <c r="O11" s="336"/>
      <c r="P11" s="336"/>
      <c r="Q11" s="336"/>
    </row>
    <row r="12" spans="3:17" x14ac:dyDescent="0.15">
      <c r="C12" s="336" t="s">
        <v>6</v>
      </c>
      <c r="D12" s="338">
        <f>'Segment Revenue Build'!L10</f>
        <v>2861.1250900915866</v>
      </c>
      <c r="E12" s="338">
        <f>'Segment Revenue Build'!M10</f>
        <v>3043.8957778921927</v>
      </c>
      <c r="F12" s="338">
        <f>'Segment Revenue Build'!N10</f>
        <v>3238.3419860797935</v>
      </c>
      <c r="G12" s="338">
        <f>'Segment Revenue Build'!O10</f>
        <v>3186.1421962413747</v>
      </c>
      <c r="H12" s="338">
        <f>'Segment Revenue Build'!P10</f>
        <v>3134.7838302151681</v>
      </c>
      <c r="I12" s="337">
        <f>(H12/D12)^(1/COUNTA($D$2:$H$2))-1</f>
        <v>1.8436956594594101E-2</v>
      </c>
      <c r="L12" s="331" t="s">
        <v>8</v>
      </c>
      <c r="M12" s="333">
        <f>'Segment Revenue Build'!L5</f>
        <v>-0.01</v>
      </c>
      <c r="N12" s="333">
        <f>'Segment Revenue Build'!M5</f>
        <v>-0.01</v>
      </c>
      <c r="O12" s="333">
        <f>'Segment Revenue Build'!N5</f>
        <v>-0.01</v>
      </c>
      <c r="P12" s="333">
        <f>'Segment Revenue Build'!O5</f>
        <v>-0.01</v>
      </c>
      <c r="Q12" s="333">
        <f>'Segment Revenue Build'!P5</f>
        <v>-0.01</v>
      </c>
    </row>
    <row r="13" spans="3:17" x14ac:dyDescent="0.15">
      <c r="C13" s="331" t="s">
        <v>242</v>
      </c>
      <c r="D13" s="334">
        <f>D12/'Segment Revenue Build'!K10-1</f>
        <v>-1.6119295016648327E-2</v>
      </c>
      <c r="E13" s="334">
        <f>E12/D12-1</f>
        <v>6.3880704983351633E-2</v>
      </c>
      <c r="F13" s="334">
        <f t="shared" ref="F13" si="9">F12/E12-1</f>
        <v>6.3880704983351633E-2</v>
      </c>
      <c r="G13" s="334">
        <f t="shared" ref="G13" si="10">G12/F12-1</f>
        <v>-1.6119295016648216E-2</v>
      </c>
      <c r="H13" s="334">
        <f t="shared" ref="H13" si="11">H12/G12-1</f>
        <v>-1.6119295016648327E-2</v>
      </c>
      <c r="L13" s="331" t="s">
        <v>361</v>
      </c>
      <c r="M13" s="333">
        <f>'Segment Revenue Build'!L6</f>
        <v>0</v>
      </c>
      <c r="N13" s="333">
        <f>'Segment Revenue Build'!M6</f>
        <v>0</v>
      </c>
      <c r="O13" s="333">
        <f>'Segment Revenue Build'!N6</f>
        <v>0</v>
      </c>
      <c r="P13" s="333">
        <f>'Segment Revenue Build'!O6</f>
        <v>0</v>
      </c>
      <c r="Q13" s="333">
        <f>'Segment Revenue Build'!P6</f>
        <v>0</v>
      </c>
    </row>
    <row r="14" spans="3:17" x14ac:dyDescent="0.15">
      <c r="D14" s="339"/>
      <c r="E14" s="339"/>
      <c r="F14" s="339"/>
      <c r="G14" s="339"/>
      <c r="H14" s="339"/>
      <c r="L14" s="331" t="s">
        <v>374</v>
      </c>
      <c r="M14" s="333">
        <f>'Segment Revenue Build'!L7</f>
        <v>-5.2631578947368439E-2</v>
      </c>
      <c r="N14" s="333">
        <f>'Segment Revenue Build'!M7</f>
        <v>-5.2631578947368439E-2</v>
      </c>
      <c r="O14" s="333">
        <f>'Segment Revenue Build'!N7</f>
        <v>-5.2631578947368439E-2</v>
      </c>
      <c r="P14" s="333">
        <f>'Segment Revenue Build'!O7</f>
        <v>-5.2631578947368439E-2</v>
      </c>
      <c r="Q14" s="333">
        <f>'Segment Revenue Build'!P7</f>
        <v>-5.2631578947368439E-2</v>
      </c>
    </row>
    <row r="15" spans="3:17" x14ac:dyDescent="0.15">
      <c r="C15" s="336" t="s">
        <v>10</v>
      </c>
      <c r="D15" s="338">
        <f>'Segment Revenue Build'!L15</f>
        <v>2729.6558633462528</v>
      </c>
      <c r="E15" s="338">
        <f>'Segment Revenue Build'!M15</f>
        <v>2786.9858219492144</v>
      </c>
      <c r="F15" s="338">
        <f>'Segment Revenue Build'!N15</f>
        <v>2826.0940392202147</v>
      </c>
      <c r="G15" s="338">
        <f>'Segment Revenue Build'!O15</f>
        <v>2816.4896129418639</v>
      </c>
      <c r="H15" s="338">
        <f>'Segment Revenue Build'!P15</f>
        <v>2792.6576261207856</v>
      </c>
      <c r="I15" s="337">
        <f>(H15/D15)^(1/COUNTA($D$2:$H$2))-1</f>
        <v>4.5740597684822415E-3</v>
      </c>
    </row>
    <row r="16" spans="3:17" x14ac:dyDescent="0.15">
      <c r="C16" s="331" t="s">
        <v>242</v>
      </c>
      <c r="D16" s="334">
        <f>D15/'Segment Revenue Build'!K15-1</f>
        <v>3.7497477516629685E-2</v>
      </c>
      <c r="E16" s="334">
        <f>E15/D15-1</f>
        <v>2.100263237310851E-2</v>
      </c>
      <c r="F16" s="334">
        <f t="shared" ref="F16" si="12">F15/E15-1</f>
        <v>1.403244213264343E-2</v>
      </c>
      <c r="G16" s="334">
        <f t="shared" ref="G16" si="13">G15/F15-1</f>
        <v>-3.3984807812696971E-3</v>
      </c>
      <c r="H16" s="334">
        <f t="shared" ref="H16" si="14">H15/G15-1</f>
        <v>-8.4615922997086646E-3</v>
      </c>
      <c r="L16" s="336" t="s">
        <v>6</v>
      </c>
      <c r="M16" s="336"/>
      <c r="N16" s="336"/>
      <c r="O16" s="336"/>
      <c r="P16" s="336"/>
      <c r="Q16" s="336"/>
    </row>
    <row r="17" spans="3:17" x14ac:dyDescent="0.15">
      <c r="D17" s="339"/>
      <c r="E17" s="339"/>
      <c r="F17" s="339"/>
      <c r="G17" s="339"/>
      <c r="H17" s="339"/>
      <c r="L17" s="331" t="s">
        <v>8</v>
      </c>
      <c r="M17" s="333">
        <f>'Segment Revenue Build'!L11</f>
        <v>-1.6119295016648327E-2</v>
      </c>
      <c r="N17" s="333">
        <f>'Segment Revenue Build'!M11</f>
        <v>6.3880704983351674E-2</v>
      </c>
      <c r="O17" s="333">
        <f>'Segment Revenue Build'!N11</f>
        <v>6.3880704983351674E-2</v>
      </c>
      <c r="P17" s="333">
        <f>'Segment Revenue Build'!O11</f>
        <v>-1.6119295016648327E-2</v>
      </c>
      <c r="Q17" s="333">
        <f>'Segment Revenue Build'!P11</f>
        <v>-1.6119295016648327E-2</v>
      </c>
    </row>
    <row r="18" spans="3:17" x14ac:dyDescent="0.15">
      <c r="C18" s="336" t="s">
        <v>15</v>
      </c>
      <c r="D18" s="338">
        <f>'Segment Revenue Build'!L20</f>
        <v>0</v>
      </c>
      <c r="E18" s="338">
        <f>'Segment Revenue Build'!M20</f>
        <v>78.297992677897696</v>
      </c>
      <c r="F18" s="338">
        <f>'Segment Revenue Build'!N20</f>
        <v>275.61502605518933</v>
      </c>
      <c r="G18" s="338">
        <f>'Segment Revenue Build'!O20</f>
        <v>488.43970335332591</v>
      </c>
      <c r="H18" s="338">
        <f>'Segment Revenue Build'!P20</f>
        <v>717.75394276525401</v>
      </c>
      <c r="I18" s="337">
        <f>(H18/E18)^(1/COUNTA($E$2:$H$2))-1</f>
        <v>0.74002801115392502</v>
      </c>
      <c r="L18" s="331" t="s">
        <v>361</v>
      </c>
      <c r="M18" s="333">
        <f>'Segment Revenue Build'!L12</f>
        <v>2.5214038316685006E-2</v>
      </c>
      <c r="N18" s="333">
        <f>'Segment Revenue Build'!M12</f>
        <v>2.5214038316685006E-2</v>
      </c>
      <c r="O18" s="333">
        <f>'Segment Revenue Build'!N12</f>
        <v>2.5214038316685006E-2</v>
      </c>
      <c r="P18" s="333">
        <f>'Segment Revenue Build'!O12</f>
        <v>2.5214038316685006E-2</v>
      </c>
      <c r="Q18" s="333">
        <f>'Segment Revenue Build'!P12</f>
        <v>2.5214038316685006E-2</v>
      </c>
    </row>
    <row r="19" spans="3:17" x14ac:dyDescent="0.15">
      <c r="C19" s="331" t="s">
        <v>242</v>
      </c>
      <c r="D19" s="334" t="s">
        <v>243</v>
      </c>
      <c r="E19" s="334" t="s">
        <v>243</v>
      </c>
      <c r="F19" s="334">
        <f t="shared" ref="F19" si="15">F18/E18-1</f>
        <v>2.5200778031311031</v>
      </c>
      <c r="G19" s="334">
        <f t="shared" ref="G19" si="16">G18/F18-1</f>
        <v>0.77218096685164195</v>
      </c>
      <c r="H19" s="334">
        <f t="shared" ref="H19" si="17">H18/G18-1</f>
        <v>0.46948320916092179</v>
      </c>
    </row>
    <row r="20" spans="3:17" x14ac:dyDescent="0.15">
      <c r="D20" s="339"/>
      <c r="E20" s="339"/>
      <c r="F20" s="339"/>
      <c r="G20" s="339"/>
      <c r="H20" s="339"/>
      <c r="L20" s="336" t="s">
        <v>15</v>
      </c>
      <c r="M20" s="336"/>
      <c r="N20" s="336"/>
      <c r="O20" s="336"/>
      <c r="P20" s="336"/>
      <c r="Q20" s="336"/>
    </row>
    <row r="21" spans="3:17" x14ac:dyDescent="0.15">
      <c r="C21" s="336" t="s">
        <v>373</v>
      </c>
      <c r="D21" s="338">
        <f>'Segment Revenue Build'!L21</f>
        <v>0</v>
      </c>
      <c r="E21" s="338">
        <f>'Segment Revenue Build'!M21</f>
        <v>111.80711647307001</v>
      </c>
      <c r="F21" s="338">
        <f>'Segment Revenue Build'!N21</f>
        <v>393.5697489289476</v>
      </c>
      <c r="G21" s="338">
        <f>'Segment Revenue Build'!O21</f>
        <v>697.47681818046044</v>
      </c>
      <c r="H21" s="338">
        <f>'Segment Revenue Build'!P21</f>
        <v>1024.9304730951717</v>
      </c>
      <c r="I21" s="337">
        <f>(H21/E21)^(1/COUNTA($E$2:$H$2))-1</f>
        <v>0.74002801115392502</v>
      </c>
      <c r="L21" s="331" t="s">
        <v>379</v>
      </c>
      <c r="M21" s="340">
        <f>'Segment Revenue Build'!L42</f>
        <v>200019.90022460645</v>
      </c>
      <c r="N21" s="340">
        <f>'Segment Revenue Build'!M42</f>
        <v>208809.81464437119</v>
      </c>
      <c r="O21" s="340">
        <f>'Segment Revenue Build'!N42</f>
        <v>217986.00360691908</v>
      </c>
      <c r="P21" s="340">
        <f>'Segment Revenue Build'!O42</f>
        <v>227565.4420240953</v>
      </c>
      <c r="Q21" s="340">
        <f>'Segment Revenue Build'!P42</f>
        <v>237565.85077363261</v>
      </c>
    </row>
    <row r="22" spans="3:17" x14ac:dyDescent="0.15">
      <c r="C22" s="331" t="s">
        <v>242</v>
      </c>
      <c r="D22" s="334" t="s">
        <v>243</v>
      </c>
      <c r="E22" s="334" t="s">
        <v>243</v>
      </c>
      <c r="F22" s="334">
        <f t="shared" ref="F22" si="18">F21/E21-1</f>
        <v>2.5200778031311026</v>
      </c>
      <c r="G22" s="334">
        <f t="shared" ref="G22" si="19">G21/F21-1</f>
        <v>0.77218096685164217</v>
      </c>
      <c r="H22" s="334">
        <f t="shared" ref="H22" si="20">H21/G21-1</f>
        <v>0.46948320916092179</v>
      </c>
      <c r="L22" s="331" t="s">
        <v>378</v>
      </c>
      <c r="M22" s="333">
        <f>'Segment Revenue Build'!L45</f>
        <v>4.394519950212139E-2</v>
      </c>
      <c r="N22" s="333">
        <f>'Segment Revenue Build'!M45</f>
        <v>4.394519950212139E-2</v>
      </c>
      <c r="O22" s="333">
        <f>'Segment Revenue Build'!N45</f>
        <v>4.394519950212139E-2</v>
      </c>
      <c r="P22" s="333">
        <f>'Segment Revenue Build'!O45</f>
        <v>4.394519950212139E-2</v>
      </c>
      <c r="Q22" s="333">
        <f>'Segment Revenue Build'!P45</f>
        <v>4.394519950212139E-2</v>
      </c>
    </row>
    <row r="23" spans="3:17" x14ac:dyDescent="0.15">
      <c r="D23" s="339"/>
      <c r="E23" s="339"/>
      <c r="F23" s="339"/>
      <c r="G23" s="339"/>
      <c r="H23" s="339"/>
      <c r="L23" s="331" t="s">
        <v>46</v>
      </c>
      <c r="M23" s="333">
        <f>'Segment Revenue Build'!L46</f>
        <v>0</v>
      </c>
      <c r="N23" s="333">
        <f>'Segment Revenue Build'!M46</f>
        <v>6.7818371607515651E-2</v>
      </c>
      <c r="O23" s="333">
        <f>'Segment Revenue Build'!N46</f>
        <v>7.8456547545949482E-2</v>
      </c>
      <c r="P23" s="333">
        <f>'Segment Revenue Build'!O46</f>
        <v>8.9094723484383312E-2</v>
      </c>
      <c r="Q23" s="333">
        <f>'Segment Revenue Build'!P46</f>
        <v>9.9732899422817156E-2</v>
      </c>
    </row>
    <row r="24" spans="3:17" x14ac:dyDescent="0.15">
      <c r="C24" s="336" t="s">
        <v>13</v>
      </c>
      <c r="D24" s="338">
        <f>'Segment Revenue Build'!L18</f>
        <v>358.27070153292163</v>
      </c>
      <c r="E24" s="338">
        <f>'Segment Revenue Build'!M18</f>
        <v>385.45914587655199</v>
      </c>
      <c r="F24" s="338">
        <f>'Segment Revenue Build'!N18</f>
        <v>414.71086668310227</v>
      </c>
      <c r="G24" s="338">
        <f>'Segment Revenue Build'!O18</f>
        <v>446.18244186150446</v>
      </c>
      <c r="H24" s="338">
        <f>'Segment Revenue Build'!P18</f>
        <v>480.04233170388358</v>
      </c>
      <c r="I24" s="337">
        <f>(H24/E24)^(1/COUNTA($E$2:$H$2))-1</f>
        <v>5.6392466544314512E-2</v>
      </c>
    </row>
    <row r="25" spans="3:17" x14ac:dyDescent="0.15">
      <c r="C25" s="331" t="s">
        <v>242</v>
      </c>
      <c r="D25" s="334">
        <f>D24/'Segment Revenue Build'!K18-1</f>
        <v>7.5887992591356257E-2</v>
      </c>
      <c r="E25" s="334">
        <f t="shared" ref="E25:F25" si="21">E24/D24-1</f>
        <v>7.5887992591356257E-2</v>
      </c>
      <c r="F25" s="334">
        <f t="shared" si="21"/>
        <v>7.5887992591356257E-2</v>
      </c>
      <c r="G25" s="334">
        <f t="shared" ref="G25" si="22">G24/F24-1</f>
        <v>7.5887992591356257E-2</v>
      </c>
      <c r="H25" s="334">
        <f t="shared" ref="H25" si="23">H24/G24-1</f>
        <v>7.5887992591356257E-2</v>
      </c>
      <c r="L25" s="336" t="s">
        <v>373</v>
      </c>
      <c r="M25" s="336"/>
      <c r="N25" s="336"/>
      <c r="O25" s="336"/>
      <c r="P25" s="336"/>
      <c r="Q25" s="336"/>
    </row>
    <row r="26" spans="3:17" x14ac:dyDescent="0.15">
      <c r="D26" s="339"/>
      <c r="E26" s="339"/>
      <c r="F26" s="339"/>
      <c r="G26" s="339"/>
      <c r="H26" s="339"/>
      <c r="L26" s="331" t="s">
        <v>65</v>
      </c>
      <c r="M26" s="333">
        <f>'Segment Revenue Build'!M64</f>
        <v>9.5795673814224075E-2</v>
      </c>
      <c r="N26" s="333">
        <f>'Segment Revenue Build'!N64</f>
        <v>9.5795673814224075E-2</v>
      </c>
      <c r="O26" s="333">
        <f>'Segment Revenue Build'!O64</f>
        <v>9.5795673814224075E-2</v>
      </c>
      <c r="P26" s="333">
        <f>'Segment Revenue Build'!P64</f>
        <v>9.5795673814224075E-2</v>
      </c>
      <c r="Q26" s="333">
        <f>'Segment Revenue Build'!Q64</f>
        <v>9.5795673814224075E-2</v>
      </c>
    </row>
    <row r="27" spans="3:17" x14ac:dyDescent="0.15">
      <c r="C27" s="336" t="s">
        <v>129</v>
      </c>
      <c r="D27" s="338">
        <f>SUM(D3,D6,D9,D12,D15,D18,D21,D24)</f>
        <v>40904.251105770825</v>
      </c>
      <c r="E27" s="338">
        <f t="shared" ref="E27:H27" si="24">SUM(E3,E6,E9,E12,E15,E18,E21,E24)</f>
        <v>40611.51093730639</v>
      </c>
      <c r="F27" s="338">
        <f t="shared" si="24"/>
        <v>40814.015295015801</v>
      </c>
      <c r="G27" s="338">
        <f t="shared" si="24"/>
        <v>40672.469237214711</v>
      </c>
      <c r="H27" s="338">
        <f t="shared" si="24"/>
        <v>40575.179502582592</v>
      </c>
      <c r="I27" s="337">
        <f>(H27/D27)^(1/COUNTA($D$2:$H$2))-1</f>
        <v>-1.6141876560307189E-3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966"/>
  <sheetViews>
    <sheetView showGridLines="0" zoomScaleNormal="120" workbookViewId="0">
      <pane ySplit="3" topLeftCell="A154" activePane="bottomLeft" state="frozen"/>
      <selection activeCell="R82" sqref="R82"/>
      <selection pane="bottomLeft" activeCell="W158" sqref="W158:X169"/>
    </sheetView>
  </sheetViews>
  <sheetFormatPr baseColWidth="10" defaultColWidth="14.33203125" defaultRowHeight="15" customHeight="1" outlineLevelRow="2" outlineLevelCol="1" x14ac:dyDescent="0.2"/>
  <cols>
    <col min="1" max="1" width="32.83203125" customWidth="1"/>
    <col min="2" max="2" width="12.33203125" customWidth="1"/>
    <col min="3" max="3" width="11.1640625" customWidth="1"/>
    <col min="4" max="8" width="11.6640625" customWidth="1"/>
    <col min="9" max="13" width="17" customWidth="1"/>
    <col min="14" max="18" width="17" hidden="1" customWidth="1" outlineLevel="1"/>
    <col min="19" max="19" width="9.1640625" customWidth="1" collapsed="1"/>
    <col min="20" max="25" width="9.1640625" customWidth="1"/>
  </cols>
  <sheetData>
    <row r="1" spans="1:25" ht="16" x14ac:dyDescent="0.2">
      <c r="A1" s="386" t="s">
        <v>0</v>
      </c>
      <c r="B1" s="386"/>
      <c r="C1" s="386"/>
      <c r="D1" s="385" t="s">
        <v>102</v>
      </c>
      <c r="E1" s="385"/>
      <c r="F1" s="385"/>
      <c r="G1" s="385"/>
      <c r="H1" s="385"/>
      <c r="I1" s="197" t="s">
        <v>103</v>
      </c>
      <c r="J1" s="197"/>
      <c r="K1" s="197"/>
      <c r="L1" s="197"/>
      <c r="M1" s="197"/>
      <c r="N1" s="197"/>
      <c r="O1" s="197"/>
      <c r="P1" s="197"/>
      <c r="Q1" s="197"/>
      <c r="R1" s="197"/>
      <c r="S1" s="1"/>
      <c r="T1" s="1"/>
      <c r="U1" s="1"/>
      <c r="V1" s="1"/>
      <c r="W1" s="1"/>
      <c r="X1" s="1"/>
      <c r="Y1" s="1"/>
    </row>
    <row r="2" spans="1:25" ht="24" customHeight="1" x14ac:dyDescent="0.2">
      <c r="A2" s="386"/>
      <c r="B2" s="386"/>
      <c r="C2" s="386"/>
      <c r="D2" s="144">
        <v>2021</v>
      </c>
      <c r="E2" s="144">
        <f t="shared" ref="E2:L2" si="0">+D2+1</f>
        <v>2022</v>
      </c>
      <c r="F2" s="144">
        <f t="shared" si="0"/>
        <v>2023</v>
      </c>
      <c r="G2" s="144">
        <f t="shared" si="0"/>
        <v>2024</v>
      </c>
      <c r="H2" s="145">
        <f t="shared" si="0"/>
        <v>2025</v>
      </c>
      <c r="I2" s="146">
        <f t="shared" si="0"/>
        <v>2026</v>
      </c>
      <c r="J2" s="146">
        <f t="shared" si="0"/>
        <v>2027</v>
      </c>
      <c r="K2" s="146">
        <f t="shared" si="0"/>
        <v>2028</v>
      </c>
      <c r="L2" s="146">
        <f t="shared" si="0"/>
        <v>2029</v>
      </c>
      <c r="M2" s="146">
        <f t="shared" ref="M2" si="1">+L2+1</f>
        <v>2030</v>
      </c>
      <c r="N2" s="146">
        <f t="shared" ref="N2" si="2">+M2+1</f>
        <v>2031</v>
      </c>
      <c r="O2" s="146">
        <f t="shared" ref="O2" si="3">+N2+1</f>
        <v>2032</v>
      </c>
      <c r="P2" s="146">
        <f t="shared" ref="P2" si="4">+O2+1</f>
        <v>2033</v>
      </c>
      <c r="Q2" s="146">
        <f t="shared" ref="Q2:R2" si="5">+P2+1</f>
        <v>2034</v>
      </c>
      <c r="R2" s="146">
        <f t="shared" si="5"/>
        <v>2035</v>
      </c>
      <c r="S2" s="1"/>
      <c r="T2" s="1"/>
      <c r="U2" s="1"/>
      <c r="V2" s="1"/>
      <c r="W2" s="1"/>
      <c r="X2" s="1"/>
      <c r="Y2" s="1"/>
    </row>
    <row r="3" spans="1:25" ht="16" x14ac:dyDescent="0.2">
      <c r="A3" s="26" t="s">
        <v>104</v>
      </c>
      <c r="B3" s="26"/>
      <c r="C3" s="27"/>
      <c r="D3" s="28" t="str">
        <f t="shared" ref="D3:L3" si="6">IFERROR(IF(ABS(D99)&gt;1,"ERROR","OK"),"OK")</f>
        <v>OK</v>
      </c>
      <c r="E3" s="28" t="str">
        <f t="shared" si="6"/>
        <v>OK</v>
      </c>
      <c r="F3" s="28" t="str">
        <f t="shared" si="6"/>
        <v>OK</v>
      </c>
      <c r="G3" s="28" t="str">
        <f t="shared" si="6"/>
        <v>OK</v>
      </c>
      <c r="H3" s="28" t="str">
        <f t="shared" si="6"/>
        <v>OK</v>
      </c>
      <c r="I3" s="28" t="str">
        <f>IFERROR(IF(ABS(I99)&gt;1,"ERROR","OK"),"OK")</f>
        <v>OK</v>
      </c>
      <c r="J3" s="28" t="str">
        <f t="shared" si="6"/>
        <v>OK</v>
      </c>
      <c r="K3" s="28" t="str">
        <f t="shared" si="6"/>
        <v>OK</v>
      </c>
      <c r="L3" s="28" t="str">
        <f t="shared" si="6"/>
        <v>OK</v>
      </c>
      <c r="M3" s="28" t="str">
        <f t="shared" ref="M3:O3" si="7">IFERROR(IF(ABS(M99)&gt;1,"ERROR","OK"),"OK")</f>
        <v>OK</v>
      </c>
      <c r="N3" s="28" t="str">
        <f t="shared" si="7"/>
        <v>OK</v>
      </c>
      <c r="O3" s="28" t="str">
        <f t="shared" si="7"/>
        <v>OK</v>
      </c>
      <c r="P3" s="28" t="str">
        <f t="shared" ref="P3:Q3" si="8">IFERROR(IF(ABS(P99)&gt;1,"ERROR","OK"),"OK")</f>
        <v>OK</v>
      </c>
      <c r="Q3" s="28" t="str">
        <f t="shared" si="8"/>
        <v>OK</v>
      </c>
      <c r="R3" s="28" t="str">
        <f t="shared" ref="R3" si="9">IFERROR(IF(ABS(R99)&gt;1,"ERROR","OK"),"OK")</f>
        <v>OK</v>
      </c>
      <c r="S3" s="1"/>
      <c r="T3" s="1"/>
      <c r="U3" s="1"/>
      <c r="V3" s="1"/>
      <c r="W3" s="1"/>
      <c r="X3" s="1"/>
      <c r="Y3" s="1"/>
    </row>
    <row r="4" spans="1:25" ht="16" x14ac:dyDescent="0.2">
      <c r="A4" s="1"/>
      <c r="B4" s="1"/>
      <c r="C4" s="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56" customFormat="1" ht="20" x14ac:dyDescent="0.2">
      <c r="A5" s="54" t="s">
        <v>105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5"/>
      <c r="T5" s="55"/>
      <c r="U5" s="55"/>
      <c r="V5" s="55"/>
      <c r="W5" s="55"/>
      <c r="X5" s="55"/>
      <c r="Y5" s="55"/>
    </row>
    <row r="6" spans="1:25" ht="16" x14ac:dyDescent="0.2">
      <c r="A6" s="4"/>
      <c r="B6" s="1"/>
      <c r="C6" s="2"/>
      <c r="D6" s="1"/>
      <c r="E6" s="1"/>
      <c r="F6" s="1"/>
      <c r="G6" s="1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1"/>
      <c r="T6" s="1"/>
      <c r="U6" s="1"/>
      <c r="V6" s="1"/>
      <c r="W6" s="1"/>
      <c r="X6" s="1"/>
      <c r="Y6" s="1"/>
    </row>
    <row r="7" spans="1:25" ht="16" x14ac:dyDescent="0.2">
      <c r="A7" s="1" t="s">
        <v>106</v>
      </c>
      <c r="B7" s="1"/>
      <c r="C7" s="2"/>
      <c r="D7" s="116"/>
      <c r="E7" s="62">
        <f>E35/D35-1</f>
        <v>9.5192755279082553E-2</v>
      </c>
      <c r="F7" s="62">
        <f>F35/E35-1</f>
        <v>-0.10554278317652288</v>
      </c>
      <c r="G7" s="62">
        <f>G35/F35-1</f>
        <v>-6.1471337854766994E-2</v>
      </c>
      <c r="H7" s="62">
        <f>H35/G35-1</f>
        <v>-4.4278744361594402E-2</v>
      </c>
      <c r="I7" s="62">
        <f>SUM('Segment Revenue Build'!L21:L22)/SUM('Segment Revenue Build'!K21:K22)-1</f>
        <v>-1.5011444123778528E-2</v>
      </c>
      <c r="J7" s="62">
        <f>SUM('Segment Revenue Build'!M21:M22)/SUM('Segment Revenue Build'!L21:L22)-1</f>
        <v>-4.4233312455351781E-3</v>
      </c>
      <c r="K7" s="62">
        <f>SUM('Segment Revenue Build'!N21:N22)/SUM('Segment Revenue Build'!M21:M22)-1</f>
        <v>1.1891638827803197E-2</v>
      </c>
      <c r="L7" s="62">
        <f>SUM('Segment Revenue Build'!O21:O22)/SUM('Segment Revenue Build'!N21:N22)-1</f>
        <v>3.9400758689758231E-3</v>
      </c>
      <c r="M7" s="62">
        <f>SUM('Segment Revenue Build'!P21:P22)/SUM('Segment Revenue Build'!O21:O22)-1</f>
        <v>5.5635537927558598E-3</v>
      </c>
      <c r="N7" s="62">
        <f t="shared" ref="N7:R7" si="10">N36/M36-1</f>
        <v>-1</v>
      </c>
      <c r="O7" s="62" t="e">
        <f t="shared" si="10"/>
        <v>#DIV/0!</v>
      </c>
      <c r="P7" s="62" t="e">
        <f t="shared" si="10"/>
        <v>#DIV/0!</v>
      </c>
      <c r="Q7" s="62" t="e">
        <f t="shared" si="10"/>
        <v>#DIV/0!</v>
      </c>
      <c r="R7" s="62" t="e">
        <f t="shared" si="10"/>
        <v>#DIV/0!</v>
      </c>
      <c r="S7" s="1"/>
      <c r="T7" s="1"/>
      <c r="U7" s="1"/>
      <c r="V7" s="1"/>
      <c r="W7" s="1"/>
      <c r="X7" s="1"/>
      <c r="Y7" s="1"/>
    </row>
    <row r="8" spans="1:25" ht="16" x14ac:dyDescent="0.2">
      <c r="A8" s="1" t="s">
        <v>107</v>
      </c>
      <c r="B8" s="1"/>
      <c r="C8" s="2"/>
      <c r="D8" s="8">
        <f>D38/D35*-1</f>
        <v>0.7762896195675173</v>
      </c>
      <c r="E8" s="8">
        <f>E38/E35*-1</f>
        <v>0.77512026429164815</v>
      </c>
      <c r="F8" s="8">
        <f>F38/F35*-1</f>
        <v>0.78590867856062896</v>
      </c>
      <c r="G8" s="8">
        <f>G38/G35*-1</f>
        <v>0.7789975144987572</v>
      </c>
      <c r="H8" s="8">
        <f>H38/H35*-1</f>
        <v>0.7740078982854941</v>
      </c>
      <c r="I8" s="9">
        <f>1-9388/41825</f>
        <v>0.77554094441123733</v>
      </c>
      <c r="J8" s="8">
        <f>1-9529/42399</f>
        <v>0.77525413335220172</v>
      </c>
      <c r="K8" s="8">
        <f>1-9725/43223</f>
        <v>0.77500404877033058</v>
      </c>
      <c r="L8" s="8">
        <f t="shared" ref="L8:R8" si="11">K8</f>
        <v>0.77500404877033058</v>
      </c>
      <c r="M8" s="8">
        <f t="shared" si="11"/>
        <v>0.77500404877033058</v>
      </c>
      <c r="N8" s="8">
        <f t="shared" si="11"/>
        <v>0.77500404877033058</v>
      </c>
      <c r="O8" s="8">
        <f t="shared" si="11"/>
        <v>0.77500404877033058</v>
      </c>
      <c r="P8" s="8">
        <f t="shared" si="11"/>
        <v>0.77500404877033058</v>
      </c>
      <c r="Q8" s="8">
        <f t="shared" si="11"/>
        <v>0.77500404877033058</v>
      </c>
      <c r="R8" s="8">
        <f t="shared" si="11"/>
        <v>0.77500404877033058</v>
      </c>
      <c r="S8" s="1"/>
      <c r="T8" s="1"/>
      <c r="U8" s="1"/>
      <c r="V8" s="1"/>
      <c r="W8" s="1"/>
      <c r="X8" s="1"/>
      <c r="Y8" s="1"/>
    </row>
    <row r="9" spans="1:25" ht="16" x14ac:dyDescent="0.2">
      <c r="A9" s="1" t="s">
        <v>108</v>
      </c>
      <c r="B9" s="1"/>
      <c r="C9" s="2"/>
      <c r="D9" s="115"/>
      <c r="E9" s="115"/>
      <c r="F9" s="38">
        <f>'Modeled Useful Life+SG&amp;A brkdn'!K30/F158</f>
        <v>4.5325077913001808</v>
      </c>
      <c r="G9" s="38">
        <f>'Modeled Useful Life+SG&amp;A brkdn'!L30/G158</f>
        <v>4.5609867197455882</v>
      </c>
      <c r="H9" s="38">
        <f>'Modeled Useful Life+SG&amp;A brkdn'!M30/H158</f>
        <v>4.4259495017909769</v>
      </c>
      <c r="I9" s="64">
        <v>4.5</v>
      </c>
      <c r="J9" s="38">
        <f>I9</f>
        <v>4.5</v>
      </c>
      <c r="K9" s="38">
        <f t="shared" ref="K9:R10" si="12">J9</f>
        <v>4.5</v>
      </c>
      <c r="L9" s="38">
        <f t="shared" si="12"/>
        <v>4.5</v>
      </c>
      <c r="M9" s="38">
        <f t="shared" si="12"/>
        <v>4.5</v>
      </c>
      <c r="N9" s="8">
        <f t="shared" si="12"/>
        <v>4.5</v>
      </c>
      <c r="O9" s="8">
        <f t="shared" si="12"/>
        <v>4.5</v>
      </c>
      <c r="P9" s="38">
        <f t="shared" si="12"/>
        <v>4.5</v>
      </c>
      <c r="Q9" s="38">
        <f t="shared" si="12"/>
        <v>4.5</v>
      </c>
      <c r="R9" s="38">
        <f t="shared" si="12"/>
        <v>4.5</v>
      </c>
      <c r="S9" s="1"/>
      <c r="T9" s="1"/>
      <c r="U9" s="1"/>
      <c r="V9" s="1"/>
      <c r="W9" s="1"/>
      <c r="X9" s="1"/>
      <c r="Y9" s="1"/>
    </row>
    <row r="10" spans="1:25" s="324" customFormat="1" ht="16" x14ac:dyDescent="0.2">
      <c r="A10" s="328" t="s">
        <v>101</v>
      </c>
      <c r="B10" s="328"/>
      <c r="C10" s="329"/>
      <c r="D10" s="330"/>
      <c r="E10" s="330"/>
      <c r="F10" s="330">
        <f>'Modeled Useful Life+SG&amp;A brkdn'!K33</f>
        <v>4.0909027031413754E-2</v>
      </c>
      <c r="G10" s="330">
        <f>'Modeled Useful Life+SG&amp;A brkdn'!L33</f>
        <v>4.1928793617928138E-2</v>
      </c>
      <c r="H10" s="330">
        <f>'Modeled Useful Life+SG&amp;A brkdn'!M33</f>
        <v>4.4336698287889595E-2</v>
      </c>
      <c r="I10" s="330">
        <f>H10+0.2%</f>
        <v>4.6336698287889597E-2</v>
      </c>
      <c r="J10" s="330">
        <f t="shared" ref="J10:M10" si="13">I10+0.2%</f>
        <v>4.8336698287889598E-2</v>
      </c>
      <c r="K10" s="330">
        <f t="shared" si="13"/>
        <v>5.03366982878896E-2</v>
      </c>
      <c r="L10" s="330">
        <f t="shared" si="13"/>
        <v>5.2336698287889602E-2</v>
      </c>
      <c r="M10" s="330">
        <f t="shared" si="13"/>
        <v>5.4336698287889604E-2</v>
      </c>
      <c r="N10" s="330">
        <f>M10</f>
        <v>5.4336698287889604E-2</v>
      </c>
      <c r="O10" s="330">
        <f t="shared" si="12"/>
        <v>5.4336698287889604E-2</v>
      </c>
      <c r="P10" s="330">
        <f t="shared" si="12"/>
        <v>5.4336698287889604E-2</v>
      </c>
      <c r="Q10" s="330">
        <f t="shared" si="12"/>
        <v>5.4336698287889604E-2</v>
      </c>
      <c r="R10" s="330">
        <f t="shared" si="12"/>
        <v>5.4336698287889604E-2</v>
      </c>
      <c r="S10" s="328"/>
      <c r="T10" s="328"/>
      <c r="U10" s="328"/>
      <c r="V10" s="328"/>
      <c r="W10" s="328"/>
      <c r="X10" s="328"/>
      <c r="Y10" s="328"/>
    </row>
    <row r="11" spans="1:25" ht="16" x14ac:dyDescent="0.2">
      <c r="A11" s="1" t="s">
        <v>109</v>
      </c>
      <c r="B11" s="1"/>
      <c r="C11" s="2"/>
      <c r="D11" s="116"/>
      <c r="E11" s="116"/>
      <c r="F11" s="116"/>
      <c r="G11" s="116"/>
      <c r="H11" s="116"/>
      <c r="I11" s="116"/>
      <c r="J11" s="300">
        <f>'Segment Revenue Build'!M66</f>
        <v>0.73333333333333339</v>
      </c>
      <c r="K11" s="300">
        <f>'Segment Revenue Build'!N66</f>
        <v>0.73333333333333339</v>
      </c>
      <c r="L11" s="300">
        <f>'Segment Revenue Build'!O66</f>
        <v>0.73333333333333339</v>
      </c>
      <c r="M11" s="300">
        <f>'Segment Revenue Build'!P66</f>
        <v>0.73333333333333339</v>
      </c>
      <c r="N11" s="8"/>
      <c r="O11" s="8"/>
      <c r="P11" s="8"/>
      <c r="Q11" s="8"/>
      <c r="R11" s="8"/>
      <c r="S11" s="1"/>
      <c r="T11" s="1"/>
      <c r="U11" s="1"/>
      <c r="V11" s="1"/>
      <c r="W11" s="1"/>
      <c r="X11" s="1"/>
      <c r="Y11" s="1"/>
    </row>
    <row r="12" spans="1:25" ht="16" x14ac:dyDescent="0.2">
      <c r="A12" s="1" t="s">
        <v>110</v>
      </c>
      <c r="B12" s="1"/>
      <c r="C12" s="2"/>
      <c r="D12" s="67">
        <f>'Modeled Useful Life+SG&amp;A brkdn'!B12</f>
        <v>4.5</v>
      </c>
      <c r="E12" s="67">
        <f>D12</f>
        <v>4.5</v>
      </c>
      <c r="F12" s="67">
        <f t="shared" ref="F12:F15" si="14">E12</f>
        <v>4.5</v>
      </c>
      <c r="G12" s="67">
        <f t="shared" ref="G12:G15" si="15">F12</f>
        <v>4.5</v>
      </c>
      <c r="H12" s="67">
        <f t="shared" ref="H12:H15" si="16">G12</f>
        <v>4.5</v>
      </c>
      <c r="I12" s="67">
        <f t="shared" ref="I12:I15" si="17">H12</f>
        <v>4.5</v>
      </c>
      <c r="J12" s="67">
        <f t="shared" ref="J12:J15" si="18">I12</f>
        <v>4.5</v>
      </c>
      <c r="K12" s="67">
        <f t="shared" ref="K12:K15" si="19">J12</f>
        <v>4.5</v>
      </c>
      <c r="L12" s="67">
        <f t="shared" ref="L12:L15" si="20">K12</f>
        <v>4.5</v>
      </c>
      <c r="M12" s="67">
        <f t="shared" ref="M12:M15" si="21">L12</f>
        <v>4.5</v>
      </c>
      <c r="N12" s="67">
        <f t="shared" ref="N12:N15" si="22">M12</f>
        <v>4.5</v>
      </c>
      <c r="O12" s="67">
        <f t="shared" ref="O12:R15" si="23">N12</f>
        <v>4.5</v>
      </c>
      <c r="P12" s="67">
        <f t="shared" si="23"/>
        <v>4.5</v>
      </c>
      <c r="Q12" s="67">
        <f t="shared" si="23"/>
        <v>4.5</v>
      </c>
      <c r="R12" s="67">
        <f t="shared" si="23"/>
        <v>4.5</v>
      </c>
      <c r="S12" s="1"/>
      <c r="T12" s="1"/>
      <c r="U12" s="1"/>
      <c r="V12" s="1"/>
      <c r="W12" s="1"/>
      <c r="X12" s="1"/>
      <c r="Y12" s="1"/>
    </row>
    <row r="13" spans="1:25" ht="16" x14ac:dyDescent="0.2">
      <c r="A13" s="1" t="s">
        <v>111</v>
      </c>
      <c r="B13" s="1"/>
      <c r="C13" s="2"/>
      <c r="D13" s="67">
        <f>'Modeled Useful Life+SG&amp;A brkdn'!B10</f>
        <v>6.5</v>
      </c>
      <c r="E13" s="67">
        <f>D13</f>
        <v>6.5</v>
      </c>
      <c r="F13" s="67">
        <f t="shared" si="14"/>
        <v>6.5</v>
      </c>
      <c r="G13" s="67">
        <f t="shared" si="15"/>
        <v>6.5</v>
      </c>
      <c r="H13" s="67">
        <f t="shared" si="16"/>
        <v>6.5</v>
      </c>
      <c r="I13" s="67">
        <f t="shared" si="17"/>
        <v>6.5</v>
      </c>
      <c r="J13" s="67">
        <f t="shared" si="18"/>
        <v>6.5</v>
      </c>
      <c r="K13" s="67">
        <f t="shared" si="19"/>
        <v>6.5</v>
      </c>
      <c r="L13" s="67">
        <f t="shared" si="20"/>
        <v>6.5</v>
      </c>
      <c r="M13" s="67">
        <f t="shared" si="21"/>
        <v>6.5</v>
      </c>
      <c r="N13" s="67">
        <f t="shared" si="22"/>
        <v>6.5</v>
      </c>
      <c r="O13" s="67">
        <f t="shared" si="23"/>
        <v>6.5</v>
      </c>
      <c r="P13" s="67">
        <f t="shared" si="23"/>
        <v>6.5</v>
      </c>
      <c r="Q13" s="67">
        <f t="shared" si="23"/>
        <v>6.5</v>
      </c>
      <c r="R13" s="67">
        <f t="shared" si="23"/>
        <v>6.5</v>
      </c>
      <c r="S13" s="1"/>
      <c r="T13" s="1"/>
      <c r="U13" s="1"/>
      <c r="V13" s="1"/>
      <c r="W13" s="1"/>
      <c r="X13" s="1"/>
      <c r="Y13" s="1"/>
    </row>
    <row r="14" spans="1:25" ht="16" x14ac:dyDescent="0.2">
      <c r="A14" s="1" t="s">
        <v>370</v>
      </c>
      <c r="B14" s="1"/>
      <c r="C14" s="2"/>
      <c r="D14" s="8">
        <f>D152/D35</f>
        <v>0.39511658414794126</v>
      </c>
      <c r="E14" s="8">
        <f>E152/E35</f>
        <v>0.31742045169142791</v>
      </c>
      <c r="F14" s="8">
        <f>F152/F35</f>
        <v>0.30696790358114823</v>
      </c>
      <c r="G14" s="8">
        <f>G152/G35</f>
        <v>0.30152812298628373</v>
      </c>
      <c r="H14" s="8">
        <f>H152/H35</f>
        <v>0.31289732228857636</v>
      </c>
      <c r="I14" s="8">
        <f>AVERAGE(E14:H14)</f>
        <v>0.30970345013685907</v>
      </c>
      <c r="J14" s="8">
        <f>I14</f>
        <v>0.30970345013685907</v>
      </c>
      <c r="K14" s="8">
        <f>J14</f>
        <v>0.30970345013685907</v>
      </c>
      <c r="L14" s="8">
        <f>K14</f>
        <v>0.30970345013685907</v>
      </c>
      <c r="M14" s="8">
        <f>AVERAGE(I14:L14)</f>
        <v>0.30970345013685907</v>
      </c>
      <c r="N14" s="67"/>
      <c r="O14" s="67"/>
      <c r="P14" s="67"/>
      <c r="Q14" s="67"/>
      <c r="R14" s="67"/>
      <c r="S14" s="1"/>
      <c r="T14" s="1"/>
      <c r="U14" s="1"/>
      <c r="V14" s="1"/>
      <c r="W14" s="1"/>
      <c r="X14" s="1"/>
      <c r="Y14" s="1"/>
    </row>
    <row r="15" spans="1:25" ht="16" x14ac:dyDescent="0.2">
      <c r="A15" s="1" t="s">
        <v>112</v>
      </c>
      <c r="B15" s="1"/>
      <c r="C15" s="2"/>
      <c r="D15" s="67">
        <f>'Modeled Useful Life+SG&amp;A brkdn'!B11</f>
        <v>7.5</v>
      </c>
      <c r="E15" s="67">
        <f>D15</f>
        <v>7.5</v>
      </c>
      <c r="F15" s="67">
        <f t="shared" si="14"/>
        <v>7.5</v>
      </c>
      <c r="G15" s="67">
        <f t="shared" si="15"/>
        <v>7.5</v>
      </c>
      <c r="H15" s="67">
        <f t="shared" si="16"/>
        <v>7.5</v>
      </c>
      <c r="I15" s="67">
        <f t="shared" si="17"/>
        <v>7.5</v>
      </c>
      <c r="J15" s="67">
        <f t="shared" si="18"/>
        <v>7.5</v>
      </c>
      <c r="K15" s="67">
        <f t="shared" si="19"/>
        <v>7.5</v>
      </c>
      <c r="L15" s="67">
        <f t="shared" si="20"/>
        <v>7.5</v>
      </c>
      <c r="M15" s="67">
        <f t="shared" si="21"/>
        <v>7.5</v>
      </c>
      <c r="N15" s="67">
        <f t="shared" si="22"/>
        <v>7.5</v>
      </c>
      <c r="O15" s="67">
        <f t="shared" si="23"/>
        <v>7.5</v>
      </c>
      <c r="P15" s="67">
        <f t="shared" si="23"/>
        <v>7.5</v>
      </c>
      <c r="Q15" s="67">
        <f t="shared" si="23"/>
        <v>7.5</v>
      </c>
      <c r="R15" s="67">
        <f t="shared" si="23"/>
        <v>7.5</v>
      </c>
      <c r="S15" s="1"/>
      <c r="T15" s="1"/>
      <c r="U15" s="1"/>
      <c r="V15" s="1"/>
      <c r="W15" s="1"/>
      <c r="X15" s="1"/>
      <c r="Y15" s="1"/>
    </row>
    <row r="16" spans="1:25" ht="16" x14ac:dyDescent="0.2">
      <c r="A16" s="1" t="s">
        <v>113</v>
      </c>
      <c r="B16" s="1"/>
      <c r="C16" s="2"/>
      <c r="D16" s="67"/>
      <c r="E16" s="67"/>
      <c r="F16" s="119">
        <v>86</v>
      </c>
      <c r="G16" s="119">
        <v>61</v>
      </c>
      <c r="H16" s="119">
        <v>21</v>
      </c>
      <c r="I16" s="67">
        <v>0</v>
      </c>
      <c r="J16" s="67">
        <v>0</v>
      </c>
      <c r="K16" s="67">
        <v>0</v>
      </c>
      <c r="L16" s="67">
        <v>0</v>
      </c>
      <c r="M16" s="67">
        <v>0</v>
      </c>
      <c r="N16" s="67">
        <v>0</v>
      </c>
      <c r="O16" s="67">
        <v>0</v>
      </c>
      <c r="P16" s="67">
        <v>0</v>
      </c>
      <c r="Q16" s="67">
        <v>0</v>
      </c>
      <c r="R16" s="67">
        <v>0</v>
      </c>
      <c r="S16" s="1"/>
      <c r="T16" s="1"/>
      <c r="U16" s="1"/>
      <c r="V16" s="1"/>
      <c r="W16" s="1"/>
      <c r="X16" s="1"/>
      <c r="Y16" s="1"/>
    </row>
    <row r="17" spans="1:25" ht="16" x14ac:dyDescent="0.2">
      <c r="A17" s="1" t="s">
        <v>114</v>
      </c>
      <c r="B17" s="1"/>
      <c r="C17" s="2"/>
      <c r="D17" s="62">
        <f>D51/D178*-1</f>
        <v>4.231082180634662E-2</v>
      </c>
      <c r="E17" s="62">
        <f>E51/E178*-1</f>
        <v>2.1258503401360544E-2</v>
      </c>
      <c r="F17" s="62">
        <f>F51/F178*-1</f>
        <v>3.0042918454935622E-2</v>
      </c>
      <c r="G17" s="62">
        <f>G51/G178*-1</f>
        <v>4.5060658578856154E-2</v>
      </c>
      <c r="H17" s="62">
        <f>H51/H178*-1</f>
        <v>4.4580419580419584E-2</v>
      </c>
      <c r="I17" s="62">
        <f>H17</f>
        <v>4.4580419580419584E-2</v>
      </c>
      <c r="J17" s="62">
        <f t="shared" ref="J17:R17" si="24">I17</f>
        <v>4.4580419580419584E-2</v>
      </c>
      <c r="K17" s="62">
        <f t="shared" si="24"/>
        <v>4.4580419580419584E-2</v>
      </c>
      <c r="L17" s="62">
        <f t="shared" si="24"/>
        <v>4.4580419580419584E-2</v>
      </c>
      <c r="M17" s="62">
        <f t="shared" si="24"/>
        <v>4.4580419580419584E-2</v>
      </c>
      <c r="N17" s="62">
        <f t="shared" si="24"/>
        <v>4.4580419580419584E-2</v>
      </c>
      <c r="O17" s="62">
        <f t="shared" si="24"/>
        <v>4.4580419580419584E-2</v>
      </c>
      <c r="P17" s="62">
        <f t="shared" si="24"/>
        <v>4.4580419580419584E-2</v>
      </c>
      <c r="Q17" s="62">
        <f t="shared" si="24"/>
        <v>4.4580419580419584E-2</v>
      </c>
      <c r="R17" s="62">
        <f t="shared" si="24"/>
        <v>4.4580419580419584E-2</v>
      </c>
      <c r="S17" s="1"/>
      <c r="T17" s="1"/>
      <c r="U17" s="1"/>
      <c r="V17" s="1"/>
      <c r="W17" s="1"/>
      <c r="X17" s="1"/>
      <c r="Y17" s="1"/>
    </row>
    <row r="18" spans="1:25" ht="16" x14ac:dyDescent="0.2">
      <c r="A18" s="1" t="s">
        <v>115</v>
      </c>
      <c r="B18" s="10"/>
      <c r="C18" s="11"/>
      <c r="D18" s="8">
        <f>D53/D52*-1</f>
        <v>0.24358435002103493</v>
      </c>
      <c r="E18" s="8">
        <f t="shared" ref="E18:H18" si="25">E53/E52*-1</f>
        <v>0.18981481481481483</v>
      </c>
      <c r="F18" s="8">
        <f t="shared" si="25"/>
        <v>0.20693512304250558</v>
      </c>
      <c r="G18" s="8">
        <f t="shared" si="25"/>
        <v>0.2350400987045034</v>
      </c>
      <c r="H18" s="8">
        <f t="shared" si="25"/>
        <v>0.28725868725868725</v>
      </c>
      <c r="I18" s="8">
        <f>429/1793</f>
        <v>0.2392638036809816</v>
      </c>
      <c r="J18" s="8">
        <f>462/1407</f>
        <v>0.32835820895522388</v>
      </c>
      <c r="K18" s="8">
        <f>484/1500</f>
        <v>0.32266666666666666</v>
      </c>
      <c r="L18" s="8">
        <f t="shared" ref="L18:R18" si="26">K18</f>
        <v>0.32266666666666666</v>
      </c>
      <c r="M18" s="8">
        <f t="shared" si="26"/>
        <v>0.32266666666666666</v>
      </c>
      <c r="N18" s="8">
        <f t="shared" si="26"/>
        <v>0.32266666666666666</v>
      </c>
      <c r="O18" s="8">
        <f t="shared" si="26"/>
        <v>0.32266666666666666</v>
      </c>
      <c r="P18" s="8">
        <f t="shared" si="26"/>
        <v>0.32266666666666666</v>
      </c>
      <c r="Q18" s="8">
        <f t="shared" si="26"/>
        <v>0.32266666666666666</v>
      </c>
      <c r="R18" s="8">
        <f t="shared" si="26"/>
        <v>0.32266666666666666</v>
      </c>
      <c r="S18" s="1"/>
      <c r="T18" s="1"/>
      <c r="U18" s="1"/>
      <c r="V18" s="1"/>
      <c r="W18" s="1"/>
      <c r="X18" s="1"/>
      <c r="Y18" s="1"/>
    </row>
    <row r="19" spans="1:25" ht="16" x14ac:dyDescent="0.2">
      <c r="A19" s="1" t="s">
        <v>116</v>
      </c>
      <c r="B19" s="1"/>
      <c r="C19" s="12"/>
      <c r="D19" s="1">
        <f>D67/D35*365</f>
        <v>8.1940036392873754</v>
      </c>
      <c r="E19" s="1">
        <f>E67/E35*365</f>
        <v>7.3478101273159329</v>
      </c>
      <c r="F19" s="1">
        <f>F67/F35*365</f>
        <v>8.995312972482612</v>
      </c>
      <c r="G19" s="1">
        <f>G67/G35*365</f>
        <v>7.8876691521679092</v>
      </c>
      <c r="H19" s="1">
        <f>H67/H35*365</f>
        <v>9.1759776536312856</v>
      </c>
      <c r="I19" s="3">
        <v>8</v>
      </c>
      <c r="J19" s="1">
        <f>I19</f>
        <v>8</v>
      </c>
      <c r="K19" s="1">
        <f t="shared" ref="K19:R19" si="27">J19</f>
        <v>8</v>
      </c>
      <c r="L19" s="1">
        <f t="shared" si="27"/>
        <v>8</v>
      </c>
      <c r="M19" s="1">
        <f t="shared" si="27"/>
        <v>8</v>
      </c>
      <c r="N19" s="1">
        <f t="shared" si="27"/>
        <v>8</v>
      </c>
      <c r="O19" s="1">
        <f t="shared" si="27"/>
        <v>8</v>
      </c>
      <c r="P19" s="1">
        <f t="shared" si="27"/>
        <v>8</v>
      </c>
      <c r="Q19" s="1">
        <f t="shared" si="27"/>
        <v>8</v>
      </c>
      <c r="R19" s="1">
        <f t="shared" si="27"/>
        <v>8</v>
      </c>
      <c r="S19" s="1"/>
      <c r="T19" s="1"/>
      <c r="U19" s="1"/>
      <c r="V19" s="1"/>
      <c r="W19" s="1"/>
      <c r="X19" s="1"/>
      <c r="Y19" s="1"/>
    </row>
    <row r="20" spans="1:25" ht="16" x14ac:dyDescent="0.2">
      <c r="A20" s="1" t="s">
        <v>117</v>
      </c>
      <c r="B20" s="1"/>
      <c r="C20" s="12"/>
      <c r="D20" s="1">
        <f>D68/-D38*365</f>
        <v>55.830902995448234</v>
      </c>
      <c r="E20" s="1">
        <f>E68/-E38*365</f>
        <v>54.266468931482265</v>
      </c>
      <c r="F20" s="1">
        <f>F68/-F38*365</f>
        <v>51.561039960424345</v>
      </c>
      <c r="G20" s="1">
        <f>G68/-G38*365</f>
        <v>53.463026972731839</v>
      </c>
      <c r="H20" s="1">
        <f>H68/-H38*365</f>
        <v>57.742743365585042</v>
      </c>
      <c r="I20" s="1">
        <f>AVERAGE(D20:H20)</f>
        <v>54.57283644513435</v>
      </c>
      <c r="J20" s="1">
        <f>I20</f>
        <v>54.57283644513435</v>
      </c>
      <c r="K20" s="1">
        <f t="shared" ref="K20:R20" si="28">J20</f>
        <v>54.57283644513435</v>
      </c>
      <c r="L20" s="1">
        <f t="shared" si="28"/>
        <v>54.57283644513435</v>
      </c>
      <c r="M20" s="1">
        <f t="shared" si="28"/>
        <v>54.57283644513435</v>
      </c>
      <c r="N20" s="1">
        <f t="shared" si="28"/>
        <v>54.57283644513435</v>
      </c>
      <c r="O20" s="1">
        <f t="shared" si="28"/>
        <v>54.57283644513435</v>
      </c>
      <c r="P20" s="1">
        <f t="shared" si="28"/>
        <v>54.57283644513435</v>
      </c>
      <c r="Q20" s="1">
        <f t="shared" si="28"/>
        <v>54.57283644513435</v>
      </c>
      <c r="R20" s="1">
        <f t="shared" si="28"/>
        <v>54.57283644513435</v>
      </c>
      <c r="S20" s="1"/>
      <c r="T20" s="1"/>
      <c r="U20" s="1"/>
      <c r="V20" s="1"/>
      <c r="W20" s="1"/>
      <c r="X20" s="1"/>
      <c r="Y20" s="1"/>
    </row>
    <row r="21" spans="1:25" ht="16" x14ac:dyDescent="0.2">
      <c r="A21" s="1" t="s">
        <v>118</v>
      </c>
      <c r="B21" s="1"/>
      <c r="C21" s="12"/>
      <c r="D21" s="63">
        <f>D78/-D38*365</f>
        <v>69.430483251110687</v>
      </c>
      <c r="E21" s="63">
        <f>E78/-E38*365</f>
        <v>61.890157274245404</v>
      </c>
      <c r="F21" s="63">
        <f>F78/-F38*365</f>
        <v>57.048177870609578</v>
      </c>
      <c r="G21" s="63">
        <f>G78/-G38*365</f>
        <v>50.001624863363766</v>
      </c>
      <c r="H21" s="63">
        <f>H78/-H38*365</f>
        <v>56.550415331487415</v>
      </c>
      <c r="I21" s="3">
        <v>57</v>
      </c>
      <c r="J21" s="1">
        <f t="shared" ref="J21:R22" si="29">I21</f>
        <v>57</v>
      </c>
      <c r="K21" s="1">
        <f t="shared" si="29"/>
        <v>57</v>
      </c>
      <c r="L21" s="1">
        <f t="shared" si="29"/>
        <v>57</v>
      </c>
      <c r="M21" s="1">
        <f t="shared" si="29"/>
        <v>57</v>
      </c>
      <c r="N21" s="1">
        <f t="shared" si="29"/>
        <v>57</v>
      </c>
      <c r="O21" s="1">
        <f t="shared" si="29"/>
        <v>57</v>
      </c>
      <c r="P21" s="1">
        <f t="shared" si="29"/>
        <v>57</v>
      </c>
      <c r="Q21" s="1">
        <f t="shared" si="29"/>
        <v>57</v>
      </c>
      <c r="R21" s="1">
        <f t="shared" si="29"/>
        <v>57</v>
      </c>
      <c r="S21" s="1"/>
      <c r="T21" s="1"/>
      <c r="U21" s="1"/>
      <c r="V21" s="1"/>
      <c r="W21" s="1"/>
      <c r="X21" s="1"/>
      <c r="Y21" s="1"/>
    </row>
    <row r="22" spans="1:25" ht="16" x14ac:dyDescent="0.2">
      <c r="A22" s="1" t="s">
        <v>119</v>
      </c>
      <c r="B22" s="1"/>
      <c r="C22" s="2"/>
      <c r="D22" s="1">
        <f>D133</f>
        <v>-42</v>
      </c>
      <c r="E22" s="1">
        <f t="shared" ref="E22:H22" si="30">E133</f>
        <v>-53</v>
      </c>
      <c r="F22" s="1">
        <f t="shared" si="30"/>
        <v>-11</v>
      </c>
      <c r="G22" s="1">
        <f t="shared" si="30"/>
        <v>-11</v>
      </c>
      <c r="H22" s="1">
        <f t="shared" si="30"/>
        <v>-17</v>
      </c>
      <c r="I22" s="3">
        <v>0</v>
      </c>
      <c r="J22" s="1">
        <f>I22</f>
        <v>0</v>
      </c>
      <c r="K22" s="1">
        <f t="shared" si="29"/>
        <v>0</v>
      </c>
      <c r="L22" s="1">
        <f t="shared" si="29"/>
        <v>0</v>
      </c>
      <c r="M22" s="1">
        <f t="shared" si="29"/>
        <v>0</v>
      </c>
      <c r="N22" s="1">
        <f t="shared" si="29"/>
        <v>0</v>
      </c>
      <c r="O22" s="1">
        <f t="shared" si="29"/>
        <v>0</v>
      </c>
      <c r="P22" s="1">
        <f t="shared" si="29"/>
        <v>0</v>
      </c>
      <c r="Q22" s="1">
        <f t="shared" si="29"/>
        <v>0</v>
      </c>
      <c r="R22" s="1">
        <f t="shared" si="29"/>
        <v>0</v>
      </c>
      <c r="S22" s="1"/>
      <c r="T22" s="1"/>
      <c r="U22" s="1"/>
      <c r="V22" s="1"/>
      <c r="W22" s="1"/>
      <c r="X22" s="1"/>
      <c r="Y22" s="1"/>
    </row>
    <row r="23" spans="1:25" ht="16" x14ac:dyDescent="0.2">
      <c r="A23" s="42" t="s">
        <v>120</v>
      </c>
      <c r="B23" s="1"/>
      <c r="C23" s="2"/>
      <c r="D23" s="25">
        <f>-D131/(D120+D123)</f>
        <v>6.7394399620313239E-2</v>
      </c>
      <c r="E23" s="25">
        <f t="shared" ref="E23:H23" si="31">-E131/(E120+E123)</f>
        <v>1.3809145129224651</v>
      </c>
      <c r="F23" s="25">
        <f t="shared" si="31"/>
        <v>1.116331096196868</v>
      </c>
      <c r="G23" s="25">
        <f t="shared" si="31"/>
        <v>0.47555555555555556</v>
      </c>
      <c r="H23" s="25">
        <f t="shared" si="31"/>
        <v>0.34698275862068967</v>
      </c>
      <c r="I23" s="25">
        <f>H23</f>
        <v>0.34698275862068967</v>
      </c>
      <c r="J23" s="25">
        <f t="shared" ref="J23:R23" si="32">I23</f>
        <v>0.34698275862068967</v>
      </c>
      <c r="K23" s="25">
        <f t="shared" si="32"/>
        <v>0.34698275862068967</v>
      </c>
      <c r="L23" s="25">
        <f t="shared" si="32"/>
        <v>0.34698275862068967</v>
      </c>
      <c r="M23" s="25">
        <f t="shared" si="32"/>
        <v>0.34698275862068967</v>
      </c>
      <c r="N23" s="25">
        <f t="shared" si="32"/>
        <v>0.34698275862068967</v>
      </c>
      <c r="O23" s="25">
        <f t="shared" si="32"/>
        <v>0.34698275862068967</v>
      </c>
      <c r="P23" s="25">
        <f t="shared" si="32"/>
        <v>0.34698275862068967</v>
      </c>
      <c r="Q23" s="25">
        <f t="shared" si="32"/>
        <v>0.34698275862068967</v>
      </c>
      <c r="R23" s="25">
        <f t="shared" si="32"/>
        <v>0.34698275862068967</v>
      </c>
      <c r="S23" s="1"/>
      <c r="T23" s="1"/>
      <c r="U23" s="1"/>
      <c r="V23" s="1"/>
      <c r="W23" s="1"/>
      <c r="X23" s="1"/>
      <c r="Y23" s="1"/>
    </row>
    <row r="24" spans="1:25" ht="16" x14ac:dyDescent="0.2">
      <c r="A24" s="1" t="s">
        <v>121</v>
      </c>
      <c r="B24" s="1"/>
      <c r="C24" s="2"/>
      <c r="D24" s="8">
        <f t="shared" ref="D24:G24" si="33">D172</f>
        <v>0.31571936056838368</v>
      </c>
      <c r="E24" s="8">
        <f t="shared" si="33"/>
        <v>0.46344537815126052</v>
      </c>
      <c r="F24" s="8">
        <f t="shared" si="33"/>
        <v>0.47855917667238423</v>
      </c>
      <c r="G24" s="8">
        <f t="shared" si="33"/>
        <v>0.39525691699604742</v>
      </c>
      <c r="H24" s="8">
        <f>H172</f>
        <v>0.3614595210946408</v>
      </c>
      <c r="I24" s="9">
        <v>0.36</v>
      </c>
      <c r="J24" s="8">
        <f>I24</f>
        <v>0.36</v>
      </c>
      <c r="K24" s="8">
        <f t="shared" ref="K24:Q24" si="34">J24</f>
        <v>0.36</v>
      </c>
      <c r="L24" s="8">
        <f t="shared" si="34"/>
        <v>0.36</v>
      </c>
      <c r="M24" s="8">
        <f t="shared" si="34"/>
        <v>0.36</v>
      </c>
      <c r="N24" s="8">
        <f t="shared" si="34"/>
        <v>0.36</v>
      </c>
      <c r="O24" s="8">
        <f t="shared" si="34"/>
        <v>0.36</v>
      </c>
      <c r="P24" s="8">
        <f t="shared" si="34"/>
        <v>0.36</v>
      </c>
      <c r="Q24" s="8">
        <f t="shared" si="34"/>
        <v>0.36</v>
      </c>
      <c r="R24" s="8">
        <f>Q24</f>
        <v>0.36</v>
      </c>
      <c r="S24" s="1"/>
      <c r="T24" s="1"/>
      <c r="U24" s="1"/>
      <c r="V24" s="1"/>
      <c r="W24" s="1"/>
      <c r="X24" s="1"/>
      <c r="Y24" s="1"/>
    </row>
    <row r="25" spans="1:25" ht="16" x14ac:dyDescent="0.2">
      <c r="A25" s="1" t="s">
        <v>122</v>
      </c>
      <c r="B25" s="1"/>
      <c r="C25" s="2"/>
      <c r="D25" s="8"/>
      <c r="E25" s="62"/>
      <c r="F25" s="62">
        <f>F109/'Modeled Useful Life+SG&amp;A brkdn'!K30</f>
        <v>2.6754587843985086E-2</v>
      </c>
      <c r="G25" s="62">
        <f>G109/'Modeled Useful Life+SG&amp;A brkdn'!L30</f>
        <v>2.8258992364721972E-2</v>
      </c>
      <c r="H25" s="62">
        <f>H109/'Modeled Useful Life+SG&amp;A brkdn'!M30</f>
        <v>2.8116106042855103E-2</v>
      </c>
      <c r="I25" s="57">
        <v>2.8000000000000001E-2</v>
      </c>
      <c r="J25" s="62">
        <f>I25</f>
        <v>2.8000000000000001E-2</v>
      </c>
      <c r="K25" s="62">
        <f t="shared" ref="K25:R25" si="35">J25</f>
        <v>2.8000000000000001E-2</v>
      </c>
      <c r="L25" s="62">
        <f t="shared" si="35"/>
        <v>2.8000000000000001E-2</v>
      </c>
      <c r="M25" s="62">
        <f t="shared" si="35"/>
        <v>2.8000000000000001E-2</v>
      </c>
      <c r="N25" s="62">
        <f t="shared" si="35"/>
        <v>2.8000000000000001E-2</v>
      </c>
      <c r="O25" s="62">
        <f t="shared" si="35"/>
        <v>2.8000000000000001E-2</v>
      </c>
      <c r="P25" s="62">
        <f t="shared" si="35"/>
        <v>2.8000000000000001E-2</v>
      </c>
      <c r="Q25" s="62">
        <f t="shared" si="35"/>
        <v>2.8000000000000001E-2</v>
      </c>
      <c r="R25" s="62">
        <f t="shared" si="35"/>
        <v>2.8000000000000001E-2</v>
      </c>
      <c r="S25" s="1"/>
      <c r="T25" s="1"/>
      <c r="U25" s="1"/>
      <c r="V25" s="1"/>
      <c r="W25" s="1"/>
      <c r="X25" s="1"/>
      <c r="Y25" s="1"/>
    </row>
    <row r="26" spans="1:25" ht="16" x14ac:dyDescent="0.2">
      <c r="A26" s="1" t="s">
        <v>123</v>
      </c>
      <c r="B26" s="1"/>
      <c r="C26" s="2"/>
      <c r="D26" s="8"/>
      <c r="E26" s="62"/>
      <c r="F26" s="62"/>
      <c r="G26" s="62"/>
      <c r="H26" s="62"/>
      <c r="I26" s="57"/>
      <c r="J26" s="62"/>
      <c r="K26" s="62"/>
      <c r="L26" s="62"/>
      <c r="M26" s="62"/>
      <c r="N26" s="62"/>
      <c r="O26" s="62"/>
      <c r="P26" s="62"/>
      <c r="Q26" s="62"/>
      <c r="R26" s="62"/>
      <c r="S26" s="1"/>
      <c r="T26" s="1"/>
      <c r="U26" s="1"/>
      <c r="V26" s="1"/>
      <c r="W26" s="1"/>
      <c r="X26" s="1"/>
      <c r="Y26" s="1"/>
    </row>
    <row r="27" spans="1:25" ht="16" x14ac:dyDescent="0.2">
      <c r="A27" s="1" t="s">
        <v>124</v>
      </c>
      <c r="B27" s="1"/>
      <c r="C27" s="2"/>
      <c r="D27" s="77"/>
      <c r="E27" s="77"/>
      <c r="F27" s="77"/>
      <c r="G27" s="77"/>
      <c r="H27" s="77"/>
      <c r="I27" s="57"/>
      <c r="J27" s="62"/>
      <c r="K27" s="62"/>
      <c r="L27" s="62"/>
      <c r="M27" s="62"/>
      <c r="N27" s="62"/>
      <c r="O27" s="62"/>
      <c r="P27" s="62"/>
      <c r="Q27" s="62"/>
      <c r="R27" s="62"/>
      <c r="S27" s="1"/>
      <c r="T27" s="1"/>
      <c r="U27" s="1"/>
      <c r="V27" s="1"/>
      <c r="W27" s="1"/>
      <c r="X27" s="1"/>
      <c r="Y27" s="1"/>
    </row>
    <row r="28" spans="1:25" ht="16" x14ac:dyDescent="0.2">
      <c r="A28" s="1" t="s">
        <v>368</v>
      </c>
      <c r="B28" s="1"/>
      <c r="C28" s="2"/>
      <c r="D28" s="77"/>
      <c r="E28" s="77"/>
      <c r="F28" s="77"/>
      <c r="G28" s="77"/>
      <c r="H28" s="77">
        <v>84.35</v>
      </c>
      <c r="I28" s="57"/>
      <c r="J28" s="62"/>
      <c r="K28" s="62"/>
      <c r="L28" s="62"/>
      <c r="M28" s="62"/>
      <c r="N28" s="62"/>
      <c r="O28" s="62"/>
      <c r="P28" s="62"/>
      <c r="Q28" s="62"/>
      <c r="R28" s="62"/>
      <c r="S28" s="1"/>
      <c r="T28" s="1"/>
      <c r="U28" s="1"/>
      <c r="V28" s="1"/>
      <c r="W28" s="1"/>
      <c r="X28" s="1"/>
      <c r="Y28" s="1"/>
    </row>
    <row r="29" spans="1:25" ht="16" x14ac:dyDescent="0.2">
      <c r="A29" s="1" t="s">
        <v>125</v>
      </c>
      <c r="B29" s="1"/>
      <c r="C29" s="2"/>
      <c r="D29" s="118">
        <f>D28/D60</f>
        <v>0</v>
      </c>
      <c r="E29" s="118">
        <f>E28/E60</f>
        <v>0</v>
      </c>
      <c r="F29" s="118">
        <f>F28/F60</f>
        <v>0</v>
      </c>
      <c r="G29" s="118">
        <f>G28/G60</f>
        <v>0</v>
      </c>
      <c r="H29" s="118">
        <f>H28/H60</f>
        <v>19.708964401294498</v>
      </c>
      <c r="I29" s="117">
        <v>20</v>
      </c>
      <c r="J29" s="118">
        <f>I29</f>
        <v>20</v>
      </c>
      <c r="K29" s="118">
        <f t="shared" ref="K29:R29" si="36">J29</f>
        <v>20</v>
      </c>
      <c r="L29" s="118">
        <f t="shared" si="36"/>
        <v>20</v>
      </c>
      <c r="M29" s="118">
        <f t="shared" si="36"/>
        <v>20</v>
      </c>
      <c r="N29" s="118">
        <f t="shared" si="36"/>
        <v>20</v>
      </c>
      <c r="O29" s="118">
        <f t="shared" si="36"/>
        <v>20</v>
      </c>
      <c r="P29" s="118">
        <f t="shared" si="36"/>
        <v>20</v>
      </c>
      <c r="Q29" s="118">
        <f t="shared" si="36"/>
        <v>20</v>
      </c>
      <c r="R29" s="118">
        <f t="shared" si="36"/>
        <v>20</v>
      </c>
      <c r="S29" s="1"/>
      <c r="T29" s="1"/>
      <c r="U29" s="1"/>
      <c r="V29" s="1"/>
      <c r="W29" s="1"/>
      <c r="X29" s="1"/>
      <c r="Y29" s="1"/>
    </row>
    <row r="30" spans="1:25" ht="16" x14ac:dyDescent="0.2">
      <c r="A30" s="1" t="s">
        <v>126</v>
      </c>
      <c r="B30" s="1"/>
      <c r="C30" s="2"/>
      <c r="D30" s="64"/>
      <c r="E30" s="64"/>
      <c r="F30" s="64"/>
      <c r="G30" s="64"/>
      <c r="H30" s="64"/>
      <c r="I30" s="57"/>
      <c r="J30" s="62"/>
      <c r="K30" s="62"/>
      <c r="L30" s="62"/>
      <c r="M30" s="62"/>
      <c r="N30" s="62"/>
      <c r="O30" s="62"/>
      <c r="P30" s="62"/>
      <c r="Q30" s="62"/>
      <c r="R30" s="62"/>
      <c r="S30" s="1"/>
      <c r="T30" s="1"/>
      <c r="U30" s="1"/>
      <c r="V30" s="1"/>
      <c r="W30" s="1"/>
      <c r="X30" s="1"/>
      <c r="Y30" s="1"/>
    </row>
    <row r="31" spans="1:25" ht="16" x14ac:dyDescent="0.2">
      <c r="A31" s="1" t="s">
        <v>127</v>
      </c>
      <c r="B31" s="1"/>
      <c r="C31" s="2"/>
      <c r="D31" s="3">
        <v>365</v>
      </c>
      <c r="E31" s="1">
        <f t="shared" ref="E31:R31" si="37">D31</f>
        <v>365</v>
      </c>
      <c r="F31" s="1">
        <f t="shared" si="37"/>
        <v>365</v>
      </c>
      <c r="G31" s="1">
        <f t="shared" si="37"/>
        <v>365</v>
      </c>
      <c r="H31" s="1">
        <f t="shared" si="37"/>
        <v>365</v>
      </c>
      <c r="I31" s="1">
        <f t="shared" si="37"/>
        <v>365</v>
      </c>
      <c r="J31" s="1">
        <f t="shared" si="37"/>
        <v>365</v>
      </c>
      <c r="K31" s="1">
        <f t="shared" si="37"/>
        <v>365</v>
      </c>
      <c r="L31" s="1">
        <f t="shared" si="37"/>
        <v>365</v>
      </c>
      <c r="M31" s="1">
        <f t="shared" si="37"/>
        <v>365</v>
      </c>
      <c r="N31" s="1">
        <f t="shared" si="37"/>
        <v>365</v>
      </c>
      <c r="O31" s="1">
        <f t="shared" si="37"/>
        <v>365</v>
      </c>
      <c r="P31" s="1">
        <f t="shared" si="37"/>
        <v>365</v>
      </c>
      <c r="Q31" s="1">
        <f t="shared" si="37"/>
        <v>365</v>
      </c>
      <c r="R31" s="1">
        <f t="shared" si="37"/>
        <v>365</v>
      </c>
      <c r="S31" s="1"/>
      <c r="T31" s="1"/>
      <c r="U31" s="1"/>
      <c r="V31" s="1"/>
      <c r="W31" s="1"/>
      <c r="X31" s="1"/>
      <c r="Y31" s="1"/>
    </row>
    <row r="32" spans="1:25" ht="16" x14ac:dyDescent="0.2">
      <c r="A32" s="1"/>
      <c r="B32" s="1"/>
      <c r="C32" s="2"/>
      <c r="D32" s="1"/>
      <c r="E32" s="1"/>
      <c r="F32" s="1"/>
      <c r="G32" s="1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1"/>
      <c r="T32" s="1"/>
      <c r="U32" s="1"/>
      <c r="V32" s="1"/>
      <c r="W32" s="1"/>
      <c r="X32" s="1"/>
      <c r="Y32" s="1"/>
    </row>
    <row r="33" spans="1:25" s="56" customFormat="1" ht="20" x14ac:dyDescent="0.2">
      <c r="A33" s="54" t="s">
        <v>128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5"/>
      <c r="T33" s="55"/>
      <c r="U33" s="55"/>
      <c r="V33" s="55"/>
      <c r="W33" s="55"/>
      <c r="X33" s="55"/>
      <c r="Y33" s="55"/>
    </row>
    <row r="34" spans="1:25" ht="16" outlineLevel="1" x14ac:dyDescent="0.2">
      <c r="A34" s="4"/>
      <c r="B34" s="4"/>
      <c r="C34" s="13"/>
      <c r="D34" s="14"/>
      <c r="E34" s="14"/>
      <c r="F34" s="14"/>
      <c r="G34" s="1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1"/>
      <c r="T34" s="1"/>
      <c r="U34" s="1"/>
      <c r="V34" s="1"/>
      <c r="W34" s="1"/>
      <c r="X34" s="1"/>
      <c r="Y34" s="1"/>
    </row>
    <row r="35" spans="1:25" ht="16" outlineLevel="1" x14ac:dyDescent="0.2">
      <c r="A35" s="4" t="s">
        <v>129</v>
      </c>
      <c r="B35" s="4"/>
      <c r="C35" s="13"/>
      <c r="D35" s="4">
        <v>47262</v>
      </c>
      <c r="E35" s="4">
        <v>51761</v>
      </c>
      <c r="F35" s="4">
        <v>46298</v>
      </c>
      <c r="G35" s="4">
        <v>43452</v>
      </c>
      <c r="H35" s="4">
        <v>41528</v>
      </c>
      <c r="I35" s="4">
        <f>SUM(I36:I37)</f>
        <v>40904.251105770825</v>
      </c>
      <c r="J35" s="4">
        <f t="shared" ref="J35:M35" si="38">SUM(J36:J37)</f>
        <v>40723.318053779454</v>
      </c>
      <c r="K35" s="4">
        <f t="shared" si="38"/>
        <v>41207.585043944753</v>
      </c>
      <c r="L35" s="4">
        <f t="shared" si="38"/>
        <v>41369.946055395172</v>
      </c>
      <c r="M35" s="4">
        <f t="shared" si="38"/>
        <v>41600.109975677769</v>
      </c>
      <c r="N35" s="4"/>
      <c r="O35" s="4"/>
      <c r="P35" s="4"/>
      <c r="Q35" s="4"/>
      <c r="R35" s="4"/>
      <c r="S35" s="1"/>
      <c r="T35" s="1"/>
      <c r="U35" s="1"/>
      <c r="V35" s="1"/>
      <c r="W35" s="1"/>
      <c r="X35" s="1"/>
      <c r="Y35" s="1"/>
    </row>
    <row r="36" spans="1:25" ht="16" hidden="1" outlineLevel="2" x14ac:dyDescent="0.2">
      <c r="A36" s="41" t="s">
        <v>130</v>
      </c>
      <c r="B36" s="4"/>
      <c r="C36" s="13"/>
      <c r="I36" s="1">
        <f>'Segment Revenue Build'!L22</f>
        <v>40904.251105770825</v>
      </c>
      <c r="J36" s="1">
        <f>'Segment Revenue Build'!M22</f>
        <v>40611.510937306382</v>
      </c>
      <c r="K36" s="1">
        <f>'Segment Revenue Build'!N22</f>
        <v>40814.015295015808</v>
      </c>
      <c r="L36" s="1">
        <f>'Segment Revenue Build'!O22</f>
        <v>40672.469237214711</v>
      </c>
      <c r="M36" s="1">
        <f>'Segment Revenue Build'!P22</f>
        <v>40575.1795025826</v>
      </c>
      <c r="N36" s="4"/>
      <c r="O36" s="4"/>
      <c r="P36" s="4"/>
      <c r="Q36" s="4"/>
      <c r="R36" s="4"/>
      <c r="S36" s="1"/>
      <c r="T36" s="1"/>
      <c r="U36" s="1"/>
      <c r="V36" s="1"/>
      <c r="W36" s="1"/>
      <c r="X36" s="1"/>
      <c r="Y36" s="1"/>
    </row>
    <row r="37" spans="1:25" ht="16" hidden="1" outlineLevel="2" x14ac:dyDescent="0.2">
      <c r="A37" s="41" t="s">
        <v>131</v>
      </c>
      <c r="B37" s="4"/>
      <c r="C37" s="13"/>
      <c r="D37" s="4"/>
      <c r="E37" s="4"/>
      <c r="F37" s="4"/>
      <c r="G37" s="4"/>
      <c r="H37" s="4"/>
      <c r="I37" s="1">
        <f>'Segment Revenue Build'!L21</f>
        <v>0</v>
      </c>
      <c r="J37" s="1">
        <f>'Segment Revenue Build'!M21</f>
        <v>111.80711647307001</v>
      </c>
      <c r="K37" s="1">
        <f>'Segment Revenue Build'!N21</f>
        <v>393.5697489289476</v>
      </c>
      <c r="L37" s="1">
        <f>'Segment Revenue Build'!O21</f>
        <v>697.47681818046044</v>
      </c>
      <c r="M37" s="1">
        <f>'Segment Revenue Build'!P21</f>
        <v>1024.9304730951717</v>
      </c>
      <c r="N37" s="4"/>
      <c r="O37" s="4"/>
      <c r="P37" s="4"/>
      <c r="Q37" s="4"/>
      <c r="R37" s="4"/>
      <c r="S37" s="1"/>
      <c r="T37" s="1"/>
      <c r="U37" s="1"/>
      <c r="V37" s="1"/>
      <c r="W37" s="1"/>
      <c r="X37" s="1"/>
      <c r="Y37" s="1"/>
    </row>
    <row r="38" spans="1:25" ht="16" outlineLevel="1" collapsed="1" x14ac:dyDescent="0.2">
      <c r="A38" s="1" t="s">
        <v>132</v>
      </c>
      <c r="B38" s="1"/>
      <c r="C38" s="2"/>
      <c r="D38" s="3">
        <v>-36689</v>
      </c>
      <c r="E38" s="3">
        <v>-40121</v>
      </c>
      <c r="F38" s="3">
        <v>-36386</v>
      </c>
      <c r="G38" s="3">
        <v>-33849</v>
      </c>
      <c r="H38" s="3">
        <v>-32143</v>
      </c>
      <c r="I38" s="15">
        <f t="shared" ref="I38:R38" si="39">-I8*I36</f>
        <v>-31722.921533003904</v>
      </c>
      <c r="J38" s="15">
        <f t="shared" si="39"/>
        <v>-31484.241715824923</v>
      </c>
      <c r="K38" s="15">
        <f t="shared" si="39"/>
        <v>-31631.02710021145</v>
      </c>
      <c r="L38" s="15">
        <f t="shared" si="39"/>
        <v>-31521.328332328121</v>
      </c>
      <c r="M38" s="15">
        <f t="shared" si="39"/>
        <v>-31445.928394084443</v>
      </c>
      <c r="N38" s="15">
        <f t="shared" si="39"/>
        <v>0</v>
      </c>
      <c r="O38" s="15">
        <f t="shared" si="39"/>
        <v>0</v>
      </c>
      <c r="P38" s="15">
        <f t="shared" si="39"/>
        <v>0</v>
      </c>
      <c r="Q38" s="15">
        <f t="shared" si="39"/>
        <v>0</v>
      </c>
      <c r="R38" s="15">
        <f t="shared" si="39"/>
        <v>0</v>
      </c>
      <c r="S38" s="1"/>
      <c r="T38" s="1"/>
      <c r="U38" s="1"/>
      <c r="V38" s="1"/>
      <c r="W38" s="1"/>
      <c r="X38" s="1"/>
      <c r="Y38" s="1"/>
    </row>
    <row r="39" spans="1:25" ht="16" outlineLevel="1" x14ac:dyDescent="0.2">
      <c r="A39" s="6" t="s">
        <v>133</v>
      </c>
      <c r="B39" s="6"/>
      <c r="C39" s="7"/>
      <c r="D39" s="6">
        <f>SUM(D35:D38)</f>
        <v>10573</v>
      </c>
      <c r="E39" s="6">
        <f>SUM(E35:E38)</f>
        <v>11640</v>
      </c>
      <c r="F39" s="6">
        <f>SUM(F35:F38)</f>
        <v>9912</v>
      </c>
      <c r="G39" s="6">
        <f>SUM(G35:G38)</f>
        <v>9603</v>
      </c>
      <c r="H39" s="6">
        <f>SUM(H35:H38)</f>
        <v>9385</v>
      </c>
      <c r="I39" s="6">
        <f>I35+I38</f>
        <v>9181.329572766921</v>
      </c>
      <c r="J39" s="6">
        <f t="shared" ref="J39:M39" si="40">J35+J38</f>
        <v>9239.0763379545315</v>
      </c>
      <c r="K39" s="6">
        <f t="shared" si="40"/>
        <v>9576.5579437333035</v>
      </c>
      <c r="L39" s="6">
        <f t="shared" si="40"/>
        <v>9848.617723067051</v>
      </c>
      <c r="M39" s="6">
        <f t="shared" si="40"/>
        <v>10154.181581593326</v>
      </c>
      <c r="N39" s="6">
        <f>SUM(N36:N38)</f>
        <v>0</v>
      </c>
      <c r="O39" s="6">
        <f>SUM(O36:O38)</f>
        <v>0</v>
      </c>
      <c r="P39" s="6">
        <f>SUM(P36:P38)</f>
        <v>0</v>
      </c>
      <c r="Q39" s="6">
        <f>SUM(Q36:Q38)</f>
        <v>0</v>
      </c>
      <c r="R39" s="6">
        <f>SUM(R36:R38)</f>
        <v>0</v>
      </c>
      <c r="S39" s="1"/>
      <c r="T39" s="1"/>
      <c r="U39" s="1"/>
      <c r="V39" s="1"/>
      <c r="W39" s="1"/>
      <c r="X39" s="1"/>
      <c r="Y39" s="1"/>
    </row>
    <row r="40" spans="1:25" ht="16" outlineLevel="1" x14ac:dyDescent="0.2">
      <c r="A40" s="4" t="s">
        <v>134</v>
      </c>
      <c r="B40" s="4"/>
      <c r="C40" s="13"/>
      <c r="D40" s="16"/>
      <c r="E40" s="16"/>
      <c r="F40" s="16"/>
      <c r="G40" s="16"/>
      <c r="H40" s="105"/>
      <c r="I40" s="105"/>
      <c r="J40" s="16"/>
      <c r="K40" s="16"/>
      <c r="L40" s="16"/>
      <c r="M40" s="16"/>
      <c r="N40" s="16"/>
      <c r="O40" s="16"/>
      <c r="P40" s="16"/>
      <c r="Q40" s="16"/>
      <c r="R40" s="16"/>
      <c r="S40" s="1"/>
      <c r="T40" s="1"/>
      <c r="U40" s="1"/>
      <c r="V40" s="1"/>
      <c r="W40" s="1"/>
      <c r="X40" s="1"/>
      <c r="Y40" s="1"/>
    </row>
    <row r="41" spans="1:25" ht="16" outlineLevel="1" x14ac:dyDescent="0.2">
      <c r="A41" s="1" t="s">
        <v>135</v>
      </c>
      <c r="B41" s="1"/>
      <c r="C41" s="2"/>
      <c r="D41" s="3">
        <f>-7928-D44</f>
        <v>-7089</v>
      </c>
      <c r="E41" s="3">
        <f>-8635-E44</f>
        <v>-7766</v>
      </c>
      <c r="F41" s="3">
        <f>-7970-F44</f>
        <v>-7052</v>
      </c>
      <c r="G41" s="3">
        <f>-7876-G44</f>
        <v>-6953</v>
      </c>
      <c r="H41" s="3">
        <f>-7651-H44</f>
        <v>-6785</v>
      </c>
      <c r="I41" s="1">
        <f>SUM(I42:I43)</f>
        <v>-6871.6029421801768</v>
      </c>
      <c r="J41" s="1">
        <f>SUM(J42:J43)</f>
        <v>-6919.3142322513922</v>
      </c>
      <c r="K41" s="1">
        <f t="shared" ref="K41:M41" si="41">SUM(K42:K43)</f>
        <v>-7036.602630370242</v>
      </c>
      <c r="L41" s="1">
        <f t="shared" si="41"/>
        <v>-7143.0924135380337</v>
      </c>
      <c r="M41" s="1">
        <f t="shared" si="41"/>
        <v>-7258.1875652565222</v>
      </c>
      <c r="N41" s="1">
        <f>-(N9*N158+N10*N36)</f>
        <v>-4732.3499709641264</v>
      </c>
      <c r="O41" s="1">
        <f>-(O9*O158+O10*O36)</f>
        <v>-4685.0264712544849</v>
      </c>
      <c r="P41" s="1">
        <f>-(P9*P158+P10*P36)</f>
        <v>-4638.1762065419407</v>
      </c>
      <c r="Q41" s="1">
        <f>-(Q9*Q158+Q10*Q36)</f>
        <v>-4591.7944444765208</v>
      </c>
      <c r="R41" s="1">
        <f>-(R9*R158+R10*R36)</f>
        <v>-4545.8765000317562</v>
      </c>
      <c r="S41" s="1"/>
      <c r="T41" s="1"/>
      <c r="U41" s="25"/>
      <c r="V41" s="1"/>
      <c r="W41" s="1"/>
      <c r="X41" s="1"/>
      <c r="Y41" s="1"/>
    </row>
    <row r="42" spans="1:25" ht="16" hidden="1" outlineLevel="2" x14ac:dyDescent="0.2">
      <c r="A42" s="299" t="s">
        <v>136</v>
      </c>
      <c r="B42" s="1"/>
      <c r="C42" s="2"/>
      <c r="D42" s="3"/>
      <c r="E42" s="3"/>
      <c r="F42" s="3"/>
      <c r="G42" s="3"/>
      <c r="H42" s="3"/>
      <c r="I42" s="1">
        <f>-(I9*I158+I10*I36)</f>
        <v>-6871.6029421801768</v>
      </c>
      <c r="J42" s="1">
        <f t="shared" ref="J42:M42" si="42">-(J9*J158+J10*J36)</f>
        <v>-6889.4990011919072</v>
      </c>
      <c r="K42" s="1">
        <f t="shared" si="42"/>
        <v>-6931.6506973225223</v>
      </c>
      <c r="L42" s="1">
        <f t="shared" si="42"/>
        <v>-6957.0985953565778</v>
      </c>
      <c r="M42" s="1">
        <f t="shared" si="42"/>
        <v>-6984.8727724311429</v>
      </c>
      <c r="N42" s="1"/>
      <c r="O42" s="1"/>
      <c r="P42" s="1"/>
      <c r="Q42" s="1"/>
      <c r="R42" s="1"/>
      <c r="S42" s="1"/>
      <c r="T42" s="1"/>
      <c r="U42" s="25"/>
      <c r="V42" s="1"/>
      <c r="W42" s="1"/>
      <c r="X42" s="1"/>
      <c r="Y42" s="1"/>
    </row>
    <row r="43" spans="1:25" ht="16" hidden="1" outlineLevel="2" x14ac:dyDescent="0.2">
      <c r="A43" s="299" t="s">
        <v>137</v>
      </c>
      <c r="B43" s="1"/>
      <c r="C43" s="2"/>
      <c r="D43" s="3"/>
      <c r="E43" s="3"/>
      <c r="F43" s="3"/>
      <c r="G43" s="3"/>
      <c r="H43" s="3"/>
      <c r="I43" s="1">
        <f>-(1-I11)*I37</f>
        <v>0</v>
      </c>
      <c r="J43" s="1">
        <f>-(1-J11)*J37</f>
        <v>-29.815231059485331</v>
      </c>
      <c r="K43" s="1">
        <f>-(1-K11)*K37</f>
        <v>-104.95193304771934</v>
      </c>
      <c r="L43" s="1">
        <f t="shared" ref="L43:M43" si="43">-(1-L11)*L37</f>
        <v>-185.99381818145608</v>
      </c>
      <c r="M43" s="1">
        <f t="shared" si="43"/>
        <v>-273.31479282537907</v>
      </c>
      <c r="N43" s="1"/>
      <c r="O43" s="1"/>
      <c r="P43" s="1"/>
      <c r="Q43" s="1"/>
      <c r="R43" s="1"/>
      <c r="S43" s="1"/>
      <c r="T43" s="1"/>
      <c r="U43" s="25"/>
      <c r="V43" s="1"/>
      <c r="W43" s="1"/>
      <c r="X43" s="1"/>
      <c r="Y43" s="1"/>
    </row>
    <row r="44" spans="1:25" ht="16" outlineLevel="1" collapsed="1" x14ac:dyDescent="0.2">
      <c r="A44" s="1" t="s">
        <v>138</v>
      </c>
      <c r="B44" s="1"/>
      <c r="C44" s="2"/>
      <c r="D44" s="3">
        <v>-839</v>
      </c>
      <c r="E44" s="3">
        <v>-869</v>
      </c>
      <c r="F44" s="3">
        <v>-918</v>
      </c>
      <c r="G44" s="3">
        <v>-923</v>
      </c>
      <c r="H44" s="3">
        <v>-866</v>
      </c>
      <c r="I44" s="1">
        <f>-(I162+I168+I155)</f>
        <v>-765.50086140303415</v>
      </c>
      <c r="J44" s="1">
        <f>-(J162+J168+J155)</f>
        <v>-730.52958012409965</v>
      </c>
      <c r="K44" s="1">
        <f t="shared" ref="K44:R44" si="44">-(K162+K168+K155)</f>
        <v>-718.67649255818742</v>
      </c>
      <c r="L44" s="1">
        <f t="shared" si="44"/>
        <v>-708.29842906757801</v>
      </c>
      <c r="M44" s="1">
        <f t="shared" si="44"/>
        <v>-688.29098660317777</v>
      </c>
      <c r="N44" s="1">
        <f t="shared" si="44"/>
        <v>-675.92813980574363</v>
      </c>
      <c r="O44" s="1">
        <f t="shared" si="44"/>
        <v>-680.01738296990209</v>
      </c>
      <c r="P44" s="1">
        <f t="shared" si="44"/>
        <v>-684.79286144261005</v>
      </c>
      <c r="Q44" s="1">
        <f t="shared" si="44"/>
        <v>-693.92524664707446</v>
      </c>
      <c r="R44" s="1">
        <f t="shared" si="44"/>
        <v>-706.5642731038148</v>
      </c>
      <c r="S44" s="1"/>
      <c r="T44" s="1"/>
      <c r="U44" s="25"/>
      <c r="V44" s="1"/>
      <c r="W44" s="1"/>
      <c r="X44" s="1"/>
      <c r="Y44" s="1"/>
    </row>
    <row r="45" spans="1:25" ht="16" outlineLevel="1" x14ac:dyDescent="0.2">
      <c r="A45" s="1" t="s">
        <v>139</v>
      </c>
      <c r="B45" s="1"/>
      <c r="C45" s="2"/>
      <c r="D45" s="3">
        <v>-254</v>
      </c>
      <c r="E45" s="3">
        <v>34</v>
      </c>
      <c r="F45" s="3">
        <v>-147</v>
      </c>
      <c r="G45" s="3">
        <v>-153</v>
      </c>
      <c r="H45" s="3">
        <v>3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/>
      <c r="T45" s="1"/>
      <c r="U45" s="1"/>
      <c r="V45" s="1"/>
      <c r="W45" s="1"/>
      <c r="X45" s="1"/>
      <c r="Y45" s="1"/>
    </row>
    <row r="46" spans="1:25" ht="16" outlineLevel="1" x14ac:dyDescent="0.2">
      <c r="A46" s="29" t="s">
        <v>140</v>
      </c>
      <c r="B46" s="29"/>
      <c r="C46" s="30"/>
      <c r="D46" s="31">
        <v>0</v>
      </c>
      <c r="E46" s="31">
        <v>0</v>
      </c>
      <c r="F46" s="31">
        <v>0</v>
      </c>
      <c r="G46" s="31">
        <v>0</v>
      </c>
      <c r="H46" s="31">
        <v>-475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1"/>
      <c r="T46" s="1"/>
      <c r="U46" s="1"/>
      <c r="V46" s="1"/>
      <c r="W46" s="1"/>
      <c r="X46" s="1"/>
      <c r="Y46" s="1"/>
    </row>
    <row r="47" spans="1:25" ht="16" outlineLevel="1" x14ac:dyDescent="0.2">
      <c r="A47" s="4" t="s">
        <v>141</v>
      </c>
      <c r="B47" s="1"/>
      <c r="C47" s="2"/>
      <c r="D47" s="4">
        <f>SUM(D39:D46)</f>
        <v>2391</v>
      </c>
      <c r="E47" s="4">
        <f>SUM(E39:E46)</f>
        <v>3039</v>
      </c>
      <c r="F47" s="4">
        <f>SUM(F39:F46)</f>
        <v>1795</v>
      </c>
      <c r="G47" s="4">
        <f>SUM(G39:G46)</f>
        <v>1574</v>
      </c>
      <c r="H47" s="4">
        <f>SUM(H39:H46)</f>
        <v>1262</v>
      </c>
      <c r="I47" s="4">
        <f>I39+I41+SUM(I44:I46)</f>
        <v>1544.2257691837101</v>
      </c>
      <c r="J47" s="4">
        <f t="shared" ref="J47:M47" si="45">J39+J41+SUM(J44:J46)</f>
        <v>1589.2325255790397</v>
      </c>
      <c r="K47" s="4">
        <f t="shared" si="45"/>
        <v>1821.2788208048742</v>
      </c>
      <c r="L47" s="4">
        <f t="shared" si="45"/>
        <v>1997.2268804614391</v>
      </c>
      <c r="M47" s="4">
        <f t="shared" si="45"/>
        <v>2207.703029733626</v>
      </c>
      <c r="N47" s="4">
        <f t="shared" ref="N47:R47" si="46">SUM(N39:N46)</f>
        <v>-5408.2781107698702</v>
      </c>
      <c r="O47" s="4">
        <f t="shared" si="46"/>
        <v>-5365.0438542243874</v>
      </c>
      <c r="P47" s="4">
        <f t="shared" si="46"/>
        <v>-5322.9690679845507</v>
      </c>
      <c r="Q47" s="4">
        <f t="shared" si="46"/>
        <v>-5285.7196911235951</v>
      </c>
      <c r="R47" s="4">
        <f t="shared" si="46"/>
        <v>-5252.4407731355714</v>
      </c>
      <c r="S47" s="1"/>
      <c r="T47" s="1"/>
      <c r="U47" s="1"/>
      <c r="V47" s="1"/>
      <c r="W47" s="1"/>
      <c r="X47" s="1"/>
      <c r="Y47" s="1"/>
    </row>
    <row r="48" spans="1:25" ht="16" outlineLevel="1" x14ac:dyDescent="0.2">
      <c r="A48" s="32" t="s">
        <v>142</v>
      </c>
      <c r="B48" s="34"/>
      <c r="C48" s="35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1"/>
      <c r="T48" s="1"/>
      <c r="U48" s="1"/>
      <c r="V48" s="1"/>
      <c r="W48" s="1"/>
      <c r="X48" s="1"/>
      <c r="Y48" s="1"/>
    </row>
    <row r="49" spans="1:25" ht="16" outlineLevel="1" x14ac:dyDescent="0.2">
      <c r="A49" s="34" t="s">
        <v>143</v>
      </c>
      <c r="B49" s="32"/>
      <c r="C49" s="33"/>
      <c r="D49" s="3"/>
      <c r="E49" s="3"/>
      <c r="F49" s="3">
        <v>0</v>
      </c>
      <c r="G49" s="3">
        <v>21</v>
      </c>
      <c r="H49" s="3">
        <v>0</v>
      </c>
      <c r="I49" s="32">
        <v>0</v>
      </c>
      <c r="J49" s="32">
        <v>0</v>
      </c>
      <c r="K49" s="32">
        <v>0</v>
      </c>
      <c r="L49" s="32">
        <v>0</v>
      </c>
      <c r="M49" s="32">
        <v>0</v>
      </c>
      <c r="N49" s="32">
        <v>0</v>
      </c>
      <c r="O49" s="32">
        <v>0</v>
      </c>
      <c r="P49" s="32">
        <v>0</v>
      </c>
      <c r="Q49" s="32">
        <v>0</v>
      </c>
      <c r="R49" s="32">
        <v>0</v>
      </c>
      <c r="S49" s="1"/>
      <c r="T49" s="1"/>
      <c r="U49" s="1"/>
      <c r="V49" s="1"/>
      <c r="W49" s="1"/>
      <c r="X49" s="1"/>
      <c r="Y49" s="1"/>
    </row>
    <row r="50" spans="1:25" ht="16" outlineLevel="1" x14ac:dyDescent="0.2">
      <c r="A50" s="1" t="s">
        <v>144</v>
      </c>
      <c r="B50" s="1"/>
      <c r="C50" s="2"/>
      <c r="D50" s="3">
        <v>38</v>
      </c>
      <c r="E50" s="3">
        <v>10</v>
      </c>
      <c r="F50" s="3">
        <v>28</v>
      </c>
      <c r="G50" s="3">
        <v>78</v>
      </c>
      <c r="H50" s="3">
        <v>84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/>
      <c r="T50" s="34"/>
      <c r="U50" s="34"/>
      <c r="V50" s="34"/>
      <c r="W50" s="34"/>
      <c r="X50" s="34"/>
      <c r="Y50" s="1"/>
    </row>
    <row r="51" spans="1:25" ht="16" outlineLevel="1" x14ac:dyDescent="0.2">
      <c r="A51" s="29" t="s">
        <v>145</v>
      </c>
      <c r="B51" s="29"/>
      <c r="C51" s="30"/>
      <c r="D51" s="31">
        <v>-52</v>
      </c>
      <c r="E51" s="31">
        <v>-25</v>
      </c>
      <c r="F51" s="31">
        <v>-35</v>
      </c>
      <c r="G51" s="31">
        <v>-52</v>
      </c>
      <c r="H51" s="31">
        <v>-51</v>
      </c>
      <c r="I51" s="29">
        <f t="shared" ref="I51:R51" si="47">-I17*AVERAGE(H178:I178)</f>
        <v>-51</v>
      </c>
      <c r="J51" s="29">
        <f t="shared" si="47"/>
        <v>-51</v>
      </c>
      <c r="K51" s="29">
        <f t="shared" si="47"/>
        <v>-51</v>
      </c>
      <c r="L51" s="29">
        <f t="shared" si="47"/>
        <v>-51</v>
      </c>
      <c r="M51" s="29">
        <f t="shared" si="47"/>
        <v>-51</v>
      </c>
      <c r="N51" s="29">
        <f t="shared" si="47"/>
        <v>-51</v>
      </c>
      <c r="O51" s="29">
        <f t="shared" si="47"/>
        <v>-51</v>
      </c>
      <c r="P51" s="29">
        <f t="shared" si="47"/>
        <v>-51</v>
      </c>
      <c r="Q51" s="29">
        <f t="shared" si="47"/>
        <v>-51</v>
      </c>
      <c r="R51" s="29">
        <f t="shared" si="47"/>
        <v>-51</v>
      </c>
      <c r="S51" s="34"/>
      <c r="T51" s="32"/>
      <c r="U51" s="32"/>
      <c r="V51" s="32"/>
      <c r="W51" s="32"/>
      <c r="X51" s="32"/>
      <c r="Y51" s="34"/>
    </row>
    <row r="52" spans="1:25" ht="16" outlineLevel="1" x14ac:dyDescent="0.2">
      <c r="A52" s="4" t="s">
        <v>146</v>
      </c>
      <c r="B52" s="1"/>
      <c r="C52" s="2"/>
      <c r="D52" s="4">
        <f t="shared" ref="D52" si="48">SUM(D47:D51)</f>
        <v>2377</v>
      </c>
      <c r="E52" s="4">
        <f t="shared" ref="E52" si="49">SUM(E47:E51)</f>
        <v>3024</v>
      </c>
      <c r="F52" s="4">
        <f t="shared" ref="F52" si="50">SUM(F47:F51)</f>
        <v>1788</v>
      </c>
      <c r="G52" s="4">
        <f>SUM(G47:G51)</f>
        <v>1621</v>
      </c>
      <c r="H52" s="4">
        <f>SUM(H47:H51)</f>
        <v>1295</v>
      </c>
      <c r="I52" s="4">
        <f>SUM(I47:I51)</f>
        <v>1493.2257691837101</v>
      </c>
      <c r="J52" s="4">
        <f t="shared" ref="J52:R52" si="51">SUM(J47:J51)</f>
        <v>1538.2325255790397</v>
      </c>
      <c r="K52" s="4">
        <f t="shared" si="51"/>
        <v>1770.2788208048742</v>
      </c>
      <c r="L52" s="4">
        <f t="shared" si="51"/>
        <v>1946.2268804614391</v>
      </c>
      <c r="M52" s="4">
        <f t="shared" si="51"/>
        <v>2156.703029733626</v>
      </c>
      <c r="N52" s="4">
        <f t="shared" si="51"/>
        <v>-5459.2781107698702</v>
      </c>
      <c r="O52" s="4">
        <f t="shared" si="51"/>
        <v>-5416.0438542243874</v>
      </c>
      <c r="P52" s="4">
        <f t="shared" si="51"/>
        <v>-5373.9690679845507</v>
      </c>
      <c r="Q52" s="4">
        <f t="shared" si="51"/>
        <v>-5336.7196911235951</v>
      </c>
      <c r="R52" s="4">
        <f t="shared" si="51"/>
        <v>-5303.4407731355714</v>
      </c>
      <c r="S52" s="1"/>
      <c r="T52" s="34"/>
      <c r="U52" s="34"/>
      <c r="V52" s="34"/>
      <c r="W52" s="34"/>
      <c r="X52" s="34"/>
      <c r="Y52" s="1"/>
    </row>
    <row r="53" spans="1:25" ht="16" outlineLevel="1" x14ac:dyDescent="0.2">
      <c r="A53" s="1" t="s">
        <v>147</v>
      </c>
      <c r="B53" s="1"/>
      <c r="C53" s="2"/>
      <c r="D53" s="3">
        <v>-579</v>
      </c>
      <c r="E53" s="3">
        <v>-574</v>
      </c>
      <c r="F53" s="3">
        <v>-370</v>
      </c>
      <c r="G53" s="3">
        <v>-381</v>
      </c>
      <c r="H53" s="3">
        <v>-372</v>
      </c>
      <c r="I53" s="15">
        <f t="shared" ref="I53:R53" si="52">I52*-I18</f>
        <v>-357.27487728935398</v>
      </c>
      <c r="J53" s="15">
        <f t="shared" si="52"/>
        <v>-505.09127705580408</v>
      </c>
      <c r="K53" s="15">
        <f t="shared" si="52"/>
        <v>-571.20996617970604</v>
      </c>
      <c r="L53" s="15">
        <f t="shared" si="52"/>
        <v>-627.98254009555762</v>
      </c>
      <c r="M53" s="15">
        <f t="shared" si="52"/>
        <v>-695.89617759404996</v>
      </c>
      <c r="N53" s="15">
        <f t="shared" si="52"/>
        <v>1761.5270704084114</v>
      </c>
      <c r="O53" s="15">
        <f t="shared" si="52"/>
        <v>1747.5768169630689</v>
      </c>
      <c r="P53" s="15">
        <f t="shared" si="52"/>
        <v>1734.0006859363484</v>
      </c>
      <c r="Q53" s="15">
        <f t="shared" si="52"/>
        <v>1721.9815536692133</v>
      </c>
      <c r="R53" s="15">
        <f t="shared" si="52"/>
        <v>1711.2435561317443</v>
      </c>
      <c r="S53" s="1"/>
      <c r="T53" s="1"/>
      <c r="U53" s="1"/>
      <c r="V53" s="1"/>
      <c r="W53" s="1"/>
      <c r="X53" s="1"/>
      <c r="Y53" s="1"/>
    </row>
    <row r="54" spans="1:25" ht="16" outlineLevel="1" x14ac:dyDescent="0.2">
      <c r="A54" s="1" t="s">
        <v>148</v>
      </c>
      <c r="D54" s="3">
        <v>0</v>
      </c>
      <c r="E54" s="3">
        <v>4</v>
      </c>
      <c r="F54" s="3">
        <v>1</v>
      </c>
      <c r="G54" s="3">
        <v>1</v>
      </c>
      <c r="H54" s="3">
        <v>4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1"/>
      <c r="T54" s="1"/>
      <c r="U54" s="1"/>
      <c r="V54" s="1"/>
      <c r="W54" s="1"/>
      <c r="X54" s="1"/>
      <c r="Y54" s="1"/>
    </row>
    <row r="55" spans="1:25" ht="16" outlineLevel="1" x14ac:dyDescent="0.2">
      <c r="A55" s="17" t="s">
        <v>149</v>
      </c>
      <c r="B55" s="17"/>
      <c r="C55" s="18"/>
      <c r="D55" s="17">
        <f t="shared" ref="D55:G55" si="53">SUM(D52:D54)</f>
        <v>1798</v>
      </c>
      <c r="E55" s="17">
        <f t="shared" si="53"/>
        <v>2454</v>
      </c>
      <c r="F55" s="17">
        <f>SUM(F52:F54)</f>
        <v>1419</v>
      </c>
      <c r="G55" s="17">
        <f t="shared" si="53"/>
        <v>1241</v>
      </c>
      <c r="H55" s="17">
        <f t="shared" ref="H55:M55" si="54">SUM(H52:H54)</f>
        <v>927</v>
      </c>
      <c r="I55" s="17">
        <f>SUM(I52:I54)</f>
        <v>1135.9508918943561</v>
      </c>
      <c r="J55" s="17">
        <f t="shared" si="54"/>
        <v>1033.1412485232356</v>
      </c>
      <c r="K55" s="17">
        <f t="shared" si="54"/>
        <v>1199.0688546251681</v>
      </c>
      <c r="L55" s="17">
        <f t="shared" si="54"/>
        <v>1318.2443403658815</v>
      </c>
      <c r="M55" s="17">
        <f t="shared" si="54"/>
        <v>1460.806852139576</v>
      </c>
      <c r="N55" s="17">
        <f t="shared" ref="N55:R55" si="55">SUM(N52:N54)</f>
        <v>-3697.7510403614588</v>
      </c>
      <c r="O55" s="17">
        <f t="shared" si="55"/>
        <v>-3668.4670372613182</v>
      </c>
      <c r="P55" s="17">
        <f t="shared" si="55"/>
        <v>-3639.9683820482023</v>
      </c>
      <c r="Q55" s="17">
        <f t="shared" si="55"/>
        <v>-3614.738137454382</v>
      </c>
      <c r="R55" s="17">
        <f t="shared" si="55"/>
        <v>-3592.1972170038271</v>
      </c>
      <c r="S55" s="1"/>
      <c r="Y55" s="1"/>
    </row>
    <row r="56" spans="1:25" ht="17" outlineLevel="1" thickTop="1" x14ac:dyDescent="0.2">
      <c r="A56" s="32"/>
      <c r="B56" s="32"/>
      <c r="C56" s="33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1"/>
      <c r="T56" s="1"/>
      <c r="U56" s="1"/>
      <c r="V56" s="1"/>
      <c r="W56" s="1"/>
      <c r="X56" s="1"/>
      <c r="Y56" s="1"/>
    </row>
    <row r="57" spans="1:25" s="39" customFormat="1" ht="16" outlineLevel="1" x14ac:dyDescent="0.2">
      <c r="A57" s="36" t="s">
        <v>150</v>
      </c>
      <c r="B57" s="36"/>
      <c r="C57" s="37"/>
      <c r="D57" s="36">
        <v>263</v>
      </c>
      <c r="E57" s="36">
        <v>249.3</v>
      </c>
      <c r="F57" s="36">
        <v>225.7</v>
      </c>
      <c r="G57" s="36">
        <v>218.5</v>
      </c>
      <c r="H57" s="36">
        <v>216.6</v>
      </c>
      <c r="I57" s="36">
        <f>H57+I58</f>
        <v>209.59029126213591</v>
      </c>
      <c r="J57" s="36">
        <f t="shared" ref="J57:R57" si="56">I57+J58</f>
        <v>205.66472529104846</v>
      </c>
      <c r="K57" s="36">
        <f t="shared" si="56"/>
        <v>200.81779446117594</v>
      </c>
      <c r="L57" s="36">
        <f t="shared" si="56"/>
        <v>196.34768438231853</v>
      </c>
      <c r="M57" s="36">
        <f t="shared" si="56"/>
        <v>192.0398837526802</v>
      </c>
      <c r="N57" s="36">
        <f t="shared" si="56"/>
        <v>198.60897574043631</v>
      </c>
      <c r="O57" s="36">
        <f t="shared" si="56"/>
        <v>195.31825092551031</v>
      </c>
      <c r="P57" s="36">
        <f t="shared" si="56"/>
        <v>192.0820637587608</v>
      </c>
      <c r="Q57" s="36">
        <f t="shared" si="56"/>
        <v>188.89957750162807</v>
      </c>
      <c r="R57" s="36">
        <f t="shared" si="56"/>
        <v>185.77198470485968</v>
      </c>
      <c r="S57" s="38"/>
      <c r="T57" s="38"/>
      <c r="U57" s="38"/>
      <c r="V57" s="38"/>
      <c r="W57" s="38"/>
      <c r="X57" s="38"/>
      <c r="Y57" s="38"/>
    </row>
    <row r="58" spans="1:25" s="39" customFormat="1" ht="16" outlineLevel="1" x14ac:dyDescent="0.2">
      <c r="A58" s="113" t="s">
        <v>151</v>
      </c>
      <c r="B58" s="36"/>
      <c r="C58" s="37"/>
      <c r="D58" s="114"/>
      <c r="E58" s="112">
        <f t="shared" ref="E58:G58" si="57">E57-D57</f>
        <v>-13.699999999999989</v>
      </c>
      <c r="F58" s="112">
        <f t="shared" si="57"/>
        <v>-23.600000000000023</v>
      </c>
      <c r="G58" s="112">
        <f t="shared" si="57"/>
        <v>-7.1999999999999886</v>
      </c>
      <c r="H58" s="112">
        <f>H57-G57</f>
        <v>-1.9000000000000057</v>
      </c>
      <c r="I58" s="112">
        <f t="shared" ref="I58:R58" si="58">I131/(I29*H55/H57)</f>
        <v>-7.0097087378640781</v>
      </c>
      <c r="J58" s="112">
        <f t="shared" si="58"/>
        <v>-3.9255659710874498</v>
      </c>
      <c r="K58" s="112">
        <f t="shared" si="58"/>
        <v>-4.8469308298725284</v>
      </c>
      <c r="L58" s="112">
        <f t="shared" si="58"/>
        <v>-4.4701100788574077</v>
      </c>
      <c r="M58" s="112">
        <f t="shared" si="58"/>
        <v>-4.3078006296383444</v>
      </c>
      <c r="N58" s="112">
        <f t="shared" si="58"/>
        <v>6.5690919877561234</v>
      </c>
      <c r="O58" s="112">
        <f t="shared" si="58"/>
        <v>-3.2907248149259982</v>
      </c>
      <c r="P58" s="112">
        <f t="shared" si="58"/>
        <v>-3.2361871667495241</v>
      </c>
      <c r="Q58" s="112">
        <f t="shared" si="58"/>
        <v>-3.1824862571327275</v>
      </c>
      <c r="R58" s="112">
        <f t="shared" si="58"/>
        <v>-3.1275927967683916</v>
      </c>
      <c r="S58" s="38"/>
      <c r="T58" s="38"/>
      <c r="U58" s="38"/>
      <c r="V58" s="38"/>
      <c r="W58" s="38"/>
      <c r="X58" s="38"/>
      <c r="Y58" s="38"/>
    </row>
    <row r="59" spans="1:25" ht="16" outlineLevel="1" x14ac:dyDescent="0.2">
      <c r="A59" s="1"/>
      <c r="B59" s="1"/>
      <c r="C59" s="2"/>
      <c r="D59" s="3"/>
      <c r="E59" s="3"/>
      <c r="F59" s="3"/>
      <c r="G59" s="3"/>
      <c r="H59" s="3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6" outlineLevel="1" x14ac:dyDescent="0.2">
      <c r="A60" s="36" t="s">
        <v>152</v>
      </c>
      <c r="B60" s="1"/>
      <c r="C60" s="2"/>
      <c r="D60" s="40">
        <f t="shared" ref="D60:F60" si="59">D55/D57</f>
        <v>6.836501901140684</v>
      </c>
      <c r="E60" s="40">
        <f t="shared" si="59"/>
        <v>9.8435619735258726</v>
      </c>
      <c r="F60" s="40">
        <f t="shared" si="59"/>
        <v>6.2871067789100579</v>
      </c>
      <c r="G60" s="40">
        <f>G55/G57</f>
        <v>5.6796338672768876</v>
      </c>
      <c r="H60" s="40">
        <f>H55/H57</f>
        <v>4.2797783933518003</v>
      </c>
      <c r="I60" s="40">
        <f>I55/I57</f>
        <v>5.4198640836545957</v>
      </c>
      <c r="J60" s="40">
        <f t="shared" ref="J60:R60" si="60">J55/J57</f>
        <v>5.0234246395981401</v>
      </c>
      <c r="K60" s="40">
        <f t="shared" si="60"/>
        <v>5.9709293085428436</v>
      </c>
      <c r="L60" s="40">
        <f t="shared" si="60"/>
        <v>6.7138267737299167</v>
      </c>
      <c r="M60" s="40">
        <f t="shared" si="60"/>
        <v>7.606788879443843</v>
      </c>
      <c r="N60" s="40">
        <f t="shared" si="60"/>
        <v>-18.618247370622765</v>
      </c>
      <c r="O60" s="40">
        <f t="shared" si="60"/>
        <v>-18.78199819975033</v>
      </c>
      <c r="P60" s="40">
        <f t="shared" si="60"/>
        <v>-18.950069104941011</v>
      </c>
      <c r="Q60" s="40">
        <f t="shared" si="60"/>
        <v>-19.135766131733288</v>
      </c>
      <c r="R60" s="40">
        <f t="shared" si="60"/>
        <v>-19.336592773721158</v>
      </c>
      <c r="S60" s="1"/>
      <c r="T60" s="1"/>
      <c r="U60" s="1"/>
      <c r="V60" s="1"/>
      <c r="W60" s="1"/>
      <c r="X60" s="1"/>
      <c r="Y60" s="1"/>
    </row>
    <row r="61" spans="1:25" ht="16" x14ac:dyDescent="0.2">
      <c r="A61" s="1"/>
      <c r="B61" s="1"/>
      <c r="C61" s="2"/>
      <c r="D61" s="3"/>
      <c r="E61" s="3"/>
      <c r="F61" s="3"/>
      <c r="G61" s="3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s="56" customFormat="1" ht="20" x14ac:dyDescent="0.2">
      <c r="A62" s="54" t="s">
        <v>153</v>
      </c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5"/>
      <c r="T62" s="55"/>
      <c r="U62" s="55"/>
      <c r="V62" s="55"/>
      <c r="W62" s="55"/>
      <c r="X62" s="55"/>
      <c r="Y62" s="55"/>
    </row>
    <row r="63" spans="1:25" ht="16" outlineLevel="1" x14ac:dyDescent="0.2">
      <c r="A63" s="1"/>
      <c r="B63" s="1"/>
      <c r="C63" s="2"/>
      <c r="D63" s="3"/>
      <c r="E63" s="3"/>
      <c r="F63" s="3"/>
      <c r="G63" s="3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6" outlineLevel="1" x14ac:dyDescent="0.2">
      <c r="A64" s="4" t="s">
        <v>154</v>
      </c>
      <c r="B64" s="1"/>
      <c r="C64" s="2"/>
      <c r="D64" s="3"/>
      <c r="E64" s="3"/>
      <c r="F64" s="3"/>
      <c r="G64" s="3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6" outlineLevel="1" x14ac:dyDescent="0.2">
      <c r="A65" s="4" t="s">
        <v>155</v>
      </c>
      <c r="B65" s="1"/>
      <c r="C65" s="2"/>
      <c r="D65" s="3"/>
      <c r="E65" s="3"/>
      <c r="F65" s="3"/>
      <c r="G65" s="3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6" outlineLevel="1" x14ac:dyDescent="0.2">
      <c r="A66" s="1" t="s">
        <v>156</v>
      </c>
      <c r="B66" s="1"/>
      <c r="C66" s="19"/>
      <c r="D66" s="3">
        <v>5494</v>
      </c>
      <c r="E66" s="3">
        <v>2936</v>
      </c>
      <c r="F66" s="3">
        <v>1874</v>
      </c>
      <c r="G66" s="3">
        <v>1447</v>
      </c>
      <c r="H66" s="3">
        <v>1578</v>
      </c>
      <c r="I66" s="1">
        <f t="shared" ref="I66:R66" si="61">I137+H66</f>
        <v>1948.0482611048596</v>
      </c>
      <c r="J66" s="1">
        <f t="shared" si="61"/>
        <v>1925.6521954474933</v>
      </c>
      <c r="K66" s="1">
        <f t="shared" si="61"/>
        <v>2010.6591769486715</v>
      </c>
      <c r="L66" s="1">
        <f t="shared" si="61"/>
        <v>2175.5234823104138</v>
      </c>
      <c r="M66" s="1">
        <f t="shared" si="61"/>
        <v>2415.9687622593933</v>
      </c>
      <c r="N66" s="1">
        <f t="shared" si="61"/>
        <v>-321.52493738661997</v>
      </c>
      <c r="O66" s="1">
        <f t="shared" si="61"/>
        <v>-3492.8327225345588</v>
      </c>
      <c r="P66" s="1">
        <f t="shared" si="61"/>
        <v>-6654.5197792066356</v>
      </c>
      <c r="Q66" s="1">
        <f t="shared" si="61"/>
        <v>-9807.1145213376531</v>
      </c>
      <c r="R66" s="1">
        <f t="shared" si="61"/>
        <v>-12951.241712844971</v>
      </c>
      <c r="S66" s="1"/>
      <c r="T66" s="1"/>
      <c r="U66" s="1"/>
      <c r="V66" s="1"/>
      <c r="W66" s="1"/>
      <c r="X66" s="1"/>
      <c r="Y66" s="1"/>
    </row>
    <row r="67" spans="1:25" ht="16" outlineLevel="1" x14ac:dyDescent="0.2">
      <c r="A67" s="1" t="s">
        <v>157</v>
      </c>
      <c r="B67" s="1"/>
      <c r="C67" s="19"/>
      <c r="D67" s="3">
        <v>1061</v>
      </c>
      <c r="E67" s="3">
        <v>1042</v>
      </c>
      <c r="F67" s="3">
        <v>1141</v>
      </c>
      <c r="G67" s="3">
        <v>939</v>
      </c>
      <c r="H67" s="3">
        <v>1044</v>
      </c>
      <c r="I67" s="298">
        <f>I144</f>
        <v>896.531531085388</v>
      </c>
      <c r="J67" s="298">
        <f t="shared" ref="J67:R67" si="62">J144</f>
        <v>890.11530821493443</v>
      </c>
      <c r="K67" s="298">
        <f t="shared" si="62"/>
        <v>894.55375989075742</v>
      </c>
      <c r="L67" s="298">
        <f t="shared" si="62"/>
        <v>891.45138054169229</v>
      </c>
      <c r="M67" s="298">
        <f t="shared" si="62"/>
        <v>889.31900279633089</v>
      </c>
      <c r="N67" s="70">
        <f t="shared" si="62"/>
        <v>0</v>
      </c>
      <c r="O67" s="70">
        <f t="shared" si="62"/>
        <v>0</v>
      </c>
      <c r="P67" s="70">
        <f t="shared" si="62"/>
        <v>0</v>
      </c>
      <c r="Q67" s="70">
        <f t="shared" si="62"/>
        <v>0</v>
      </c>
      <c r="R67" s="70">
        <f t="shared" si="62"/>
        <v>0</v>
      </c>
      <c r="S67" s="1"/>
      <c r="T67" s="1"/>
      <c r="U67" s="1"/>
      <c r="V67" s="1"/>
      <c r="W67" s="1"/>
      <c r="X67" s="1"/>
      <c r="Y67" s="1"/>
    </row>
    <row r="68" spans="1:25" ht="16" outlineLevel="1" x14ac:dyDescent="0.2">
      <c r="A68" s="1" t="s">
        <v>158</v>
      </c>
      <c r="B68" s="1"/>
      <c r="C68" s="19"/>
      <c r="D68" s="3">
        <v>5612</v>
      </c>
      <c r="E68" s="3">
        <v>5965</v>
      </c>
      <c r="F68" s="3">
        <v>5140</v>
      </c>
      <c r="G68" s="3">
        <v>4958</v>
      </c>
      <c r="H68" s="3">
        <v>5085</v>
      </c>
      <c r="I68" s="1">
        <f t="shared" ref="I68:R68" si="63">-I38*I20/I31</f>
        <v>4743.040570910829</v>
      </c>
      <c r="J68" s="1">
        <f t="shared" si="63"/>
        <v>4707.354448648739</v>
      </c>
      <c r="K68" s="1">
        <f t="shared" si="63"/>
        <v>4729.3010096752096</v>
      </c>
      <c r="L68" s="1">
        <f t="shared" si="63"/>
        <v>4712.8994400370466</v>
      </c>
      <c r="M68" s="1">
        <f t="shared" si="63"/>
        <v>4701.6260468925384</v>
      </c>
      <c r="N68" s="1">
        <f t="shared" si="63"/>
        <v>0</v>
      </c>
      <c r="O68" s="1">
        <f t="shared" si="63"/>
        <v>0</v>
      </c>
      <c r="P68" s="1">
        <f t="shared" si="63"/>
        <v>0</v>
      </c>
      <c r="Q68" s="1">
        <f t="shared" si="63"/>
        <v>0</v>
      </c>
      <c r="R68" s="1">
        <f t="shared" si="63"/>
        <v>0</v>
      </c>
      <c r="S68" s="1"/>
      <c r="T68" s="1"/>
      <c r="U68" s="1"/>
      <c r="V68" s="1"/>
      <c r="W68" s="1"/>
      <c r="X68" s="1"/>
      <c r="Y68" s="1"/>
    </row>
    <row r="69" spans="1:25" ht="16" outlineLevel="1" x14ac:dyDescent="0.2">
      <c r="A69" s="1" t="s">
        <v>159</v>
      </c>
      <c r="B69" s="1"/>
      <c r="C69" s="2"/>
      <c r="D69" s="3">
        <v>373</v>
      </c>
      <c r="E69" s="3">
        <v>596</v>
      </c>
      <c r="F69" s="3">
        <v>647</v>
      </c>
      <c r="G69" s="3">
        <v>553</v>
      </c>
      <c r="H69" s="3">
        <v>517</v>
      </c>
      <c r="I69" s="1">
        <f>H69</f>
        <v>517</v>
      </c>
      <c r="J69" s="1">
        <f t="shared" ref="J69:R69" si="64">I69</f>
        <v>517</v>
      </c>
      <c r="K69" s="1">
        <f t="shared" si="64"/>
        <v>517</v>
      </c>
      <c r="L69" s="1">
        <f t="shared" si="64"/>
        <v>517</v>
      </c>
      <c r="M69" s="1">
        <f t="shared" si="64"/>
        <v>517</v>
      </c>
      <c r="N69" s="1">
        <f t="shared" si="64"/>
        <v>517</v>
      </c>
      <c r="O69" s="1">
        <f t="shared" si="64"/>
        <v>517</v>
      </c>
      <c r="P69" s="1">
        <f t="shared" si="64"/>
        <v>517</v>
      </c>
      <c r="Q69" s="1">
        <f t="shared" si="64"/>
        <v>517</v>
      </c>
      <c r="R69" s="1">
        <f t="shared" si="64"/>
        <v>517</v>
      </c>
      <c r="S69" s="1"/>
      <c r="T69" s="1"/>
      <c r="U69" s="1"/>
      <c r="V69" s="1"/>
      <c r="W69" s="1"/>
      <c r="X69" s="1"/>
      <c r="Y69" s="1"/>
    </row>
    <row r="70" spans="1:25" ht="16" outlineLevel="1" x14ac:dyDescent="0.2">
      <c r="A70" s="6" t="s">
        <v>160</v>
      </c>
      <c r="B70" s="6"/>
      <c r="C70" s="7"/>
      <c r="D70" s="6">
        <f t="shared" ref="D70:G70" si="65">SUM(D66:D69)</f>
        <v>12540</v>
      </c>
      <c r="E70" s="6">
        <f t="shared" si="65"/>
        <v>10539</v>
      </c>
      <c r="F70" s="6">
        <f t="shared" si="65"/>
        <v>8802</v>
      </c>
      <c r="G70" s="6">
        <f t="shared" si="65"/>
        <v>7897</v>
      </c>
      <c r="H70" s="6">
        <f t="shared" ref="H70" si="66">SUM(H66:H69)</f>
        <v>8224</v>
      </c>
      <c r="I70" s="6">
        <f>SUM(I66:I69)</f>
        <v>8104.6203631010767</v>
      </c>
      <c r="J70" s="6">
        <f t="shared" ref="J70:R70" si="67">SUM(J66:J69)</f>
        <v>8040.1219523111668</v>
      </c>
      <c r="K70" s="6">
        <f t="shared" si="67"/>
        <v>8151.5139465146385</v>
      </c>
      <c r="L70" s="6">
        <f t="shared" si="67"/>
        <v>8296.8743028891531</v>
      </c>
      <c r="M70" s="6">
        <f t="shared" si="67"/>
        <v>8523.9138119482632</v>
      </c>
      <c r="N70" s="6">
        <f t="shared" si="67"/>
        <v>195.47506261338003</v>
      </c>
      <c r="O70" s="6">
        <f t="shared" si="67"/>
        <v>-2975.8327225345588</v>
      </c>
      <c r="P70" s="6">
        <f t="shared" si="67"/>
        <v>-6137.5197792066356</v>
      </c>
      <c r="Q70" s="6">
        <f t="shared" si="67"/>
        <v>-9290.1145213376531</v>
      </c>
      <c r="R70" s="6">
        <f t="shared" si="67"/>
        <v>-12434.241712844971</v>
      </c>
      <c r="S70" s="1"/>
      <c r="T70" s="1"/>
      <c r="U70" s="1"/>
      <c r="V70" s="1"/>
      <c r="W70" s="1"/>
      <c r="X70" s="1"/>
      <c r="Y70" s="1"/>
    </row>
    <row r="71" spans="1:25" ht="16" outlineLevel="1" x14ac:dyDescent="0.2">
      <c r="A71" s="78" t="s">
        <v>161</v>
      </c>
      <c r="B71" s="34"/>
      <c r="C71" s="35"/>
      <c r="D71" s="3">
        <v>2260</v>
      </c>
      <c r="E71" s="3">
        <v>2250</v>
      </c>
      <c r="F71" s="3">
        <v>2352</v>
      </c>
      <c r="G71" s="3">
        <v>2260</v>
      </c>
      <c r="H71" s="3">
        <v>2122</v>
      </c>
      <c r="I71" s="34">
        <f>H71-I123-I106</f>
        <v>2095.4245947692307</v>
      </c>
      <c r="J71" s="34">
        <f>I71-J123-J106</f>
        <v>2069.2617964697438</v>
      </c>
      <c r="K71" s="34">
        <f t="shared" ref="K71:R71" si="68">J71-K123-K106</f>
        <v>2022.884135048831</v>
      </c>
      <c r="L71" s="34">
        <f t="shared" si="68"/>
        <v>1965.7513136097718</v>
      </c>
      <c r="M71" s="34">
        <f t="shared" si="68"/>
        <v>1921.1236443601329</v>
      </c>
      <c r="N71" s="34">
        <f t="shared" si="68"/>
        <v>1943.1209004829307</v>
      </c>
      <c r="O71" s="34">
        <f t="shared" si="68"/>
        <v>1964.7401135229638</v>
      </c>
      <c r="P71" s="34">
        <f t="shared" si="68"/>
        <v>1986.2504812481548</v>
      </c>
      <c r="Q71" s="34">
        <f t="shared" si="68"/>
        <v>2005.0905674877968</v>
      </c>
      <c r="R71" s="34">
        <f t="shared" si="68"/>
        <v>2019.4245413357971</v>
      </c>
      <c r="S71" s="1"/>
      <c r="T71" s="1"/>
      <c r="U71" s="1"/>
      <c r="V71" s="1"/>
      <c r="W71" s="1"/>
      <c r="X71" s="1"/>
      <c r="Y71" s="1"/>
    </row>
    <row r="72" spans="1:25" ht="16" outlineLevel="1" x14ac:dyDescent="0.2">
      <c r="A72" s="1" t="s">
        <v>162</v>
      </c>
      <c r="B72" s="4"/>
      <c r="C72" s="13"/>
      <c r="D72" s="3">
        <v>2612</v>
      </c>
      <c r="E72" s="3">
        <v>2654</v>
      </c>
      <c r="F72" s="3">
        <v>2746</v>
      </c>
      <c r="G72" s="3">
        <v>2758</v>
      </c>
      <c r="H72" s="3">
        <v>2833</v>
      </c>
      <c r="I72" s="1">
        <f>H72</f>
        <v>2833</v>
      </c>
      <c r="J72" s="1">
        <f>I72</f>
        <v>2833</v>
      </c>
      <c r="K72" s="1">
        <f t="shared" ref="K72:R72" si="69">J72</f>
        <v>2833</v>
      </c>
      <c r="L72" s="1">
        <f t="shared" si="69"/>
        <v>2833</v>
      </c>
      <c r="M72" s="1">
        <f t="shared" si="69"/>
        <v>2833</v>
      </c>
      <c r="N72" s="1">
        <f t="shared" si="69"/>
        <v>2833</v>
      </c>
      <c r="O72" s="1">
        <f t="shared" si="69"/>
        <v>2833</v>
      </c>
      <c r="P72" s="1">
        <f t="shared" si="69"/>
        <v>2833</v>
      </c>
      <c r="Q72" s="1">
        <f t="shared" si="69"/>
        <v>2833</v>
      </c>
      <c r="R72" s="1">
        <f t="shared" si="69"/>
        <v>2833</v>
      </c>
      <c r="S72" s="1"/>
      <c r="T72" s="1"/>
      <c r="U72" s="1"/>
      <c r="V72" s="1"/>
      <c r="W72" s="1"/>
      <c r="X72" s="1"/>
      <c r="Y72" s="1"/>
    </row>
    <row r="73" spans="1:25" ht="16" outlineLevel="1" x14ac:dyDescent="0.2">
      <c r="A73" s="42" t="s">
        <v>163</v>
      </c>
      <c r="B73" s="4"/>
      <c r="C73" s="13"/>
      <c r="D73" s="3">
        <v>986</v>
      </c>
      <c r="E73" s="3">
        <v>1384</v>
      </c>
      <c r="F73" s="3">
        <v>1383</v>
      </c>
      <c r="G73" s="3">
        <v>1383</v>
      </c>
      <c r="H73" s="3">
        <v>908</v>
      </c>
      <c r="I73" s="1">
        <f>H73</f>
        <v>908</v>
      </c>
      <c r="J73" s="1">
        <f t="shared" ref="J73:R73" si="70">I73</f>
        <v>908</v>
      </c>
      <c r="K73" s="1">
        <f t="shared" si="70"/>
        <v>908</v>
      </c>
      <c r="L73" s="1">
        <f t="shared" si="70"/>
        <v>908</v>
      </c>
      <c r="M73" s="1">
        <f t="shared" si="70"/>
        <v>908</v>
      </c>
      <c r="N73" s="1">
        <f t="shared" si="70"/>
        <v>908</v>
      </c>
      <c r="O73" s="1">
        <f t="shared" si="70"/>
        <v>908</v>
      </c>
      <c r="P73" s="1">
        <f t="shared" si="70"/>
        <v>908</v>
      </c>
      <c r="Q73" s="1">
        <f t="shared" si="70"/>
        <v>908</v>
      </c>
      <c r="R73" s="1">
        <f t="shared" si="70"/>
        <v>908</v>
      </c>
      <c r="S73" s="1"/>
      <c r="T73" s="1"/>
      <c r="U73" s="1"/>
      <c r="V73" s="1"/>
      <c r="W73" s="1"/>
      <c r="X73" s="1"/>
      <c r="Y73" s="1"/>
    </row>
    <row r="74" spans="1:25" ht="16" outlineLevel="1" x14ac:dyDescent="0.2">
      <c r="A74" s="42" t="s">
        <v>164</v>
      </c>
      <c r="B74" s="4"/>
      <c r="C74" s="13"/>
      <c r="D74" s="31">
        <v>669</v>
      </c>
      <c r="E74" s="31">
        <v>677</v>
      </c>
      <c r="F74" s="31">
        <v>520</v>
      </c>
      <c r="G74" s="31">
        <v>669</v>
      </c>
      <c r="H74" s="31">
        <v>695</v>
      </c>
      <c r="I74" s="29">
        <f>H74</f>
        <v>695</v>
      </c>
      <c r="J74" s="29">
        <f t="shared" ref="J74:R74" si="71">I74</f>
        <v>695</v>
      </c>
      <c r="K74" s="29">
        <f t="shared" si="71"/>
        <v>695</v>
      </c>
      <c r="L74" s="29">
        <f t="shared" si="71"/>
        <v>695</v>
      </c>
      <c r="M74" s="29">
        <f t="shared" si="71"/>
        <v>695</v>
      </c>
      <c r="N74" s="29">
        <f t="shared" si="71"/>
        <v>695</v>
      </c>
      <c r="O74" s="29">
        <f t="shared" si="71"/>
        <v>695</v>
      </c>
      <c r="P74" s="29">
        <f t="shared" si="71"/>
        <v>695</v>
      </c>
      <c r="Q74" s="29">
        <f t="shared" si="71"/>
        <v>695</v>
      </c>
      <c r="R74" s="29">
        <f t="shared" si="71"/>
        <v>695</v>
      </c>
      <c r="S74" s="1"/>
      <c r="T74" s="1"/>
      <c r="U74" s="1"/>
      <c r="V74" s="1"/>
      <c r="W74" s="1"/>
      <c r="X74" s="1"/>
      <c r="Y74" s="1"/>
    </row>
    <row r="75" spans="1:25" ht="17" outlineLevel="1" thickBot="1" x14ac:dyDescent="0.25">
      <c r="A75" s="46" t="s">
        <v>165</v>
      </c>
      <c r="B75" s="43"/>
      <c r="C75" s="47"/>
      <c r="D75" s="45">
        <f t="shared" ref="D75:R75" si="72">SUM(D71:D74)+D70</f>
        <v>19067</v>
      </c>
      <c r="E75" s="45">
        <f t="shared" si="72"/>
        <v>17504</v>
      </c>
      <c r="F75" s="45">
        <f t="shared" si="72"/>
        <v>15803</v>
      </c>
      <c r="G75" s="45">
        <f t="shared" si="72"/>
        <v>14967</v>
      </c>
      <c r="H75" s="45">
        <f t="shared" si="72"/>
        <v>14782</v>
      </c>
      <c r="I75" s="45">
        <f t="shared" si="72"/>
        <v>14636.044957870308</v>
      </c>
      <c r="J75" s="45">
        <f t="shared" si="72"/>
        <v>14545.383748780911</v>
      </c>
      <c r="K75" s="45">
        <f t="shared" si="72"/>
        <v>14610.39808156347</v>
      </c>
      <c r="L75" s="45">
        <f t="shared" si="72"/>
        <v>14698.625616498925</v>
      </c>
      <c r="M75" s="45">
        <f t="shared" si="72"/>
        <v>14881.037456308397</v>
      </c>
      <c r="N75" s="45">
        <f t="shared" si="72"/>
        <v>6574.5959630963107</v>
      </c>
      <c r="O75" s="45">
        <f t="shared" si="72"/>
        <v>3424.907390988405</v>
      </c>
      <c r="P75" s="45">
        <f t="shared" si="72"/>
        <v>284.73070204151918</v>
      </c>
      <c r="Q75" s="45">
        <f t="shared" si="72"/>
        <v>-2849.0239538498563</v>
      </c>
      <c r="R75" s="45">
        <f t="shared" si="72"/>
        <v>-5978.8171715091739</v>
      </c>
      <c r="S75" s="1"/>
      <c r="T75" s="1"/>
      <c r="U75" s="1"/>
      <c r="V75" s="1"/>
      <c r="W75" s="1"/>
      <c r="X75" s="1"/>
      <c r="Y75" s="1"/>
    </row>
    <row r="76" spans="1:25" ht="17" outlineLevel="1" thickTop="1" x14ac:dyDescent="0.2">
      <c r="A76" s="4" t="s">
        <v>166</v>
      </c>
      <c r="B76" s="1"/>
      <c r="C76" s="19"/>
      <c r="D76" s="69"/>
      <c r="E76" s="69"/>
      <c r="F76" s="69"/>
      <c r="G76" s="69"/>
      <c r="H76" s="69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6" outlineLevel="1" x14ac:dyDescent="0.2">
      <c r="A77" s="4" t="s">
        <v>167</v>
      </c>
      <c r="B77" s="1"/>
      <c r="C77" s="19"/>
      <c r="D77" s="3"/>
      <c r="E77" s="3"/>
      <c r="F77" s="3"/>
      <c r="G77" s="3"/>
      <c r="H77" s="3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6" outlineLevel="1" x14ac:dyDescent="0.2">
      <c r="A78" s="1" t="s">
        <v>168</v>
      </c>
      <c r="B78" s="1"/>
      <c r="C78" s="19"/>
      <c r="D78" s="3">
        <v>6979</v>
      </c>
      <c r="E78" s="3">
        <v>6803</v>
      </c>
      <c r="F78" s="3">
        <v>5687</v>
      </c>
      <c r="G78" s="3">
        <v>4637</v>
      </c>
      <c r="H78" s="3">
        <v>4980</v>
      </c>
      <c r="I78" s="1">
        <f>I146</f>
        <v>4953.9904859759517</v>
      </c>
      <c r="J78" s="1">
        <f t="shared" ref="J78:R78" si="73">J146</f>
        <v>4916.7171994575901</v>
      </c>
      <c r="K78" s="1">
        <f t="shared" si="73"/>
        <v>4939.6398485261716</v>
      </c>
      <c r="L78" s="1">
        <f t="shared" si="73"/>
        <v>4922.5088080621999</v>
      </c>
      <c r="M78" s="1">
        <f t="shared" si="73"/>
        <v>4910.7340231857897</v>
      </c>
      <c r="N78" s="1">
        <f t="shared" si="73"/>
        <v>0</v>
      </c>
      <c r="O78" s="1">
        <f t="shared" si="73"/>
        <v>0</v>
      </c>
      <c r="P78" s="1">
        <f t="shared" si="73"/>
        <v>0</v>
      </c>
      <c r="Q78" s="1">
        <f t="shared" si="73"/>
        <v>0</v>
      </c>
      <c r="R78" s="1">
        <f t="shared" si="73"/>
        <v>0</v>
      </c>
      <c r="S78" s="1"/>
      <c r="T78" s="1"/>
      <c r="U78" s="1"/>
      <c r="V78" s="1"/>
      <c r="W78" s="1"/>
      <c r="X78" s="1"/>
      <c r="Y78" s="1"/>
    </row>
    <row r="79" spans="1:25" ht="16" outlineLevel="1" x14ac:dyDescent="0.2">
      <c r="A79" s="1" t="s">
        <v>169</v>
      </c>
      <c r="B79" s="1"/>
      <c r="C79" s="19"/>
      <c r="D79" s="3">
        <v>317</v>
      </c>
      <c r="E79" s="3">
        <v>316</v>
      </c>
      <c r="F79" s="3">
        <v>274</v>
      </c>
      <c r="G79" s="3">
        <v>253</v>
      </c>
      <c r="H79" s="3">
        <v>253</v>
      </c>
      <c r="I79" s="1">
        <f>H79</f>
        <v>253</v>
      </c>
      <c r="J79" s="1">
        <f t="shared" ref="J79:R79" si="74">I79</f>
        <v>253</v>
      </c>
      <c r="K79" s="1">
        <f t="shared" si="74"/>
        <v>253</v>
      </c>
      <c r="L79" s="1">
        <f t="shared" si="74"/>
        <v>253</v>
      </c>
      <c r="M79" s="1">
        <f t="shared" si="74"/>
        <v>253</v>
      </c>
      <c r="N79" s="1">
        <f t="shared" si="74"/>
        <v>253</v>
      </c>
      <c r="O79" s="1">
        <f t="shared" si="74"/>
        <v>253</v>
      </c>
      <c r="P79" s="1">
        <f t="shared" si="74"/>
        <v>253</v>
      </c>
      <c r="Q79" s="1">
        <f t="shared" si="74"/>
        <v>253</v>
      </c>
      <c r="R79" s="1">
        <f t="shared" si="74"/>
        <v>253</v>
      </c>
      <c r="S79" s="1"/>
      <c r="T79" s="1"/>
      <c r="U79" s="1"/>
      <c r="V79" s="1"/>
      <c r="W79" s="1"/>
      <c r="X79" s="1"/>
      <c r="Y79" s="1"/>
    </row>
    <row r="80" spans="1:25" ht="16" outlineLevel="1" x14ac:dyDescent="0.2">
      <c r="A80" s="1" t="s">
        <v>170</v>
      </c>
      <c r="B80" s="1"/>
      <c r="C80" s="19"/>
      <c r="D80" s="3">
        <v>711</v>
      </c>
      <c r="E80" s="3">
        <v>1103</v>
      </c>
      <c r="F80" s="3">
        <v>1116</v>
      </c>
      <c r="G80" s="3">
        <v>1000</v>
      </c>
      <c r="H80" s="3">
        <v>951</v>
      </c>
      <c r="I80" s="1">
        <f>I173</f>
        <v>970.83899999999983</v>
      </c>
      <c r="J80" s="1">
        <f t="shared" ref="J80:R80" si="75">J173</f>
        <v>995.10997499999985</v>
      </c>
      <c r="K80" s="1">
        <f t="shared" si="75"/>
        <v>1019.9877243749997</v>
      </c>
      <c r="L80" s="1">
        <f t="shared" si="75"/>
        <v>1045.4874174843746</v>
      </c>
      <c r="M80" s="1">
        <f t="shared" si="75"/>
        <v>1071.624602921484</v>
      </c>
      <c r="N80" s="1">
        <f t="shared" si="75"/>
        <v>1098.4152179945208</v>
      </c>
      <c r="O80" s="1">
        <f t="shared" si="75"/>
        <v>1125.875598444384</v>
      </c>
      <c r="P80" s="1">
        <f t="shared" si="75"/>
        <v>1154.0224884054935</v>
      </c>
      <c r="Q80" s="1">
        <f t="shared" si="75"/>
        <v>1182.8730506156305</v>
      </c>
      <c r="R80" s="1">
        <f t="shared" si="75"/>
        <v>1212.4448768810212</v>
      </c>
      <c r="S80" s="1"/>
      <c r="T80" s="1"/>
      <c r="U80" s="1"/>
      <c r="V80" s="1"/>
      <c r="W80" s="1"/>
      <c r="X80" s="1"/>
      <c r="Y80" s="1"/>
    </row>
    <row r="81" spans="1:25" ht="16" outlineLevel="1" x14ac:dyDescent="0.2">
      <c r="A81" s="1" t="s">
        <v>171</v>
      </c>
      <c r="B81" s="1"/>
      <c r="C81" s="19"/>
      <c r="D81" s="3">
        <v>725</v>
      </c>
      <c r="E81" s="3">
        <v>845</v>
      </c>
      <c r="F81" s="3">
        <v>405</v>
      </c>
      <c r="G81" s="3">
        <v>486</v>
      </c>
      <c r="H81" s="3">
        <v>464</v>
      </c>
      <c r="I81" s="1">
        <f>H81</f>
        <v>464</v>
      </c>
      <c r="J81" s="1">
        <f t="shared" ref="J81:R81" si="76">I81</f>
        <v>464</v>
      </c>
      <c r="K81" s="1">
        <f t="shared" si="76"/>
        <v>464</v>
      </c>
      <c r="L81" s="1">
        <f t="shared" si="76"/>
        <v>464</v>
      </c>
      <c r="M81" s="1">
        <f t="shared" si="76"/>
        <v>464</v>
      </c>
      <c r="N81" s="1">
        <f t="shared" si="76"/>
        <v>464</v>
      </c>
      <c r="O81" s="1">
        <f t="shared" si="76"/>
        <v>464</v>
      </c>
      <c r="P81" s="1">
        <f t="shared" si="76"/>
        <v>464</v>
      </c>
      <c r="Q81" s="1">
        <f t="shared" si="76"/>
        <v>464</v>
      </c>
      <c r="R81" s="1">
        <f t="shared" si="76"/>
        <v>464</v>
      </c>
      <c r="S81" s="1"/>
      <c r="T81" s="1"/>
      <c r="U81" s="1"/>
      <c r="V81" s="1"/>
      <c r="W81" s="1"/>
      <c r="X81" s="1"/>
      <c r="Y81" s="1"/>
    </row>
    <row r="82" spans="1:25" ht="16" outlineLevel="1" x14ac:dyDescent="0.2">
      <c r="A82" s="1" t="s">
        <v>172</v>
      </c>
      <c r="B82" s="1"/>
      <c r="C82" s="19"/>
      <c r="D82" s="3">
        <v>972</v>
      </c>
      <c r="E82" s="3">
        <v>946</v>
      </c>
      <c r="F82" s="3">
        <v>843</v>
      </c>
      <c r="G82" s="3">
        <v>902</v>
      </c>
      <c r="H82" s="3">
        <v>741</v>
      </c>
      <c r="I82" s="1">
        <f>H82</f>
        <v>741</v>
      </c>
      <c r="J82" s="1">
        <f t="shared" ref="J82:R82" si="77">I82</f>
        <v>741</v>
      </c>
      <c r="K82" s="1">
        <f t="shared" si="77"/>
        <v>741</v>
      </c>
      <c r="L82" s="1">
        <f t="shared" si="77"/>
        <v>741</v>
      </c>
      <c r="M82" s="1">
        <f t="shared" si="77"/>
        <v>741</v>
      </c>
      <c r="N82" s="1">
        <f t="shared" si="77"/>
        <v>741</v>
      </c>
      <c r="O82" s="1">
        <f t="shared" si="77"/>
        <v>741</v>
      </c>
      <c r="P82" s="1">
        <f t="shared" si="77"/>
        <v>741</v>
      </c>
      <c r="Q82" s="1">
        <f t="shared" si="77"/>
        <v>741</v>
      </c>
      <c r="R82" s="1">
        <f t="shared" si="77"/>
        <v>741</v>
      </c>
      <c r="S82" s="1"/>
      <c r="T82" s="1"/>
      <c r="U82" s="1"/>
      <c r="V82" s="1"/>
      <c r="W82" s="1"/>
      <c r="X82" s="1"/>
      <c r="Y82" s="1"/>
    </row>
    <row r="83" spans="1:25" ht="16" outlineLevel="1" x14ac:dyDescent="0.2">
      <c r="A83" s="1" t="s">
        <v>173</v>
      </c>
      <c r="B83" s="1"/>
      <c r="C83" s="19"/>
      <c r="D83" s="3">
        <v>110</v>
      </c>
      <c r="E83" s="3">
        <v>0</v>
      </c>
      <c r="F83" s="3">
        <v>0</v>
      </c>
      <c r="G83" s="3">
        <v>0</v>
      </c>
      <c r="H83" s="3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/>
      <c r="T83" s="1"/>
      <c r="U83" s="1"/>
      <c r="V83" s="1"/>
      <c r="W83" s="1"/>
      <c r="X83" s="1"/>
      <c r="Y83" s="1"/>
    </row>
    <row r="84" spans="1:25" ht="16" outlineLevel="1" x14ac:dyDescent="0.2">
      <c r="A84" s="1" t="s">
        <v>174</v>
      </c>
      <c r="B84" s="1"/>
      <c r="C84" s="19"/>
      <c r="D84" s="3">
        <v>693</v>
      </c>
      <c r="E84" s="3">
        <v>648</v>
      </c>
      <c r="F84" s="3">
        <v>638</v>
      </c>
      <c r="G84" s="3">
        <v>618</v>
      </c>
      <c r="H84" s="3">
        <v>617</v>
      </c>
      <c r="I84" s="1">
        <f>H84</f>
        <v>617</v>
      </c>
      <c r="J84" s="1">
        <f t="shared" ref="J84:R84" si="78">I84</f>
        <v>617</v>
      </c>
      <c r="K84" s="1">
        <f t="shared" si="78"/>
        <v>617</v>
      </c>
      <c r="L84" s="1">
        <f t="shared" si="78"/>
        <v>617</v>
      </c>
      <c r="M84" s="1">
        <f t="shared" si="78"/>
        <v>617</v>
      </c>
      <c r="N84" s="1">
        <f t="shared" si="78"/>
        <v>617</v>
      </c>
      <c r="O84" s="1">
        <f t="shared" si="78"/>
        <v>617</v>
      </c>
      <c r="P84" s="1">
        <f t="shared" si="78"/>
        <v>617</v>
      </c>
      <c r="Q84" s="1">
        <f t="shared" si="78"/>
        <v>617</v>
      </c>
      <c r="R84" s="1">
        <f t="shared" si="78"/>
        <v>617</v>
      </c>
      <c r="S84" s="1"/>
      <c r="T84" s="1"/>
      <c r="U84" s="1"/>
      <c r="V84" s="1"/>
      <c r="W84" s="1"/>
      <c r="X84" s="1"/>
      <c r="Y84" s="1"/>
    </row>
    <row r="85" spans="1:25" ht="16" outlineLevel="1" x14ac:dyDescent="0.2">
      <c r="A85" s="1" t="s">
        <v>175</v>
      </c>
      <c r="B85" s="1"/>
      <c r="C85" s="19"/>
      <c r="D85" s="31">
        <v>14</v>
      </c>
      <c r="E85" s="31">
        <v>13</v>
      </c>
      <c r="F85" s="31">
        <v>16</v>
      </c>
      <c r="G85" s="31">
        <v>13</v>
      </c>
      <c r="H85" s="49">
        <v>10</v>
      </c>
      <c r="I85" s="34">
        <f>H85</f>
        <v>10</v>
      </c>
      <c r="J85" s="34">
        <f t="shared" ref="J85:R85" si="79">I85</f>
        <v>10</v>
      </c>
      <c r="K85" s="34">
        <f t="shared" si="79"/>
        <v>10</v>
      </c>
      <c r="L85" s="34">
        <f t="shared" si="79"/>
        <v>10</v>
      </c>
      <c r="M85" s="34">
        <f t="shared" si="79"/>
        <v>10</v>
      </c>
      <c r="N85" s="34">
        <f t="shared" si="79"/>
        <v>10</v>
      </c>
      <c r="O85" s="34">
        <f t="shared" si="79"/>
        <v>10</v>
      </c>
      <c r="P85" s="34">
        <f t="shared" si="79"/>
        <v>10</v>
      </c>
      <c r="Q85" s="34">
        <f t="shared" si="79"/>
        <v>10</v>
      </c>
      <c r="R85" s="34">
        <f t="shared" si="79"/>
        <v>10</v>
      </c>
      <c r="S85" s="1"/>
      <c r="T85" s="1"/>
      <c r="U85" s="1"/>
      <c r="V85" s="1"/>
      <c r="W85" s="1"/>
      <c r="X85" s="1"/>
      <c r="Y85" s="1"/>
    </row>
    <row r="86" spans="1:25" ht="16" outlineLevel="1" x14ac:dyDescent="0.2">
      <c r="A86" s="48" t="s">
        <v>176</v>
      </c>
      <c r="B86" s="44"/>
      <c r="C86" s="52"/>
      <c r="D86" s="4">
        <f t="shared" ref="D86:H86" si="80">SUM(D78:D85)</f>
        <v>10521</v>
      </c>
      <c r="E86" s="4">
        <f t="shared" si="80"/>
        <v>10674</v>
      </c>
      <c r="F86" s="4">
        <f t="shared" si="80"/>
        <v>8979</v>
      </c>
      <c r="G86" s="4">
        <f t="shared" si="80"/>
        <v>7909</v>
      </c>
      <c r="H86" s="44">
        <f t="shared" si="80"/>
        <v>8016</v>
      </c>
      <c r="I86" s="44">
        <f>SUM(I78:I85)</f>
        <v>8009.8294859759517</v>
      </c>
      <c r="J86" s="44">
        <f t="shared" ref="J86:R86" si="81">SUM(J78:J85)</f>
        <v>7996.8271744575904</v>
      </c>
      <c r="K86" s="44">
        <f t="shared" si="81"/>
        <v>8044.6275729011713</v>
      </c>
      <c r="L86" s="44">
        <f t="shared" si="81"/>
        <v>8052.9962255465744</v>
      </c>
      <c r="M86" s="44">
        <f t="shared" si="81"/>
        <v>8067.3586261072742</v>
      </c>
      <c r="N86" s="44">
        <f t="shared" si="81"/>
        <v>3183.4152179945208</v>
      </c>
      <c r="O86" s="44">
        <f t="shared" si="81"/>
        <v>3210.8755984443842</v>
      </c>
      <c r="P86" s="44">
        <f t="shared" si="81"/>
        <v>3239.0224884054933</v>
      </c>
      <c r="Q86" s="44">
        <f t="shared" si="81"/>
        <v>3267.8730506156307</v>
      </c>
      <c r="R86" s="44">
        <f t="shared" si="81"/>
        <v>3297.4448768810212</v>
      </c>
      <c r="S86" s="1"/>
      <c r="T86" s="1"/>
      <c r="U86" s="1"/>
      <c r="V86" s="1"/>
      <c r="W86" s="1"/>
      <c r="X86" s="1"/>
      <c r="Y86" s="1"/>
    </row>
    <row r="87" spans="1:25" ht="16" outlineLevel="1" x14ac:dyDescent="0.2">
      <c r="A87" s="1" t="s">
        <v>177</v>
      </c>
      <c r="B87" s="1"/>
      <c r="C87" s="19"/>
      <c r="D87" s="3">
        <v>2012</v>
      </c>
      <c r="E87" s="3">
        <v>2061</v>
      </c>
      <c r="F87" s="3">
        <v>2164</v>
      </c>
      <c r="G87" s="3">
        <v>2199</v>
      </c>
      <c r="H87" s="3">
        <v>2282</v>
      </c>
      <c r="I87" s="1">
        <f>H87</f>
        <v>2282</v>
      </c>
      <c r="J87" s="1">
        <f t="shared" ref="J87:R87" si="82">I87</f>
        <v>2282</v>
      </c>
      <c r="K87" s="1">
        <f t="shared" si="82"/>
        <v>2282</v>
      </c>
      <c r="L87" s="1">
        <f t="shared" si="82"/>
        <v>2282</v>
      </c>
      <c r="M87" s="1">
        <f t="shared" si="82"/>
        <v>2282</v>
      </c>
      <c r="N87" s="1">
        <f t="shared" si="82"/>
        <v>2282</v>
      </c>
      <c r="O87" s="1">
        <f t="shared" si="82"/>
        <v>2282</v>
      </c>
      <c r="P87" s="1">
        <f t="shared" si="82"/>
        <v>2282</v>
      </c>
      <c r="Q87" s="1">
        <f t="shared" si="82"/>
        <v>2282</v>
      </c>
      <c r="R87" s="1">
        <f t="shared" si="82"/>
        <v>2282</v>
      </c>
      <c r="S87" s="1"/>
      <c r="T87" s="1"/>
      <c r="U87" s="1"/>
      <c r="V87" s="1"/>
      <c r="W87" s="1"/>
      <c r="X87" s="1"/>
      <c r="Y87" s="1"/>
    </row>
    <row r="88" spans="1:25" ht="16" outlineLevel="1" x14ac:dyDescent="0.2">
      <c r="A88" s="1" t="s">
        <v>178</v>
      </c>
      <c r="B88" s="1"/>
      <c r="C88" s="19"/>
      <c r="D88" s="3">
        <v>1253</v>
      </c>
      <c r="E88" s="3">
        <v>1216</v>
      </c>
      <c r="F88" s="3">
        <v>1160</v>
      </c>
      <c r="G88" s="3">
        <v>1152</v>
      </c>
      <c r="H88" s="3">
        <v>1144</v>
      </c>
      <c r="I88" s="1">
        <f>I178</f>
        <v>1144</v>
      </c>
      <c r="J88" s="1">
        <f t="shared" ref="J88:R88" si="83">J178</f>
        <v>1144</v>
      </c>
      <c r="K88" s="1">
        <f t="shared" si="83"/>
        <v>1144</v>
      </c>
      <c r="L88" s="1">
        <f t="shared" si="83"/>
        <v>1144</v>
      </c>
      <c r="M88" s="1">
        <f t="shared" si="83"/>
        <v>1144</v>
      </c>
      <c r="N88" s="1">
        <f t="shared" si="83"/>
        <v>1144</v>
      </c>
      <c r="O88" s="1">
        <f t="shared" si="83"/>
        <v>1144</v>
      </c>
      <c r="P88" s="1">
        <f t="shared" si="83"/>
        <v>1144</v>
      </c>
      <c r="Q88" s="1">
        <f t="shared" si="83"/>
        <v>1144</v>
      </c>
      <c r="R88" s="1">
        <f t="shared" si="83"/>
        <v>1144</v>
      </c>
      <c r="S88" s="1"/>
      <c r="T88" s="1"/>
      <c r="U88" s="1"/>
      <c r="V88" s="1"/>
      <c r="W88" s="1"/>
      <c r="X88" s="1"/>
      <c r="Y88" s="1"/>
    </row>
    <row r="89" spans="1:25" ht="16" outlineLevel="1" x14ac:dyDescent="0.2">
      <c r="A89" s="1" t="s">
        <v>179</v>
      </c>
      <c r="B89" s="1"/>
      <c r="C89" s="2"/>
      <c r="D89" s="3">
        <v>694</v>
      </c>
      <c r="E89" s="3">
        <v>533</v>
      </c>
      <c r="F89" s="3">
        <v>705</v>
      </c>
      <c r="G89" s="3">
        <v>654</v>
      </c>
      <c r="H89" s="3">
        <v>532</v>
      </c>
      <c r="I89" s="1">
        <f>H89</f>
        <v>532</v>
      </c>
      <c r="J89" s="1">
        <f t="shared" ref="J89:R89" si="84">I89</f>
        <v>532</v>
      </c>
      <c r="K89" s="1">
        <f t="shared" si="84"/>
        <v>532</v>
      </c>
      <c r="L89" s="1">
        <f t="shared" si="84"/>
        <v>532</v>
      </c>
      <c r="M89" s="1">
        <f t="shared" si="84"/>
        <v>532</v>
      </c>
      <c r="N89" s="1">
        <f t="shared" si="84"/>
        <v>532</v>
      </c>
      <c r="O89" s="1">
        <f t="shared" si="84"/>
        <v>532</v>
      </c>
      <c r="P89" s="1">
        <f t="shared" si="84"/>
        <v>532</v>
      </c>
      <c r="Q89" s="1">
        <f t="shared" si="84"/>
        <v>532</v>
      </c>
      <c r="R89" s="1">
        <f t="shared" si="84"/>
        <v>532</v>
      </c>
      <c r="S89" s="1"/>
      <c r="T89" s="1"/>
      <c r="U89" s="1"/>
      <c r="V89" s="1"/>
      <c r="W89" s="1"/>
      <c r="X89" s="1"/>
      <c r="Y89" s="1"/>
    </row>
    <row r="90" spans="1:25" ht="17" outlineLevel="1" thickBot="1" x14ac:dyDescent="0.25">
      <c r="A90" s="50" t="s">
        <v>180</v>
      </c>
      <c r="B90" s="50"/>
      <c r="C90" s="51"/>
      <c r="D90" s="50">
        <f t="shared" ref="D90" si="85">SUM(D86:D89)</f>
        <v>14480</v>
      </c>
      <c r="E90" s="50">
        <f>SUM(E86:E89)</f>
        <v>14484</v>
      </c>
      <c r="F90" s="50">
        <f t="shared" ref="F90" si="86">SUM(F86:F89)</f>
        <v>13008</v>
      </c>
      <c r="G90" s="50">
        <f t="shared" ref="G90" si="87">SUM(G86:G89)</f>
        <v>11914</v>
      </c>
      <c r="H90" s="50">
        <f>SUM(H86:H89)</f>
        <v>11974</v>
      </c>
      <c r="I90" s="50">
        <f>SUM(I86:I89)</f>
        <v>11967.829485975952</v>
      </c>
      <c r="J90" s="50">
        <f>SUM(J86:J89)</f>
        <v>11954.82717445759</v>
      </c>
      <c r="K90" s="50">
        <f t="shared" ref="K90:R90" si="88">SUM(K86:K89)</f>
        <v>12002.627572901172</v>
      </c>
      <c r="L90" s="50">
        <f t="shared" si="88"/>
        <v>12010.996225546574</v>
      </c>
      <c r="M90" s="50">
        <f t="shared" si="88"/>
        <v>12025.358626107274</v>
      </c>
      <c r="N90" s="50">
        <f t="shared" si="88"/>
        <v>7141.4152179945213</v>
      </c>
      <c r="O90" s="50">
        <f t="shared" si="88"/>
        <v>7168.8755984443842</v>
      </c>
      <c r="P90" s="50">
        <f t="shared" si="88"/>
        <v>7197.0224884054933</v>
      </c>
      <c r="Q90" s="50">
        <f t="shared" si="88"/>
        <v>7225.8730506156307</v>
      </c>
      <c r="R90" s="50">
        <f t="shared" si="88"/>
        <v>7255.4448768810216</v>
      </c>
      <c r="S90" s="1"/>
      <c r="T90" s="1"/>
      <c r="U90" s="1"/>
      <c r="V90" s="1"/>
      <c r="W90" s="1"/>
      <c r="X90" s="1"/>
      <c r="Y90" s="1"/>
    </row>
    <row r="91" spans="1:25" ht="17" outlineLevel="1" thickTop="1" x14ac:dyDescent="0.2">
      <c r="A91" s="4" t="s">
        <v>181</v>
      </c>
      <c r="B91" s="1"/>
      <c r="C91" s="2"/>
      <c r="D91" s="3"/>
      <c r="E91" s="3"/>
      <c r="F91" s="3"/>
      <c r="G91" s="3"/>
      <c r="H91" s="3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6" outlineLevel="1" x14ac:dyDescent="0.2">
      <c r="A92" s="1" t="s">
        <v>182</v>
      </c>
      <c r="B92" s="1"/>
      <c r="C92" s="2"/>
      <c r="D92" s="3">
        <v>26</v>
      </c>
      <c r="E92" s="3">
        <v>23</v>
      </c>
      <c r="F92" s="3">
        <v>43</v>
      </c>
      <c r="G92" s="3">
        <v>53</v>
      </c>
      <c r="H92" s="3">
        <v>22</v>
      </c>
      <c r="I92" s="1">
        <f>H92</f>
        <v>22</v>
      </c>
      <c r="J92" s="1">
        <f t="shared" ref="J92:R92" si="89">I92</f>
        <v>22</v>
      </c>
      <c r="K92" s="1">
        <f t="shared" si="89"/>
        <v>22</v>
      </c>
      <c r="L92" s="1">
        <f t="shared" si="89"/>
        <v>22</v>
      </c>
      <c r="M92" s="1">
        <f t="shared" si="89"/>
        <v>22</v>
      </c>
      <c r="N92" s="1">
        <f t="shared" si="89"/>
        <v>22</v>
      </c>
      <c r="O92" s="1">
        <f t="shared" si="89"/>
        <v>22</v>
      </c>
      <c r="P92" s="1">
        <f t="shared" si="89"/>
        <v>22</v>
      </c>
      <c r="Q92" s="1">
        <f t="shared" si="89"/>
        <v>22</v>
      </c>
      <c r="R92" s="1">
        <f t="shared" si="89"/>
        <v>22</v>
      </c>
      <c r="S92" s="1"/>
      <c r="T92" s="1"/>
      <c r="U92" s="1"/>
      <c r="V92" s="1"/>
      <c r="W92" s="1"/>
      <c r="X92" s="1"/>
      <c r="Y92" s="1"/>
    </row>
    <row r="93" spans="1:25" ht="16" outlineLevel="1" x14ac:dyDescent="0.2">
      <c r="A93" s="1" t="s">
        <v>183</v>
      </c>
      <c r="B93" s="1"/>
      <c r="C93" s="2"/>
      <c r="D93" s="3">
        <v>4233</v>
      </c>
      <c r="E93" s="3">
        <v>2668</v>
      </c>
      <c r="F93" s="3">
        <v>2430</v>
      </c>
      <c r="G93" s="3">
        <v>2683</v>
      </c>
      <c r="H93" s="3">
        <v>2486</v>
      </c>
      <c r="I93" s="1">
        <f t="shared" ref="I93:R93" si="90">H93+I55+I132+I131</f>
        <v>2206.880891894356</v>
      </c>
      <c r="J93" s="1">
        <f t="shared" si="90"/>
        <v>1991.2807601233212</v>
      </c>
      <c r="K93" s="1">
        <f t="shared" si="90"/>
        <v>1871.9328726042991</v>
      </c>
      <c r="L93" s="1">
        <f t="shared" si="90"/>
        <v>1816.5955512549308</v>
      </c>
      <c r="M93" s="1">
        <f t="shared" si="90"/>
        <v>1850.8007489006768</v>
      </c>
      <c r="N93" s="1">
        <f t="shared" si="90"/>
        <v>-1704.2031353856505</v>
      </c>
      <c r="O93" s="1">
        <f t="shared" si="90"/>
        <v>-5012.5328291385458</v>
      </c>
      <c r="P93" s="1">
        <f t="shared" si="90"/>
        <v>-8310.725341829715</v>
      </c>
      <c r="Q93" s="1">
        <f t="shared" si="90"/>
        <v>-11601.90080437657</v>
      </c>
      <c r="R93" s="1">
        <f t="shared" si="90"/>
        <v>-14888.550390302165</v>
      </c>
      <c r="S93" s="1"/>
      <c r="T93" s="1"/>
      <c r="U93" s="1"/>
      <c r="V93" s="1"/>
      <c r="W93" s="1"/>
      <c r="X93" s="1"/>
      <c r="Y93" s="1"/>
    </row>
    <row r="94" spans="1:25" ht="16" outlineLevel="1" x14ac:dyDescent="0.2">
      <c r="A94" s="1" t="s">
        <v>184</v>
      </c>
      <c r="B94" s="1"/>
      <c r="C94" s="2"/>
      <c r="D94" s="3"/>
      <c r="E94" s="3"/>
      <c r="F94" s="3"/>
      <c r="G94" s="3"/>
      <c r="H94" s="3"/>
      <c r="I94" s="1">
        <f>SUM($I$109:I109)</f>
        <v>139.33457999999999</v>
      </c>
      <c r="J94" s="1">
        <f>SUM($I$109:J109)</f>
        <v>277.27581420000001</v>
      </c>
      <c r="K94" s="1">
        <f>SUM($I$109:K109)</f>
        <v>413.83763605800004</v>
      </c>
      <c r="L94" s="1">
        <f>SUM($I$109:L109)</f>
        <v>549.03383969742004</v>
      </c>
      <c r="M94" s="1">
        <f>SUM($I$109:M109)</f>
        <v>682.87808130044584</v>
      </c>
      <c r="N94" s="1">
        <f>SUM($I$109:N109)</f>
        <v>815.38388048744139</v>
      </c>
      <c r="O94" s="1">
        <f>SUM($I$109:O109)</f>
        <v>946.56462168256701</v>
      </c>
      <c r="P94" s="1">
        <f>SUM($I$109:P109)</f>
        <v>1076.4335554657414</v>
      </c>
      <c r="Q94" s="1">
        <f>SUM($I$109:Q109)</f>
        <v>1205.0037999110839</v>
      </c>
      <c r="R94" s="1">
        <f>SUM($I$109:R109)</f>
        <v>1332.288341911973</v>
      </c>
      <c r="S94" s="1"/>
      <c r="T94" s="1"/>
      <c r="U94" s="1"/>
      <c r="V94" s="1"/>
      <c r="W94" s="1"/>
      <c r="X94" s="1"/>
      <c r="Y94" s="1"/>
    </row>
    <row r="95" spans="1:25" ht="16" outlineLevel="1" x14ac:dyDescent="0.2">
      <c r="A95" s="1" t="s">
        <v>185</v>
      </c>
      <c r="B95" s="1"/>
      <c r="C95" s="2"/>
      <c r="D95" s="3">
        <v>328</v>
      </c>
      <c r="E95" s="3">
        <v>329</v>
      </c>
      <c r="F95" s="3">
        <v>322</v>
      </c>
      <c r="G95" s="3">
        <v>317</v>
      </c>
      <c r="H95" s="3">
        <v>300</v>
      </c>
      <c r="I95" s="1">
        <f>H95</f>
        <v>300</v>
      </c>
      <c r="J95" s="1">
        <f t="shared" ref="J95:R95" si="91">I95</f>
        <v>300</v>
      </c>
      <c r="K95" s="1">
        <f t="shared" si="91"/>
        <v>300</v>
      </c>
      <c r="L95" s="1">
        <f t="shared" si="91"/>
        <v>300</v>
      </c>
      <c r="M95" s="1">
        <f t="shared" si="91"/>
        <v>300</v>
      </c>
      <c r="N95" s="1">
        <f t="shared" si="91"/>
        <v>300</v>
      </c>
      <c r="O95" s="1">
        <f t="shared" si="91"/>
        <v>300</v>
      </c>
      <c r="P95" s="1">
        <f t="shared" si="91"/>
        <v>300</v>
      </c>
      <c r="Q95" s="1">
        <f t="shared" si="91"/>
        <v>300</v>
      </c>
      <c r="R95" s="1">
        <f t="shared" si="91"/>
        <v>300</v>
      </c>
      <c r="S95" s="1"/>
      <c r="T95" s="1"/>
      <c r="U95" s="1"/>
      <c r="V95" s="1"/>
      <c r="W95" s="1"/>
      <c r="X95" s="1"/>
      <c r="Y95" s="1"/>
    </row>
    <row r="96" spans="1:25" ht="16" outlineLevel="1" x14ac:dyDescent="0.2">
      <c r="A96" s="20" t="s">
        <v>181</v>
      </c>
      <c r="B96" s="20"/>
      <c r="C96" s="21"/>
      <c r="D96" s="20">
        <f t="shared" ref="D96:H96" si="92">SUM(D92:D95)</f>
        <v>4587</v>
      </c>
      <c r="E96" s="20">
        <f t="shared" si="92"/>
        <v>3020</v>
      </c>
      <c r="F96" s="20">
        <f t="shared" si="92"/>
        <v>2795</v>
      </c>
      <c r="G96" s="20">
        <f t="shared" si="92"/>
        <v>3053</v>
      </c>
      <c r="H96" s="20">
        <f t="shared" si="92"/>
        <v>2808</v>
      </c>
      <c r="I96" s="20">
        <f>SUM(I92:I95)</f>
        <v>2668.2154718943561</v>
      </c>
      <c r="J96" s="20">
        <f t="shared" ref="J96:R96" si="93">SUM(J92:J95)</f>
        <v>2590.556574323321</v>
      </c>
      <c r="K96" s="20">
        <f t="shared" si="93"/>
        <v>2607.7705086622991</v>
      </c>
      <c r="L96" s="20">
        <f t="shared" si="93"/>
        <v>2687.6293909523511</v>
      </c>
      <c r="M96" s="20">
        <f t="shared" si="93"/>
        <v>2855.6788302011228</v>
      </c>
      <c r="N96" s="20">
        <f t="shared" si="93"/>
        <v>-566.81925489820912</v>
      </c>
      <c r="O96" s="20">
        <f t="shared" si="93"/>
        <v>-3743.9682074559787</v>
      </c>
      <c r="P96" s="20">
        <f t="shared" si="93"/>
        <v>-6912.2917863639741</v>
      </c>
      <c r="Q96" s="20">
        <f t="shared" si="93"/>
        <v>-10074.897004465485</v>
      </c>
      <c r="R96" s="20">
        <f t="shared" si="93"/>
        <v>-13234.262048390192</v>
      </c>
      <c r="S96" s="1"/>
      <c r="T96" s="1"/>
      <c r="U96" s="1"/>
      <c r="V96" s="1"/>
      <c r="W96" s="1"/>
      <c r="X96" s="1"/>
      <c r="Y96" s="1"/>
    </row>
    <row r="97" spans="1:25" ht="17" outlineLevel="1" thickBot="1" x14ac:dyDescent="0.25">
      <c r="A97" s="17" t="s">
        <v>186</v>
      </c>
      <c r="B97" s="17"/>
      <c r="C97" s="18"/>
      <c r="D97" s="17">
        <f t="shared" ref="D97:J97" si="94">D90+D96</f>
        <v>19067</v>
      </c>
      <c r="E97" s="17">
        <f t="shared" si="94"/>
        <v>17504</v>
      </c>
      <c r="F97" s="17">
        <f t="shared" si="94"/>
        <v>15803</v>
      </c>
      <c r="G97" s="17">
        <f t="shared" si="94"/>
        <v>14967</v>
      </c>
      <c r="H97" s="17">
        <f t="shared" si="94"/>
        <v>14782</v>
      </c>
      <c r="I97" s="17">
        <f t="shared" si="94"/>
        <v>14636.044957870308</v>
      </c>
      <c r="J97" s="17">
        <f t="shared" si="94"/>
        <v>14545.383748780911</v>
      </c>
      <c r="K97" s="17">
        <f t="shared" ref="K97:R97" si="95">K90+K96</f>
        <v>14610.398081563471</v>
      </c>
      <c r="L97" s="17">
        <f t="shared" si="95"/>
        <v>14698.625616498925</v>
      </c>
      <c r="M97" s="17">
        <f t="shared" si="95"/>
        <v>14881.037456308397</v>
      </c>
      <c r="N97" s="17">
        <f t="shared" si="95"/>
        <v>6574.5959630963125</v>
      </c>
      <c r="O97" s="17">
        <f t="shared" si="95"/>
        <v>3424.9073909884055</v>
      </c>
      <c r="P97" s="17">
        <f t="shared" si="95"/>
        <v>284.73070204151918</v>
      </c>
      <c r="Q97" s="17">
        <f t="shared" si="95"/>
        <v>-2849.0239538498545</v>
      </c>
      <c r="R97" s="17">
        <f t="shared" si="95"/>
        <v>-5978.8171715091703</v>
      </c>
      <c r="S97" s="1"/>
      <c r="T97" s="1"/>
      <c r="U97" s="1"/>
      <c r="V97" s="1"/>
      <c r="W97" s="1"/>
      <c r="X97" s="1"/>
      <c r="Y97" s="1"/>
    </row>
    <row r="98" spans="1:25" ht="17" outlineLevel="1" thickTop="1" x14ac:dyDescent="0.2">
      <c r="A98" s="1"/>
      <c r="B98" s="1"/>
      <c r="C98" s="2"/>
      <c r="D98" s="3"/>
      <c r="E98" s="3"/>
      <c r="F98" s="3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6" outlineLevel="1" x14ac:dyDescent="0.2">
      <c r="A99" s="10" t="s">
        <v>187</v>
      </c>
      <c r="B99" s="22"/>
      <c r="C99" s="23"/>
      <c r="D99" s="22">
        <f t="shared" ref="D99:K99" si="96">D97-D75</f>
        <v>0</v>
      </c>
      <c r="E99" s="22">
        <f t="shared" si="96"/>
        <v>0</v>
      </c>
      <c r="F99" s="22">
        <f t="shared" si="96"/>
        <v>0</v>
      </c>
      <c r="G99" s="22">
        <f t="shared" si="96"/>
        <v>0</v>
      </c>
      <c r="H99" s="22">
        <f t="shared" si="96"/>
        <v>0</v>
      </c>
      <c r="I99" s="22">
        <f t="shared" si="96"/>
        <v>0</v>
      </c>
      <c r="J99" s="22">
        <f t="shared" si="96"/>
        <v>0</v>
      </c>
      <c r="K99" s="22">
        <f t="shared" si="96"/>
        <v>0</v>
      </c>
      <c r="L99" s="22">
        <f t="shared" ref="L99:R99" si="97">L97-L75</f>
        <v>0</v>
      </c>
      <c r="M99" s="22">
        <f t="shared" si="97"/>
        <v>0</v>
      </c>
      <c r="N99" s="22">
        <f t="shared" si="97"/>
        <v>0</v>
      </c>
      <c r="O99" s="22">
        <f t="shared" si="97"/>
        <v>0</v>
      </c>
      <c r="P99" s="22">
        <f t="shared" si="97"/>
        <v>0</v>
      </c>
      <c r="Q99" s="22">
        <f t="shared" si="97"/>
        <v>0</v>
      </c>
      <c r="R99" s="22">
        <f t="shared" si="97"/>
        <v>0</v>
      </c>
      <c r="S99" s="1"/>
      <c r="T99" s="1"/>
      <c r="U99" s="1"/>
      <c r="V99" s="1"/>
      <c r="W99" s="1"/>
      <c r="X99" s="1"/>
      <c r="Y99" s="1"/>
    </row>
    <row r="100" spans="1:25" ht="16" outlineLevel="1" x14ac:dyDescent="0.2">
      <c r="A100" s="22"/>
      <c r="B100" s="22"/>
      <c r="C100" s="23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1"/>
      <c r="T100" s="1"/>
      <c r="U100" s="1"/>
      <c r="V100" s="1"/>
      <c r="W100" s="1"/>
      <c r="X100" s="1"/>
      <c r="Y100" s="1"/>
    </row>
    <row r="101" spans="1:25" ht="16" x14ac:dyDescent="0.2">
      <c r="A101" s="1"/>
      <c r="B101" s="1"/>
      <c r="C101" s="2"/>
      <c r="D101" s="3"/>
      <c r="E101" s="3"/>
      <c r="F101" s="3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s="56" customFormat="1" ht="20" x14ac:dyDescent="0.2">
      <c r="A102" s="54" t="s">
        <v>188</v>
      </c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5"/>
      <c r="T102" s="55"/>
      <c r="U102" s="55"/>
      <c r="V102" s="55"/>
      <c r="W102" s="55"/>
      <c r="X102" s="55"/>
      <c r="Y102" s="55"/>
    </row>
    <row r="103" spans="1:25" ht="16" outlineLevel="1" x14ac:dyDescent="0.2">
      <c r="A103" s="4"/>
      <c r="B103" s="1"/>
      <c r="C103" s="2"/>
      <c r="D103" s="3"/>
      <c r="E103" s="3"/>
      <c r="F103" s="3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6" outlineLevel="1" x14ac:dyDescent="0.2">
      <c r="A104" s="4" t="s">
        <v>189</v>
      </c>
      <c r="B104" s="1"/>
      <c r="C104" s="2"/>
      <c r="D104" s="3"/>
      <c r="E104" s="3"/>
      <c r="F104" s="3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6" outlineLevel="1" x14ac:dyDescent="0.2">
      <c r="A105" s="1" t="s">
        <v>190</v>
      </c>
      <c r="B105" s="1"/>
      <c r="C105" s="2"/>
      <c r="D105" s="1">
        <f t="shared" ref="D105:R105" si="98">D55</f>
        <v>1798</v>
      </c>
      <c r="E105" s="1">
        <f t="shared" si="98"/>
        <v>2454</v>
      </c>
      <c r="F105" s="1">
        <f t="shared" si="98"/>
        <v>1419</v>
      </c>
      <c r="G105" s="1">
        <f t="shared" si="98"/>
        <v>1241</v>
      </c>
      <c r="H105" s="1">
        <f t="shared" si="98"/>
        <v>927</v>
      </c>
      <c r="I105" s="1">
        <f t="shared" si="98"/>
        <v>1135.9508918943561</v>
      </c>
      <c r="J105" s="1">
        <f t="shared" si="98"/>
        <v>1033.1412485232356</v>
      </c>
      <c r="K105" s="1">
        <f t="shared" si="98"/>
        <v>1199.0688546251681</v>
      </c>
      <c r="L105" s="1">
        <f t="shared" si="98"/>
        <v>1318.2443403658815</v>
      </c>
      <c r="M105" s="1">
        <f t="shared" si="98"/>
        <v>1460.806852139576</v>
      </c>
      <c r="N105" s="1">
        <f t="shared" si="98"/>
        <v>-3697.7510403614588</v>
      </c>
      <c r="O105" s="1">
        <f t="shared" si="98"/>
        <v>-3668.4670372613182</v>
      </c>
      <c r="P105" s="1">
        <f t="shared" si="98"/>
        <v>-3639.9683820482023</v>
      </c>
      <c r="Q105" s="1">
        <f t="shared" si="98"/>
        <v>-3614.738137454382</v>
      </c>
      <c r="R105" s="1">
        <f t="shared" si="98"/>
        <v>-3592.1972170038271</v>
      </c>
      <c r="S105" s="1"/>
      <c r="T105" s="1"/>
      <c r="U105" s="1"/>
      <c r="V105" s="1"/>
      <c r="W105" s="1"/>
      <c r="X105" s="1"/>
      <c r="Y105" s="1"/>
    </row>
    <row r="106" spans="1:25" ht="16" outlineLevel="1" x14ac:dyDescent="0.2">
      <c r="A106" s="1" t="s">
        <v>191</v>
      </c>
      <c r="B106" s="1"/>
      <c r="C106" s="2"/>
      <c r="D106" s="3">
        <v>839</v>
      </c>
      <c r="E106" s="3">
        <v>869</v>
      </c>
      <c r="F106" s="3">
        <v>918</v>
      </c>
      <c r="G106" s="3">
        <v>923</v>
      </c>
      <c r="H106" s="3">
        <v>866</v>
      </c>
      <c r="I106" s="1">
        <f t="shared" ref="I106:R106" si="99">-I44</f>
        <v>765.50086140303415</v>
      </c>
      <c r="J106" s="1">
        <f t="shared" si="99"/>
        <v>730.52958012409965</v>
      </c>
      <c r="K106" s="1">
        <f t="shared" si="99"/>
        <v>718.67649255818742</v>
      </c>
      <c r="L106" s="1">
        <f t="shared" si="99"/>
        <v>708.29842906757801</v>
      </c>
      <c r="M106" s="1">
        <f t="shared" si="99"/>
        <v>688.29098660317777</v>
      </c>
      <c r="N106" s="1">
        <f t="shared" si="99"/>
        <v>675.92813980574363</v>
      </c>
      <c r="O106" s="1">
        <f t="shared" si="99"/>
        <v>680.01738296990209</v>
      </c>
      <c r="P106" s="1">
        <f t="shared" si="99"/>
        <v>684.79286144261005</v>
      </c>
      <c r="Q106" s="1">
        <f t="shared" si="99"/>
        <v>693.92524664707446</v>
      </c>
      <c r="R106" s="1">
        <f t="shared" si="99"/>
        <v>706.5642731038148</v>
      </c>
      <c r="S106" s="1"/>
      <c r="T106" s="1"/>
      <c r="U106" s="1"/>
      <c r="V106" s="1"/>
      <c r="W106" s="1"/>
      <c r="X106" s="1"/>
      <c r="Y106" s="1"/>
    </row>
    <row r="107" spans="1:25" ht="16" outlineLevel="1" x14ac:dyDescent="0.2">
      <c r="A107" s="1" t="s">
        <v>139</v>
      </c>
      <c r="B107" s="1"/>
      <c r="C107" s="2"/>
      <c r="D107" s="1">
        <f t="shared" ref="D107:H108" si="100">-D45</f>
        <v>254</v>
      </c>
      <c r="E107" s="1">
        <f t="shared" si="100"/>
        <v>-34</v>
      </c>
      <c r="F107" s="1">
        <f t="shared" si="100"/>
        <v>147</v>
      </c>
      <c r="G107" s="1">
        <f t="shared" si="100"/>
        <v>153</v>
      </c>
      <c r="H107" s="1">
        <f t="shared" si="100"/>
        <v>-3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/>
      <c r="T107" s="1"/>
      <c r="U107" s="1"/>
      <c r="V107" s="1"/>
      <c r="W107" s="1"/>
      <c r="X107" s="1"/>
      <c r="Y107" s="1"/>
    </row>
    <row r="108" spans="1:25" ht="16" outlineLevel="1" x14ac:dyDescent="0.2">
      <c r="A108" s="1" t="s">
        <v>140</v>
      </c>
      <c r="B108" s="1"/>
      <c r="C108" s="2"/>
      <c r="D108" s="1">
        <f t="shared" si="100"/>
        <v>0</v>
      </c>
      <c r="E108" s="1">
        <f t="shared" si="100"/>
        <v>0</v>
      </c>
      <c r="F108" s="1">
        <f t="shared" si="100"/>
        <v>0</v>
      </c>
      <c r="G108" s="1">
        <f t="shared" si="100"/>
        <v>0</v>
      </c>
      <c r="H108" s="1">
        <f t="shared" si="100"/>
        <v>475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/>
      <c r="T108" s="1"/>
      <c r="U108" s="1"/>
      <c r="V108" s="1"/>
      <c r="W108" s="1"/>
      <c r="X108" s="1"/>
      <c r="Y108" s="1"/>
    </row>
    <row r="109" spans="1:25" ht="16" outlineLevel="1" x14ac:dyDescent="0.2">
      <c r="A109" s="1" t="s">
        <v>192</v>
      </c>
      <c r="B109" s="1"/>
      <c r="C109" s="2"/>
      <c r="D109" s="3">
        <v>135</v>
      </c>
      <c r="E109" s="3">
        <v>141</v>
      </c>
      <c r="F109" s="3">
        <v>138</v>
      </c>
      <c r="G109" s="3">
        <v>145</v>
      </c>
      <c r="H109" s="3">
        <v>139</v>
      </c>
      <c r="I109" s="1">
        <f t="shared" ref="I109:R109" si="101">I25*I9*I158</f>
        <v>139.33457999999999</v>
      </c>
      <c r="J109" s="1">
        <f t="shared" si="101"/>
        <v>137.9412342</v>
      </c>
      <c r="K109" s="1">
        <f t="shared" si="101"/>
        <v>136.561821858</v>
      </c>
      <c r="L109" s="1">
        <f t="shared" si="101"/>
        <v>135.19620363941999</v>
      </c>
      <c r="M109" s="1">
        <f t="shared" si="101"/>
        <v>133.84424160302578</v>
      </c>
      <c r="N109" s="1">
        <f t="shared" si="101"/>
        <v>132.50579918699555</v>
      </c>
      <c r="O109" s="1">
        <f t="shared" si="101"/>
        <v>131.18074119512559</v>
      </c>
      <c r="P109" s="1">
        <f t="shared" si="101"/>
        <v>129.86893378317433</v>
      </c>
      <c r="Q109" s="1">
        <f t="shared" si="101"/>
        <v>128.57024444534258</v>
      </c>
      <c r="R109" s="1">
        <f t="shared" si="101"/>
        <v>127.28454200088916</v>
      </c>
      <c r="S109" s="1"/>
      <c r="T109" s="1"/>
      <c r="U109" s="1"/>
      <c r="V109" s="1"/>
      <c r="W109" s="1"/>
      <c r="X109" s="1"/>
      <c r="Y109" s="1"/>
    </row>
    <row r="110" spans="1:25" ht="16" outlineLevel="1" x14ac:dyDescent="0.2">
      <c r="A110" s="1" t="s">
        <v>193</v>
      </c>
      <c r="B110" s="1"/>
      <c r="C110" s="2"/>
      <c r="D110" s="3">
        <v>-36</v>
      </c>
      <c r="E110" s="3">
        <v>14</v>
      </c>
      <c r="F110" s="3">
        <v>51</v>
      </c>
      <c r="G110" s="3">
        <v>-214</v>
      </c>
      <c r="H110" s="3">
        <v>-59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/>
      <c r="T110" s="1"/>
      <c r="U110" s="1"/>
      <c r="V110" s="1"/>
      <c r="W110" s="1"/>
      <c r="X110" s="1"/>
      <c r="Y110" s="1"/>
    </row>
    <row r="111" spans="1:25" ht="16" outlineLevel="1" x14ac:dyDescent="0.2">
      <c r="A111" s="1" t="s">
        <v>143</v>
      </c>
      <c r="B111" s="1"/>
      <c r="C111" s="2"/>
      <c r="D111" s="3"/>
      <c r="E111" s="3"/>
      <c r="F111" s="3">
        <v>0</v>
      </c>
      <c r="G111" s="3">
        <v>-21</v>
      </c>
      <c r="H111" s="3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/>
      <c r="T111" s="1"/>
      <c r="U111" s="1"/>
      <c r="V111" s="1"/>
      <c r="W111" s="1"/>
      <c r="X111" s="1"/>
      <c r="Y111" s="1"/>
    </row>
    <row r="112" spans="1:25" ht="16" outlineLevel="1" x14ac:dyDescent="0.2">
      <c r="A112" s="1" t="s">
        <v>194</v>
      </c>
      <c r="B112" s="1"/>
      <c r="C112" s="2"/>
      <c r="D112" s="3">
        <v>3</v>
      </c>
      <c r="E112" s="3">
        <v>11</v>
      </c>
      <c r="F112" s="3">
        <v>12</v>
      </c>
      <c r="G112" s="3">
        <v>26</v>
      </c>
      <c r="H112" s="3">
        <v>12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/>
      <c r="T112" s="1"/>
      <c r="U112" s="1"/>
      <c r="V112" s="1"/>
      <c r="W112" s="1"/>
      <c r="X112" s="1"/>
      <c r="Y112" s="1"/>
    </row>
    <row r="113" spans="1:25" ht="16" outlineLevel="1" x14ac:dyDescent="0.2">
      <c r="A113" s="1" t="s">
        <v>195</v>
      </c>
      <c r="B113" s="1"/>
      <c r="C113" s="2"/>
      <c r="D113" s="3"/>
      <c r="E113" s="3"/>
      <c r="F113" s="3"/>
      <c r="G113" s="3"/>
      <c r="H113" s="3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6" outlineLevel="1" x14ac:dyDescent="0.2">
      <c r="A114" s="41" t="s">
        <v>157</v>
      </c>
      <c r="B114" s="1"/>
      <c r="C114" s="2"/>
      <c r="D114" s="3">
        <v>73</v>
      </c>
      <c r="E114" s="3">
        <v>17</v>
      </c>
      <c r="F114" s="3">
        <v>-103</v>
      </c>
      <c r="G114" s="3">
        <v>204</v>
      </c>
      <c r="H114" s="3">
        <v>-111</v>
      </c>
      <c r="I114" s="1">
        <f t="shared" ref="I114:R114" si="102">H67-I67</f>
        <v>147.468468914612</v>
      </c>
      <c r="J114" s="1">
        <f t="shared" si="102"/>
        <v>6.4162228704535664</v>
      </c>
      <c r="K114" s="1">
        <f t="shared" si="102"/>
        <v>-4.4384516758229893</v>
      </c>
      <c r="L114" s="1">
        <f t="shared" si="102"/>
        <v>3.1023793490651315</v>
      </c>
      <c r="M114" s="1">
        <f t="shared" si="102"/>
        <v>2.1323777453613957</v>
      </c>
      <c r="N114" s="1">
        <f t="shared" si="102"/>
        <v>889.31900279633089</v>
      </c>
      <c r="O114" s="1">
        <f t="shared" si="102"/>
        <v>0</v>
      </c>
      <c r="P114" s="1">
        <f t="shared" si="102"/>
        <v>0</v>
      </c>
      <c r="Q114" s="1">
        <f t="shared" si="102"/>
        <v>0</v>
      </c>
      <c r="R114" s="1">
        <f t="shared" si="102"/>
        <v>0</v>
      </c>
      <c r="S114" s="1"/>
      <c r="T114" s="1"/>
      <c r="U114" s="1"/>
      <c r="V114" s="1"/>
      <c r="W114" s="1"/>
      <c r="X114" s="1"/>
      <c r="Y114" s="1"/>
    </row>
    <row r="115" spans="1:25" ht="16" outlineLevel="1" x14ac:dyDescent="0.2">
      <c r="A115" s="41" t="s">
        <v>158</v>
      </c>
      <c r="B115" s="1"/>
      <c r="C115" s="2"/>
      <c r="D115" s="3">
        <v>-435</v>
      </c>
      <c r="E115" s="3">
        <v>-328</v>
      </c>
      <c r="F115" s="3">
        <v>809</v>
      </c>
      <c r="G115" s="3">
        <v>178</v>
      </c>
      <c r="H115" s="3">
        <v>-155</v>
      </c>
      <c r="I115" s="1">
        <f t="shared" ref="I115:R115" si="103">H68-I68</f>
        <v>341.95942908917095</v>
      </c>
      <c r="J115" s="1">
        <f t="shared" si="103"/>
        <v>35.686122262090066</v>
      </c>
      <c r="K115" s="1">
        <f t="shared" si="103"/>
        <v>-21.94656102647059</v>
      </c>
      <c r="L115" s="1">
        <f t="shared" si="103"/>
        <v>16.401569638162982</v>
      </c>
      <c r="M115" s="1">
        <f t="shared" si="103"/>
        <v>11.273393144508191</v>
      </c>
      <c r="N115" s="1">
        <f t="shared" si="103"/>
        <v>4701.6260468925384</v>
      </c>
      <c r="O115" s="1">
        <f t="shared" si="103"/>
        <v>0</v>
      </c>
      <c r="P115" s="1">
        <f t="shared" si="103"/>
        <v>0</v>
      </c>
      <c r="Q115" s="1">
        <f t="shared" si="103"/>
        <v>0</v>
      </c>
      <c r="R115" s="1">
        <f t="shared" si="103"/>
        <v>0</v>
      </c>
      <c r="S115" s="1"/>
      <c r="T115" s="1"/>
      <c r="U115" s="1"/>
      <c r="V115" s="1"/>
      <c r="W115" s="1"/>
      <c r="X115" s="1"/>
      <c r="Y115" s="1"/>
    </row>
    <row r="116" spans="1:25" ht="16" outlineLevel="1" x14ac:dyDescent="0.2">
      <c r="A116" s="41" t="s">
        <v>164</v>
      </c>
      <c r="B116" s="1"/>
      <c r="C116" s="2"/>
      <c r="D116" s="3">
        <v>-51</v>
      </c>
      <c r="E116" s="3">
        <v>-14</v>
      </c>
      <c r="F116" s="3">
        <v>-21</v>
      </c>
      <c r="G116" s="3">
        <v>-18</v>
      </c>
      <c r="H116" s="3">
        <v>11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/>
      <c r="T116" s="1"/>
      <c r="U116" s="1"/>
      <c r="V116" s="1"/>
      <c r="W116" s="1"/>
      <c r="X116" s="1"/>
      <c r="Y116" s="1"/>
    </row>
    <row r="117" spans="1:25" ht="16" outlineLevel="1" x14ac:dyDescent="0.2">
      <c r="A117" s="41" t="s">
        <v>168</v>
      </c>
      <c r="B117" s="1"/>
      <c r="C117" s="2"/>
      <c r="D117" s="3">
        <v>1676</v>
      </c>
      <c r="E117" s="3">
        <v>-201</v>
      </c>
      <c r="F117" s="3">
        <v>-1099</v>
      </c>
      <c r="G117" s="3">
        <v>-1025</v>
      </c>
      <c r="H117" s="3">
        <v>358</v>
      </c>
      <c r="I117" s="1">
        <f>I78-H78</f>
        <v>-26.009514024048258</v>
      </c>
      <c r="J117" s="1">
        <f t="shared" ref="J117:R117" si="104">J78-I78</f>
        <v>-37.273286518361601</v>
      </c>
      <c r="K117" s="1">
        <f t="shared" si="104"/>
        <v>22.92264906858145</v>
      </c>
      <c r="L117" s="1">
        <f t="shared" si="104"/>
        <v>-17.131040463971658</v>
      </c>
      <c r="M117" s="1">
        <f t="shared" si="104"/>
        <v>-11.774784876410195</v>
      </c>
      <c r="N117" s="1">
        <f t="shared" si="104"/>
        <v>-4910.7340231857897</v>
      </c>
      <c r="O117" s="1">
        <f t="shared" si="104"/>
        <v>0</v>
      </c>
      <c r="P117" s="1">
        <f t="shared" si="104"/>
        <v>0</v>
      </c>
      <c r="Q117" s="1">
        <f t="shared" si="104"/>
        <v>0</v>
      </c>
      <c r="R117" s="1">
        <f t="shared" si="104"/>
        <v>0</v>
      </c>
      <c r="S117" s="1"/>
      <c r="T117" s="1"/>
      <c r="U117" s="1"/>
      <c r="V117" s="1"/>
      <c r="W117" s="1"/>
      <c r="X117" s="1"/>
      <c r="Y117" s="1"/>
    </row>
    <row r="118" spans="1:25" ht="16" outlineLevel="1" x14ac:dyDescent="0.2">
      <c r="A118" s="41" t="s">
        <v>196</v>
      </c>
      <c r="B118" s="1"/>
      <c r="C118" s="2"/>
      <c r="D118" s="3">
        <v>173</v>
      </c>
      <c r="E118" s="3">
        <v>-156</v>
      </c>
      <c r="F118" s="3">
        <v>36</v>
      </c>
      <c r="G118" s="3">
        <v>52</v>
      </c>
      <c r="H118" s="3">
        <v>-212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/>
      <c r="T118" s="1"/>
      <c r="U118" s="1"/>
      <c r="V118" s="1"/>
      <c r="W118" s="1"/>
      <c r="X118" s="1"/>
      <c r="Y118" s="1"/>
    </row>
    <row r="119" spans="1:25" ht="16" outlineLevel="1" x14ac:dyDescent="0.2">
      <c r="A119" s="41" t="s">
        <v>197</v>
      </c>
      <c r="B119" s="1"/>
      <c r="C119" s="2"/>
      <c r="D119" s="3">
        <v>498</v>
      </c>
      <c r="E119" s="3">
        <v>479</v>
      </c>
      <c r="F119" s="3">
        <v>-483</v>
      </c>
      <c r="G119" s="3">
        <v>-174</v>
      </c>
      <c r="H119" s="3">
        <v>-150</v>
      </c>
      <c r="I119" s="1">
        <f>SUM(I80:I82)-SUM(H80:H82)</f>
        <v>19.838999999999942</v>
      </c>
      <c r="J119" s="1">
        <f t="shared" ref="J119:R119" si="105">SUM(J80:J82)-SUM(I80:I82)</f>
        <v>24.270974999999908</v>
      </c>
      <c r="K119" s="1">
        <f t="shared" si="105"/>
        <v>24.877749374999894</v>
      </c>
      <c r="L119" s="1">
        <f t="shared" si="105"/>
        <v>25.499693109374675</v>
      </c>
      <c r="M119" s="1">
        <f t="shared" si="105"/>
        <v>26.137185437109565</v>
      </c>
      <c r="N119" s="1">
        <f t="shared" si="105"/>
        <v>26.790615073036861</v>
      </c>
      <c r="O119" s="1">
        <f t="shared" si="105"/>
        <v>27.460380449863351</v>
      </c>
      <c r="P119" s="1">
        <f t="shared" si="105"/>
        <v>28.146889961109082</v>
      </c>
      <c r="Q119" s="1">
        <f t="shared" si="105"/>
        <v>28.850562210137468</v>
      </c>
      <c r="R119" s="1">
        <f t="shared" si="105"/>
        <v>29.571826265390428</v>
      </c>
      <c r="S119" s="1"/>
      <c r="T119" s="1"/>
      <c r="U119" s="1"/>
      <c r="V119" s="1"/>
      <c r="W119" s="1"/>
      <c r="X119" s="1"/>
      <c r="Y119" s="1"/>
    </row>
    <row r="120" spans="1:25" ht="16" outlineLevel="1" x14ac:dyDescent="0.2">
      <c r="A120" s="6" t="s">
        <v>198</v>
      </c>
      <c r="B120" s="5"/>
      <c r="C120" s="24"/>
      <c r="D120" s="6">
        <f>SUM(D105:D119)</f>
        <v>4927</v>
      </c>
      <c r="E120" s="6">
        <f>SUM(E105:E119)</f>
        <v>3252</v>
      </c>
      <c r="F120" s="6">
        <f>SUM(F105:F119)</f>
        <v>1824</v>
      </c>
      <c r="G120" s="6">
        <f t="shared" ref="G120:H120" si="106">SUM(G105:G119)</f>
        <v>1470</v>
      </c>
      <c r="H120" s="6">
        <f t="shared" si="106"/>
        <v>2098</v>
      </c>
      <c r="I120" s="6">
        <f>SUM(I105:I119)</f>
        <v>2524.0437172771249</v>
      </c>
      <c r="J120" s="6">
        <f t="shared" ref="J120:R120" si="107">SUM(J105:J119)</f>
        <v>1930.7120964615174</v>
      </c>
      <c r="K120" s="6">
        <f t="shared" si="107"/>
        <v>2075.7225547826433</v>
      </c>
      <c r="L120" s="6">
        <f t="shared" si="107"/>
        <v>2189.6115747055101</v>
      </c>
      <c r="M120" s="6">
        <f t="shared" si="107"/>
        <v>2310.7102517963485</v>
      </c>
      <c r="N120" s="6">
        <f t="shared" si="107"/>
        <v>-2182.3154597926032</v>
      </c>
      <c r="O120" s="6">
        <f t="shared" si="107"/>
        <v>-2829.8085326464275</v>
      </c>
      <c r="P120" s="6">
        <f t="shared" si="107"/>
        <v>-2797.1596968613089</v>
      </c>
      <c r="Q120" s="6">
        <f t="shared" si="107"/>
        <v>-2763.3920841518275</v>
      </c>
      <c r="R120" s="6">
        <f t="shared" si="107"/>
        <v>-2728.7765756337326</v>
      </c>
      <c r="S120" s="1"/>
      <c r="T120" s="1"/>
      <c r="U120" s="1"/>
      <c r="V120" s="1"/>
      <c r="W120" s="1"/>
      <c r="X120" s="1"/>
      <c r="Y120" s="1"/>
    </row>
    <row r="121" spans="1:25" ht="16" outlineLevel="1" x14ac:dyDescent="0.2">
      <c r="A121" s="4"/>
      <c r="B121" s="1"/>
      <c r="C121" s="2"/>
      <c r="D121" s="14"/>
      <c r="E121" s="14"/>
      <c r="F121" s="14"/>
      <c r="G121" s="14"/>
      <c r="H121" s="1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1"/>
      <c r="T121" s="1"/>
      <c r="U121" s="1"/>
      <c r="V121" s="1"/>
      <c r="W121" s="1"/>
      <c r="X121" s="1"/>
      <c r="Y121" s="1"/>
    </row>
    <row r="122" spans="1:25" ht="16" outlineLevel="1" x14ac:dyDescent="0.2">
      <c r="A122" s="4" t="s">
        <v>199</v>
      </c>
      <c r="B122" s="1"/>
      <c r="C122" s="2"/>
      <c r="D122" s="3"/>
      <c r="E122" s="3"/>
      <c r="F122" s="3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6" outlineLevel="1" x14ac:dyDescent="0.2">
      <c r="A123" s="1" t="s">
        <v>200</v>
      </c>
      <c r="B123" s="1"/>
      <c r="C123" s="2"/>
      <c r="D123" s="3">
        <f>-713</f>
        <v>-713</v>
      </c>
      <c r="E123" s="3">
        <f>-737</f>
        <v>-737</v>
      </c>
      <c r="F123" s="3">
        <f>-930</f>
        <v>-930</v>
      </c>
      <c r="G123" s="3">
        <f>-795</f>
        <v>-795</v>
      </c>
      <c r="H123" s="3">
        <v>-706</v>
      </c>
      <c r="I123" s="1">
        <f t="shared" ref="I123:R123" si="108">-(I161+I167+I155)</f>
        <v>-738.92545617226483</v>
      </c>
      <c r="J123" s="1">
        <f t="shared" si="108"/>
        <v>-704.36678182461253</v>
      </c>
      <c r="K123" s="1">
        <f t="shared" si="108"/>
        <v>-672.29883113727465</v>
      </c>
      <c r="L123" s="1">
        <f t="shared" si="108"/>
        <v>-651.16560762851873</v>
      </c>
      <c r="M123" s="1">
        <f t="shared" si="108"/>
        <v>-643.66331735353879</v>
      </c>
      <c r="N123" s="1">
        <f t="shared" si="108"/>
        <v>-697.92539592854155</v>
      </c>
      <c r="O123" s="1">
        <f t="shared" si="108"/>
        <v>-701.63659600993515</v>
      </c>
      <c r="P123" s="1">
        <f t="shared" si="108"/>
        <v>-706.30322916780085</v>
      </c>
      <c r="Q123" s="1">
        <f t="shared" si="108"/>
        <v>-712.76533288671624</v>
      </c>
      <c r="R123" s="1">
        <f t="shared" si="108"/>
        <v>-720.89824695181528</v>
      </c>
      <c r="S123" s="1"/>
      <c r="T123" s="1"/>
      <c r="U123" s="1"/>
      <c r="V123" s="1"/>
      <c r="W123" s="1"/>
      <c r="X123" s="1"/>
      <c r="Y123" s="1"/>
    </row>
    <row r="124" spans="1:25" ht="16" outlineLevel="1" x14ac:dyDescent="0.2">
      <c r="A124" s="1" t="s">
        <v>201</v>
      </c>
      <c r="B124" s="1"/>
      <c r="C124" s="2"/>
      <c r="D124" s="3">
        <v>-620</v>
      </c>
      <c r="E124" s="3">
        <v>-233</v>
      </c>
      <c r="F124" s="3">
        <v>-46</v>
      </c>
      <c r="G124" s="3">
        <v>-9</v>
      </c>
      <c r="H124" s="3">
        <v>-26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/>
      <c r="T124" s="1"/>
      <c r="U124" s="1"/>
      <c r="V124" s="1"/>
      <c r="W124" s="1"/>
      <c r="X124" s="1"/>
      <c r="Y124" s="1"/>
    </row>
    <row r="125" spans="1:25" ht="16" outlineLevel="1" x14ac:dyDescent="0.2">
      <c r="A125" s="1" t="s">
        <v>202</v>
      </c>
      <c r="B125" s="1"/>
      <c r="C125" s="2"/>
      <c r="D125" s="3">
        <v>546</v>
      </c>
      <c r="E125" s="3">
        <v>66</v>
      </c>
      <c r="F125" s="3">
        <v>0</v>
      </c>
      <c r="G125" s="3">
        <v>14</v>
      </c>
      <c r="H125" s="3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/>
      <c r="T125" s="1"/>
      <c r="U125" s="1"/>
      <c r="V125" s="1"/>
      <c r="W125" s="1"/>
      <c r="X125" s="1"/>
      <c r="Y125" s="1"/>
    </row>
    <row r="126" spans="1:25" ht="16" outlineLevel="1" x14ac:dyDescent="0.2">
      <c r="A126" s="1" t="s">
        <v>203</v>
      </c>
      <c r="B126" s="1"/>
      <c r="C126" s="2"/>
      <c r="D126" s="3">
        <v>0</v>
      </c>
      <c r="E126" s="3">
        <v>-468</v>
      </c>
      <c r="F126" s="3">
        <v>7</v>
      </c>
      <c r="G126" s="3">
        <v>7</v>
      </c>
      <c r="H126" s="3">
        <v>20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/>
      <c r="T126" s="1"/>
      <c r="U126" s="1"/>
      <c r="V126" s="1"/>
      <c r="W126" s="1"/>
      <c r="X126" s="1"/>
      <c r="Y126" s="1"/>
    </row>
    <row r="127" spans="1:25" ht="16" outlineLevel="1" x14ac:dyDescent="0.2">
      <c r="A127" s="1" t="s">
        <v>194</v>
      </c>
      <c r="B127" s="1"/>
      <c r="C127" s="2"/>
      <c r="D127" s="3">
        <v>-1</v>
      </c>
      <c r="E127" s="3">
        <v>0</v>
      </c>
      <c r="F127" s="3">
        <v>7</v>
      </c>
      <c r="G127" s="3">
        <v>2</v>
      </c>
      <c r="H127" s="3">
        <v>8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/>
      <c r="T127" s="1"/>
      <c r="U127" s="1"/>
      <c r="V127" s="1"/>
      <c r="W127" s="1"/>
      <c r="X127" s="1"/>
      <c r="Y127" s="1"/>
    </row>
    <row r="128" spans="1:25" ht="16" outlineLevel="1" x14ac:dyDescent="0.2">
      <c r="A128" s="6" t="s">
        <v>204</v>
      </c>
      <c r="B128" s="5"/>
      <c r="C128" s="24"/>
      <c r="D128" s="6">
        <f t="shared" ref="D128:H128" si="109">SUM(D123:D127)</f>
        <v>-788</v>
      </c>
      <c r="E128" s="6">
        <f t="shared" si="109"/>
        <v>-1372</v>
      </c>
      <c r="F128" s="6">
        <f t="shared" si="109"/>
        <v>-962</v>
      </c>
      <c r="G128" s="6">
        <f t="shared" si="109"/>
        <v>-781</v>
      </c>
      <c r="H128" s="6">
        <f t="shared" si="109"/>
        <v>-704</v>
      </c>
      <c r="I128" s="6">
        <f>SUM(I123:I127)</f>
        <v>-738.92545617226483</v>
      </c>
      <c r="J128" s="6">
        <f t="shared" ref="J128:R128" si="110">SUM(J123:J127)</f>
        <v>-704.36678182461253</v>
      </c>
      <c r="K128" s="6">
        <f t="shared" si="110"/>
        <v>-672.29883113727465</v>
      </c>
      <c r="L128" s="6">
        <f t="shared" si="110"/>
        <v>-651.16560762851873</v>
      </c>
      <c r="M128" s="6">
        <f t="shared" si="110"/>
        <v>-643.66331735353879</v>
      </c>
      <c r="N128" s="6">
        <f t="shared" si="110"/>
        <v>-697.92539592854155</v>
      </c>
      <c r="O128" s="6">
        <f t="shared" si="110"/>
        <v>-701.63659600993515</v>
      </c>
      <c r="P128" s="6">
        <f t="shared" si="110"/>
        <v>-706.30322916780085</v>
      </c>
      <c r="Q128" s="6">
        <f t="shared" si="110"/>
        <v>-712.76533288671624</v>
      </c>
      <c r="R128" s="6">
        <f t="shared" si="110"/>
        <v>-720.89824695181528</v>
      </c>
      <c r="S128" s="1"/>
      <c r="T128" s="1"/>
      <c r="U128" s="1"/>
      <c r="V128" s="1"/>
      <c r="W128" s="1"/>
      <c r="X128" s="1"/>
      <c r="Y128" s="1"/>
    </row>
    <row r="129" spans="1:25" ht="16" outlineLevel="1" x14ac:dyDescent="0.2">
      <c r="A129" s="4"/>
      <c r="B129" s="1"/>
      <c r="C129" s="2"/>
      <c r="D129" s="14"/>
      <c r="E129" s="14"/>
      <c r="F129" s="14"/>
      <c r="G129" s="1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1"/>
      <c r="T129" s="1"/>
      <c r="U129" s="1"/>
      <c r="V129" s="1"/>
      <c r="W129" s="1"/>
      <c r="X129" s="1"/>
      <c r="Y129" s="1"/>
    </row>
    <row r="130" spans="1:25" ht="16" outlineLevel="1" x14ac:dyDescent="0.2">
      <c r="A130" s="4" t="s">
        <v>205</v>
      </c>
      <c r="B130" s="1"/>
      <c r="C130" s="2"/>
      <c r="D130" s="3"/>
      <c r="E130" s="3"/>
      <c r="F130" s="3"/>
      <c r="G130" s="3"/>
      <c r="H130" s="3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6" outlineLevel="1" x14ac:dyDescent="0.2">
      <c r="A131" s="1" t="s">
        <v>206</v>
      </c>
      <c r="B131" s="1"/>
      <c r="C131" s="2"/>
      <c r="D131" s="3">
        <v>-284</v>
      </c>
      <c r="E131" s="3">
        <v>-3473</v>
      </c>
      <c r="F131" s="3">
        <v>-998</v>
      </c>
      <c r="G131" s="3">
        <v>-321</v>
      </c>
      <c r="H131" s="3">
        <v>-483</v>
      </c>
      <c r="I131" s="1">
        <v>-600</v>
      </c>
      <c r="J131" s="1">
        <f t="shared" ref="J131:R131" si="111">-J23*(J120+J123)</f>
        <v>-425.52068029427085</v>
      </c>
      <c r="K131" s="1">
        <f t="shared" si="111"/>
        <v>-486.96383514419045</v>
      </c>
      <c r="L131" s="1">
        <f t="shared" si="111"/>
        <v>-533.81422564524917</v>
      </c>
      <c r="M131" s="1">
        <f t="shared" si="111"/>
        <v>-578.4365440631301</v>
      </c>
      <c r="N131" s="1">
        <f t="shared" si="111"/>
        <v>999.3939176101386</v>
      </c>
      <c r="O131" s="1">
        <f t="shared" si="111"/>
        <v>1225.3505726587809</v>
      </c>
      <c r="P131" s="1">
        <f t="shared" si="111"/>
        <v>1215.6412307988937</v>
      </c>
      <c r="Q131" s="1">
        <f t="shared" si="111"/>
        <v>1206.1666899638051</v>
      </c>
      <c r="R131" s="1">
        <f t="shared" si="111"/>
        <v>1196.9776862850717</v>
      </c>
      <c r="S131" s="1"/>
      <c r="T131" s="1"/>
      <c r="U131" s="1"/>
      <c r="V131" s="1"/>
      <c r="W131" s="1"/>
      <c r="X131" s="1"/>
      <c r="Y131" s="1"/>
    </row>
    <row r="132" spans="1:25" ht="16" outlineLevel="1" x14ac:dyDescent="0.2">
      <c r="A132" s="1" t="s">
        <v>207</v>
      </c>
      <c r="B132" s="1"/>
      <c r="C132" s="2"/>
      <c r="D132" s="3">
        <v>-568</v>
      </c>
      <c r="E132" s="3">
        <v>-688</v>
      </c>
      <c r="F132" s="3">
        <v>-789</v>
      </c>
      <c r="G132" s="3">
        <v>-801</v>
      </c>
      <c r="H132" s="3">
        <v>-807</v>
      </c>
      <c r="I132" s="1">
        <f>H132*1.01</f>
        <v>-815.07</v>
      </c>
      <c r="J132" s="1">
        <f>I132*1.01</f>
        <v>-823.22070000000008</v>
      </c>
      <c r="K132" s="1">
        <f t="shared" ref="K132:R132" si="112">J132*1.01</f>
        <v>-831.4529070000001</v>
      </c>
      <c r="L132" s="1">
        <f t="shared" si="112"/>
        <v>-839.76743607000014</v>
      </c>
      <c r="M132" s="1">
        <f t="shared" si="112"/>
        <v>-848.16511043070011</v>
      </c>
      <c r="N132" s="1">
        <f t="shared" si="112"/>
        <v>-856.64676153500716</v>
      </c>
      <c r="O132" s="1">
        <f t="shared" si="112"/>
        <v>-865.21322915035728</v>
      </c>
      <c r="P132" s="1">
        <f t="shared" si="112"/>
        <v>-873.86536144186084</v>
      </c>
      <c r="Q132" s="1">
        <f t="shared" si="112"/>
        <v>-882.60401505627942</v>
      </c>
      <c r="R132" s="1">
        <f t="shared" si="112"/>
        <v>-891.43005520684221</v>
      </c>
      <c r="S132" s="1"/>
      <c r="T132" s="1"/>
      <c r="U132" s="1"/>
      <c r="V132" s="1"/>
      <c r="W132" s="1"/>
      <c r="X132" s="1"/>
      <c r="Y132" s="1"/>
    </row>
    <row r="133" spans="1:25" ht="16" outlineLevel="1" x14ac:dyDescent="0.2">
      <c r="A133" s="1" t="s">
        <v>208</v>
      </c>
      <c r="B133" s="1"/>
      <c r="C133" s="2"/>
      <c r="D133" s="3">
        <f>1892-1916-18</f>
        <v>-42</v>
      </c>
      <c r="E133" s="3">
        <f>-133+80</f>
        <v>-53</v>
      </c>
      <c r="F133" s="3">
        <f>-19+8</f>
        <v>-11</v>
      </c>
      <c r="G133" s="3">
        <f>-19+8</f>
        <v>-11</v>
      </c>
      <c r="H133" s="3">
        <v>-17</v>
      </c>
      <c r="I133" s="1">
        <f>I177</f>
        <v>0</v>
      </c>
      <c r="J133" s="1">
        <f t="shared" ref="J133:R133" si="113">J177</f>
        <v>0</v>
      </c>
      <c r="K133" s="1">
        <f t="shared" si="113"/>
        <v>0</v>
      </c>
      <c r="L133" s="1">
        <f t="shared" si="113"/>
        <v>0</v>
      </c>
      <c r="M133" s="1">
        <f t="shared" si="113"/>
        <v>0</v>
      </c>
      <c r="N133" s="1">
        <f t="shared" si="113"/>
        <v>0</v>
      </c>
      <c r="O133" s="1">
        <f t="shared" si="113"/>
        <v>0</v>
      </c>
      <c r="P133" s="1">
        <f t="shared" si="113"/>
        <v>0</v>
      </c>
      <c r="Q133" s="1">
        <f t="shared" si="113"/>
        <v>0</v>
      </c>
      <c r="R133" s="1">
        <f t="shared" si="113"/>
        <v>0</v>
      </c>
      <c r="S133" s="1"/>
      <c r="T133" s="1"/>
      <c r="U133" s="1"/>
      <c r="V133" s="1"/>
      <c r="W133" s="1"/>
      <c r="X133" s="1"/>
      <c r="Y133" s="1"/>
    </row>
    <row r="134" spans="1:25" ht="16" outlineLevel="1" x14ac:dyDescent="0.2">
      <c r="A134" s="1" t="s">
        <v>194</v>
      </c>
      <c r="B134" s="1"/>
      <c r="C134" s="2"/>
      <c r="D134" s="3">
        <v>0</v>
      </c>
      <c r="E134" s="3">
        <v>-3</v>
      </c>
      <c r="F134" s="3">
        <v>0</v>
      </c>
      <c r="G134" s="3">
        <v>-3</v>
      </c>
      <c r="H134" s="3">
        <v>-2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/>
      <c r="T134" s="1"/>
      <c r="U134" s="1"/>
      <c r="V134" s="1"/>
      <c r="W134" s="1"/>
      <c r="X134" s="1"/>
      <c r="Y134" s="1"/>
    </row>
    <row r="135" spans="1:25" ht="16" outlineLevel="1" x14ac:dyDescent="0.2">
      <c r="A135" s="6" t="s">
        <v>209</v>
      </c>
      <c r="B135" s="5"/>
      <c r="C135" s="24"/>
      <c r="D135" s="6">
        <f t="shared" ref="D135:H135" si="114">SUM(D131:D134)</f>
        <v>-894</v>
      </c>
      <c r="E135" s="6">
        <f t="shared" si="114"/>
        <v>-4217</v>
      </c>
      <c r="F135" s="6">
        <f t="shared" si="114"/>
        <v>-1798</v>
      </c>
      <c r="G135" s="6">
        <f t="shared" si="114"/>
        <v>-1136</v>
      </c>
      <c r="H135" s="6">
        <f t="shared" si="114"/>
        <v>-1309</v>
      </c>
      <c r="I135" s="6">
        <f>SUM(I131:I134)</f>
        <v>-1415.0700000000002</v>
      </c>
      <c r="J135" s="6">
        <f t="shared" ref="J135:R135" si="115">SUM(J131:J134)</f>
        <v>-1248.741380294271</v>
      </c>
      <c r="K135" s="6">
        <f t="shared" si="115"/>
        <v>-1318.4167421441905</v>
      </c>
      <c r="L135" s="6">
        <f t="shared" si="115"/>
        <v>-1373.5816617152493</v>
      </c>
      <c r="M135" s="6">
        <f t="shared" si="115"/>
        <v>-1426.6016544938302</v>
      </c>
      <c r="N135" s="6">
        <f t="shared" si="115"/>
        <v>142.74715607513144</v>
      </c>
      <c r="O135" s="6">
        <f t="shared" si="115"/>
        <v>360.13734350842367</v>
      </c>
      <c r="P135" s="6">
        <f t="shared" si="115"/>
        <v>341.77586935703289</v>
      </c>
      <c r="Q135" s="6">
        <f t="shared" si="115"/>
        <v>323.56267490752566</v>
      </c>
      <c r="R135" s="6">
        <f t="shared" si="115"/>
        <v>305.54763107822953</v>
      </c>
      <c r="S135" s="1"/>
      <c r="T135" s="1"/>
      <c r="U135" s="1"/>
      <c r="V135" s="1"/>
      <c r="W135" s="1"/>
      <c r="X135" s="1"/>
      <c r="Y135" s="1"/>
    </row>
    <row r="136" spans="1:25" ht="16" outlineLevel="1" x14ac:dyDescent="0.2">
      <c r="A136" s="4"/>
      <c r="B136" s="1"/>
      <c r="C136" s="2"/>
      <c r="D136" s="14"/>
      <c r="E136" s="14"/>
      <c r="F136" s="14"/>
      <c r="G136" s="1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1"/>
      <c r="T136" s="1"/>
      <c r="U136" s="1"/>
      <c r="V136" s="1"/>
      <c r="W136" s="1"/>
      <c r="X136" s="1"/>
      <c r="Y136" s="1"/>
    </row>
    <row r="137" spans="1:25" ht="16" outlineLevel="1" x14ac:dyDescent="0.2">
      <c r="A137" s="4" t="s">
        <v>210</v>
      </c>
      <c r="B137" s="1"/>
      <c r="C137" s="2"/>
      <c r="D137" s="1">
        <f t="shared" ref="D137:H137" si="116">D135+D128+D120</f>
        <v>3245</v>
      </c>
      <c r="E137" s="1">
        <f t="shared" si="116"/>
        <v>-2337</v>
      </c>
      <c r="F137" s="1">
        <f t="shared" si="116"/>
        <v>-936</v>
      </c>
      <c r="G137" s="1">
        <f t="shared" si="116"/>
        <v>-447</v>
      </c>
      <c r="H137" s="1">
        <f t="shared" si="116"/>
        <v>85</v>
      </c>
      <c r="I137" s="1">
        <f>I135+I128+I120</f>
        <v>370.04826110485965</v>
      </c>
      <c r="J137" s="1">
        <f t="shared" ref="J137:R137" si="117">J135+J128+J120</f>
        <v>-22.396065657366307</v>
      </c>
      <c r="K137" s="1">
        <f t="shared" si="117"/>
        <v>85.006981501178188</v>
      </c>
      <c r="L137" s="1">
        <f t="shared" si="117"/>
        <v>164.86430536174203</v>
      </c>
      <c r="M137" s="1">
        <f t="shared" si="117"/>
        <v>240.44527994897953</v>
      </c>
      <c r="N137" s="1">
        <f t="shared" si="117"/>
        <v>-2737.4936996460133</v>
      </c>
      <c r="O137" s="1">
        <f t="shared" si="117"/>
        <v>-3171.3077851479388</v>
      </c>
      <c r="P137" s="1">
        <f t="shared" si="117"/>
        <v>-3161.6870566720768</v>
      </c>
      <c r="Q137" s="1">
        <f t="shared" si="117"/>
        <v>-3152.5947421310179</v>
      </c>
      <c r="R137" s="1">
        <f t="shared" si="117"/>
        <v>-3144.1271915073185</v>
      </c>
      <c r="S137" s="1"/>
      <c r="T137" s="1"/>
      <c r="U137" s="1"/>
      <c r="V137" s="1"/>
      <c r="W137" s="1"/>
      <c r="X137" s="1"/>
      <c r="Y137" s="1"/>
    </row>
    <row r="138" spans="1:25" ht="16" outlineLevel="1" x14ac:dyDescent="0.2">
      <c r="A138" s="4"/>
      <c r="B138" s="1"/>
      <c r="C138" s="2"/>
      <c r="D138" s="14"/>
      <c r="E138" s="14"/>
      <c r="F138" s="14"/>
      <c r="G138" s="14"/>
      <c r="H138" s="14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6" outlineLevel="1" x14ac:dyDescent="0.2">
      <c r="A139" s="4"/>
      <c r="B139" s="1"/>
      <c r="C139" s="2"/>
      <c r="D139" s="3"/>
      <c r="E139" s="3"/>
      <c r="F139" s="3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6" x14ac:dyDescent="0.2">
      <c r="A140" s="1"/>
      <c r="B140" s="1"/>
      <c r="C140" s="2"/>
      <c r="D140" s="3"/>
      <c r="E140" s="3"/>
      <c r="F140" s="3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s="56" customFormat="1" ht="20" x14ac:dyDescent="0.2">
      <c r="A141" s="54" t="s">
        <v>211</v>
      </c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5"/>
      <c r="T141" s="55"/>
      <c r="U141" s="55"/>
      <c r="V141" s="55"/>
      <c r="W141" s="55"/>
      <c r="X141" s="55"/>
      <c r="Y141" s="55"/>
    </row>
    <row r="142" spans="1:25" ht="16" x14ac:dyDescent="0.2">
      <c r="A142" s="1"/>
      <c r="B142" s="1"/>
      <c r="C142" s="2"/>
      <c r="D142" s="3"/>
      <c r="E142" s="3"/>
      <c r="F142" s="3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6" x14ac:dyDescent="0.2">
      <c r="A143" s="4" t="s">
        <v>212</v>
      </c>
      <c r="B143" s="1"/>
      <c r="C143" s="2"/>
      <c r="D143" s="3"/>
      <c r="E143" s="3"/>
      <c r="F143" s="3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6" x14ac:dyDescent="0.2">
      <c r="A144" s="1" t="s">
        <v>213</v>
      </c>
      <c r="B144" s="1"/>
      <c r="C144" s="2"/>
      <c r="D144" s="1">
        <f t="shared" ref="D144:H145" si="118">D67</f>
        <v>1061</v>
      </c>
      <c r="E144" s="1">
        <f t="shared" si="118"/>
        <v>1042</v>
      </c>
      <c r="F144" s="1">
        <f t="shared" si="118"/>
        <v>1141</v>
      </c>
      <c r="G144" s="1">
        <f t="shared" si="118"/>
        <v>939</v>
      </c>
      <c r="H144" s="1">
        <f t="shared" si="118"/>
        <v>1044</v>
      </c>
      <c r="I144" s="1">
        <f t="shared" ref="I144:R144" si="119">I36*I19/I31</f>
        <v>896.531531085388</v>
      </c>
      <c r="J144" s="1">
        <f t="shared" si="119"/>
        <v>890.11530821493443</v>
      </c>
      <c r="K144" s="1">
        <f t="shared" si="119"/>
        <v>894.55375989075742</v>
      </c>
      <c r="L144" s="1">
        <f t="shared" si="119"/>
        <v>891.45138054169229</v>
      </c>
      <c r="M144" s="1">
        <f t="shared" si="119"/>
        <v>889.31900279633089</v>
      </c>
      <c r="N144" s="1">
        <f t="shared" si="119"/>
        <v>0</v>
      </c>
      <c r="O144" s="1">
        <f t="shared" si="119"/>
        <v>0</v>
      </c>
      <c r="P144" s="1">
        <f t="shared" si="119"/>
        <v>0</v>
      </c>
      <c r="Q144" s="1">
        <f t="shared" si="119"/>
        <v>0</v>
      </c>
      <c r="R144" s="1">
        <f t="shared" si="119"/>
        <v>0</v>
      </c>
      <c r="S144" s="1"/>
      <c r="T144" s="1"/>
      <c r="U144" s="1"/>
      <c r="V144" s="1"/>
      <c r="W144" s="1"/>
      <c r="X144" s="1"/>
      <c r="Y144" s="1"/>
    </row>
    <row r="145" spans="1:25" ht="16" x14ac:dyDescent="0.2">
      <c r="A145" s="1" t="s">
        <v>158</v>
      </c>
      <c r="B145" s="1"/>
      <c r="C145" s="2"/>
      <c r="D145" s="1">
        <f t="shared" si="118"/>
        <v>5612</v>
      </c>
      <c r="E145" s="1">
        <f t="shared" si="118"/>
        <v>5965</v>
      </c>
      <c r="F145" s="1">
        <f t="shared" si="118"/>
        <v>5140</v>
      </c>
      <c r="G145" s="1">
        <f t="shared" si="118"/>
        <v>4958</v>
      </c>
      <c r="H145" s="1">
        <f t="shared" si="118"/>
        <v>5085</v>
      </c>
      <c r="I145" s="1">
        <f t="shared" ref="I145:R145" si="120">-I38*I20/I31</f>
        <v>4743.040570910829</v>
      </c>
      <c r="J145" s="1">
        <f t="shared" si="120"/>
        <v>4707.354448648739</v>
      </c>
      <c r="K145" s="1">
        <f t="shared" si="120"/>
        <v>4729.3010096752096</v>
      </c>
      <c r="L145" s="1">
        <f t="shared" si="120"/>
        <v>4712.8994400370466</v>
      </c>
      <c r="M145" s="1">
        <f t="shared" si="120"/>
        <v>4701.6260468925384</v>
      </c>
      <c r="N145" s="1">
        <f t="shared" si="120"/>
        <v>0</v>
      </c>
      <c r="O145" s="1">
        <f t="shared" si="120"/>
        <v>0</v>
      </c>
      <c r="P145" s="1">
        <f t="shared" si="120"/>
        <v>0</v>
      </c>
      <c r="Q145" s="1">
        <f t="shared" si="120"/>
        <v>0</v>
      </c>
      <c r="R145" s="1">
        <f t="shared" si="120"/>
        <v>0</v>
      </c>
      <c r="S145" s="1"/>
      <c r="T145" s="1"/>
      <c r="U145" s="1"/>
      <c r="V145" s="1"/>
      <c r="W145" s="1"/>
      <c r="X145" s="1"/>
      <c r="Y145" s="1"/>
    </row>
    <row r="146" spans="1:25" ht="16" x14ac:dyDescent="0.2">
      <c r="A146" s="1" t="s">
        <v>214</v>
      </c>
      <c r="B146" s="1"/>
      <c r="C146" s="2"/>
      <c r="D146" s="1">
        <f>D78</f>
        <v>6979</v>
      </c>
      <c r="E146" s="1">
        <f>E78</f>
        <v>6803</v>
      </c>
      <c r="F146" s="1">
        <f>F78</f>
        <v>5687</v>
      </c>
      <c r="G146" s="1">
        <f>G78</f>
        <v>4637</v>
      </c>
      <c r="H146" s="1">
        <f>H78</f>
        <v>4980</v>
      </c>
      <c r="I146" s="1">
        <f t="shared" ref="I146:R146" si="121">-I38*I21/I31</f>
        <v>4953.9904859759517</v>
      </c>
      <c r="J146" s="1">
        <f t="shared" si="121"/>
        <v>4916.7171994575901</v>
      </c>
      <c r="K146" s="1">
        <f t="shared" si="121"/>
        <v>4939.6398485261716</v>
      </c>
      <c r="L146" s="1">
        <f t="shared" si="121"/>
        <v>4922.5088080621999</v>
      </c>
      <c r="M146" s="1">
        <f t="shared" si="121"/>
        <v>4910.7340231857897</v>
      </c>
      <c r="N146" s="1">
        <f t="shared" si="121"/>
        <v>0</v>
      </c>
      <c r="O146" s="1">
        <f t="shared" si="121"/>
        <v>0</v>
      </c>
      <c r="P146" s="1">
        <f t="shared" si="121"/>
        <v>0</v>
      </c>
      <c r="Q146" s="1">
        <f t="shared" si="121"/>
        <v>0</v>
      </c>
      <c r="R146" s="1">
        <f t="shared" si="121"/>
        <v>0</v>
      </c>
      <c r="S146" s="1"/>
      <c r="T146" s="1"/>
      <c r="U146" s="1"/>
      <c r="V146" s="1"/>
      <c r="W146" s="1"/>
      <c r="X146" s="1"/>
      <c r="Y146" s="1"/>
    </row>
    <row r="147" spans="1:25" ht="16" x14ac:dyDescent="0.2">
      <c r="A147" s="1" t="s">
        <v>215</v>
      </c>
      <c r="B147" s="1"/>
      <c r="C147" s="2"/>
      <c r="D147" s="1">
        <f>D80</f>
        <v>711</v>
      </c>
      <c r="E147" s="1">
        <f t="shared" ref="E147:M147" si="122">E80</f>
        <v>1103</v>
      </c>
      <c r="F147" s="1">
        <f t="shared" si="122"/>
        <v>1116</v>
      </c>
      <c r="G147" s="1">
        <f t="shared" si="122"/>
        <v>1000</v>
      </c>
      <c r="H147" s="1">
        <f t="shared" si="122"/>
        <v>951</v>
      </c>
      <c r="I147" s="1">
        <f t="shared" si="122"/>
        <v>970.83899999999983</v>
      </c>
      <c r="J147" s="1">
        <f t="shared" si="122"/>
        <v>995.10997499999985</v>
      </c>
      <c r="K147" s="1">
        <f t="shared" si="122"/>
        <v>1019.9877243749997</v>
      </c>
      <c r="L147" s="1">
        <f t="shared" si="122"/>
        <v>1045.4874174843746</v>
      </c>
      <c r="M147" s="1">
        <f t="shared" si="122"/>
        <v>1071.624602921484</v>
      </c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6" x14ac:dyDescent="0.2">
      <c r="A148" s="5" t="s">
        <v>216</v>
      </c>
      <c r="B148" s="5"/>
      <c r="C148" s="24"/>
      <c r="D148" s="5">
        <f>D144+D145-D146-D147</f>
        <v>-1017</v>
      </c>
      <c r="E148" s="5">
        <f t="shared" ref="E148:R148" si="123">E144+E145-E146-E147</f>
        <v>-899</v>
      </c>
      <c r="F148" s="5">
        <f t="shared" si="123"/>
        <v>-522</v>
      </c>
      <c r="G148" s="5">
        <f t="shared" si="123"/>
        <v>260</v>
      </c>
      <c r="H148" s="5">
        <f t="shared" si="123"/>
        <v>198</v>
      </c>
      <c r="I148" s="5">
        <f t="shared" si="123"/>
        <v>-285.25738397973498</v>
      </c>
      <c r="J148" s="5">
        <f t="shared" si="123"/>
        <v>-314.35741759391703</v>
      </c>
      <c r="K148" s="5">
        <f t="shared" si="123"/>
        <v>-335.77280333520412</v>
      </c>
      <c r="L148" s="5">
        <f t="shared" si="123"/>
        <v>-363.64540496783616</v>
      </c>
      <c r="M148" s="5">
        <f t="shared" si="123"/>
        <v>-391.41357641840432</v>
      </c>
      <c r="N148" s="5">
        <f t="shared" si="123"/>
        <v>0</v>
      </c>
      <c r="O148" s="5">
        <f t="shared" si="123"/>
        <v>0</v>
      </c>
      <c r="P148" s="5">
        <f t="shared" si="123"/>
        <v>0</v>
      </c>
      <c r="Q148" s="5">
        <f t="shared" si="123"/>
        <v>0</v>
      </c>
      <c r="R148" s="5">
        <f t="shared" si="123"/>
        <v>0</v>
      </c>
      <c r="S148" s="1"/>
      <c r="T148" s="1"/>
      <c r="U148" s="1"/>
      <c r="V148" s="1"/>
      <c r="W148" s="1"/>
      <c r="X148" s="1"/>
      <c r="Y148" s="1"/>
    </row>
    <row r="149" spans="1:25" ht="16" x14ac:dyDescent="0.2">
      <c r="A149" s="1" t="s">
        <v>217</v>
      </c>
      <c r="B149" s="1"/>
      <c r="C149" s="2"/>
      <c r="D149" s="1"/>
      <c r="E149" s="1">
        <f>E148-D148</f>
        <v>118</v>
      </c>
      <c r="F149" s="1">
        <f t="shared" ref="F149:H149" si="124">F148-E148</f>
        <v>377</v>
      </c>
      <c r="G149" s="1">
        <f t="shared" si="124"/>
        <v>782</v>
      </c>
      <c r="H149" s="1">
        <f t="shared" si="124"/>
        <v>-62</v>
      </c>
      <c r="I149" s="1">
        <f>I148-H148</f>
        <v>-483.25738397973498</v>
      </c>
      <c r="J149" s="1">
        <f t="shared" ref="J149:L149" si="125">J148-I148</f>
        <v>-29.100033614182053</v>
      </c>
      <c r="K149" s="1">
        <f t="shared" si="125"/>
        <v>-21.415385741287082</v>
      </c>
      <c r="L149" s="1">
        <f t="shared" si="125"/>
        <v>-27.87260163263204</v>
      </c>
      <c r="M149" s="1">
        <f t="shared" ref="M149" si="126">M148-L148</f>
        <v>-27.768171450568161</v>
      </c>
      <c r="N149" s="1">
        <f t="shared" ref="N149" si="127">N148-M148</f>
        <v>391.41357641840432</v>
      </c>
      <c r="O149" s="1">
        <f t="shared" ref="O149" si="128">O148-N148</f>
        <v>0</v>
      </c>
      <c r="P149" s="1">
        <f t="shared" ref="P149" si="129">P148-O148</f>
        <v>0</v>
      </c>
      <c r="Q149" s="1">
        <f t="shared" ref="Q149:R149" si="130">Q148-P148</f>
        <v>0</v>
      </c>
      <c r="R149" s="1">
        <f t="shared" si="130"/>
        <v>0</v>
      </c>
      <c r="S149" s="1"/>
      <c r="T149" s="1"/>
      <c r="U149" s="1"/>
      <c r="V149" s="1"/>
      <c r="W149" s="1"/>
      <c r="X149" s="1"/>
      <c r="Y149" s="1"/>
    </row>
    <row r="150" spans="1:25" ht="16" x14ac:dyDescent="0.2">
      <c r="A150" s="1"/>
      <c r="B150" s="1"/>
      <c r="C150" s="2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1"/>
      <c r="T150" s="1"/>
      <c r="U150" s="1"/>
      <c r="V150" s="1"/>
      <c r="W150" s="1"/>
      <c r="X150" s="1"/>
      <c r="Y150" s="1"/>
    </row>
    <row r="151" spans="1:25" ht="16" x14ac:dyDescent="0.2">
      <c r="A151" s="4" t="s">
        <v>218</v>
      </c>
      <c r="B151" s="1"/>
      <c r="C151" s="2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1"/>
      <c r="T151" s="1"/>
      <c r="U151" s="1"/>
      <c r="V151" s="1"/>
      <c r="W151" s="1"/>
      <c r="X151" s="1"/>
      <c r="Y151" s="1"/>
    </row>
    <row r="152" spans="1:25" ht="16" x14ac:dyDescent="0.2">
      <c r="A152" s="42" t="s">
        <v>219</v>
      </c>
      <c r="B152" s="1"/>
      <c r="C152" s="2"/>
      <c r="D152" s="3">
        <v>18674</v>
      </c>
      <c r="E152" s="3">
        <v>16430</v>
      </c>
      <c r="F152" s="3">
        <v>14212</v>
      </c>
      <c r="G152" s="3">
        <v>13102</v>
      </c>
      <c r="H152" s="3">
        <v>12994</v>
      </c>
      <c r="I152" s="34">
        <f>I35*I14</f>
        <v>12668.187692721658</v>
      </c>
      <c r="J152" s="34">
        <f>J35*J14</f>
        <v>12612.152102276137</v>
      </c>
      <c r="K152" s="34">
        <f>K35*K14</f>
        <v>12762.131259917724</v>
      </c>
      <c r="L152" s="34">
        <f>L35*L14</f>
        <v>12812.415025331627</v>
      </c>
      <c r="M152" s="34">
        <f>M35*M14</f>
        <v>12883.697585540174</v>
      </c>
      <c r="N152" s="34">
        <f t="shared" ref="N152:R152" si="131">M152*1.02</f>
        <v>13141.371537250978</v>
      </c>
      <c r="O152" s="34">
        <f t="shared" si="131"/>
        <v>13404.198967995997</v>
      </c>
      <c r="P152" s="34">
        <f t="shared" si="131"/>
        <v>13672.282947355918</v>
      </c>
      <c r="Q152" s="34">
        <f t="shared" si="131"/>
        <v>13945.728606303037</v>
      </c>
      <c r="R152" s="34">
        <f t="shared" si="131"/>
        <v>14224.643178429098</v>
      </c>
      <c r="S152" s="1"/>
      <c r="T152" s="1"/>
      <c r="U152" s="1"/>
      <c r="V152" s="1"/>
      <c r="W152" s="1"/>
      <c r="X152" s="1"/>
      <c r="Y152" s="1"/>
    </row>
    <row r="153" spans="1:25" s="65" customFormat="1" ht="16" x14ac:dyDescent="0.2">
      <c r="A153" s="76" t="s">
        <v>220</v>
      </c>
      <c r="B153" s="76"/>
      <c r="C153" s="76"/>
      <c r="D153" s="79">
        <f>D154/D152</f>
        <v>2.8863660704723144E-2</v>
      </c>
      <c r="E153" s="79">
        <f t="shared" ref="E153:H153" si="132">E154/E152</f>
        <v>3.3414485696895924E-2</v>
      </c>
      <c r="F153" s="79">
        <f t="shared" si="132"/>
        <v>3.7996059667886294E-2</v>
      </c>
      <c r="G153" s="79">
        <f t="shared" si="132"/>
        <v>3.7856815753320103E-2</v>
      </c>
      <c r="H153" s="79">
        <f t="shared" si="132"/>
        <v>3.3707865168539325E-2</v>
      </c>
      <c r="I153" s="107">
        <v>3.5999999999999997E-2</v>
      </c>
      <c r="J153" s="79">
        <f t="shared" ref="J153:R153" si="133">I153</f>
        <v>3.5999999999999997E-2</v>
      </c>
      <c r="K153" s="79">
        <f t="shared" si="133"/>
        <v>3.5999999999999997E-2</v>
      </c>
      <c r="L153" s="79">
        <f t="shared" si="133"/>
        <v>3.5999999999999997E-2</v>
      </c>
      <c r="M153" s="79">
        <f t="shared" si="133"/>
        <v>3.5999999999999997E-2</v>
      </c>
      <c r="N153" s="79">
        <f t="shared" si="133"/>
        <v>3.5999999999999997E-2</v>
      </c>
      <c r="O153" s="79">
        <f t="shared" si="133"/>
        <v>3.5999999999999997E-2</v>
      </c>
      <c r="P153" s="79">
        <f t="shared" si="133"/>
        <v>3.5999999999999997E-2</v>
      </c>
      <c r="Q153" s="79">
        <f t="shared" si="133"/>
        <v>3.5999999999999997E-2</v>
      </c>
      <c r="R153" s="79">
        <f t="shared" si="133"/>
        <v>3.5999999999999997E-2</v>
      </c>
      <c r="S153" s="1"/>
      <c r="T153" s="296"/>
      <c r="U153" s="296"/>
      <c r="V153" s="296"/>
      <c r="W153" s="296"/>
      <c r="X153" s="296"/>
      <c r="Y153" s="296"/>
    </row>
    <row r="154" spans="1:25" s="65" customFormat="1" ht="16" x14ac:dyDescent="0.2">
      <c r="A154" s="34" t="s">
        <v>221</v>
      </c>
      <c r="B154" s="34"/>
      <c r="C154" s="35"/>
      <c r="D154" s="49">
        <v>539</v>
      </c>
      <c r="E154" s="49">
        <v>549</v>
      </c>
      <c r="F154" s="49">
        <v>540</v>
      </c>
      <c r="G154" s="49">
        <v>496</v>
      </c>
      <c r="H154" s="49">
        <v>438</v>
      </c>
      <c r="I154" s="34">
        <f>I153*I152</f>
        <v>456.05475693797968</v>
      </c>
      <c r="J154" s="34">
        <f t="shared" ref="J154:R154" si="134">J153*J152</f>
        <v>454.03747568194092</v>
      </c>
      <c r="K154" s="34">
        <f t="shared" si="134"/>
        <v>459.43672535703803</v>
      </c>
      <c r="L154" s="34">
        <f t="shared" si="134"/>
        <v>461.24694091193857</v>
      </c>
      <c r="M154" s="34">
        <f t="shared" si="134"/>
        <v>463.81311307944623</v>
      </c>
      <c r="N154" s="34">
        <f t="shared" si="134"/>
        <v>473.08937534103518</v>
      </c>
      <c r="O154" s="34">
        <f t="shared" si="134"/>
        <v>482.55116284785584</v>
      </c>
      <c r="P154" s="34">
        <f t="shared" si="134"/>
        <v>492.20218610481299</v>
      </c>
      <c r="Q154" s="34">
        <f t="shared" si="134"/>
        <v>502.04622982690927</v>
      </c>
      <c r="R154" s="34">
        <f t="shared" si="134"/>
        <v>512.08715442344749</v>
      </c>
      <c r="S154" s="1"/>
      <c r="T154" s="296"/>
      <c r="U154" s="296"/>
      <c r="V154" s="296"/>
      <c r="W154" s="296"/>
      <c r="X154" s="296"/>
      <c r="Y154" s="296"/>
    </row>
    <row r="155" spans="1:25" ht="16" x14ac:dyDescent="0.2">
      <c r="A155" s="34" t="s">
        <v>222</v>
      </c>
      <c r="B155" s="74"/>
      <c r="C155" s="74"/>
      <c r="D155" s="75">
        <f>(SUMIFS('Modeled Useful Life+SG&amp;A brkdn'!$B$6:$F$6,'Modeled Useful Life+SG&amp;A brkdn'!$B$3:$F$3,"&gt;"&amp;D2-ROUND(D12,0),'Modeled Useful Life+SG&amp;A brkdn'!$B$3:$F$3,"&lt;"&amp;D2)+SUMIFS($D$154:D154,$D$2:D2,"&lt;"&amp;D2,$D$2:D2,"&gt;"&amp;D2-ROUND(D12,0))+D154*0.4)/D12</f>
        <v>414.79999999999995</v>
      </c>
      <c r="E155" s="75">
        <f>(SUMIFS('Modeled Useful Life+SG&amp;A brkdn'!$B$6:$F$6,'Modeled Useful Life+SG&amp;A brkdn'!$B$3:$F$3,"&gt;"&amp;E2-ROUND(E12,0),'Modeled Useful Life+SG&amp;A brkdn'!$B$3:$F$3,"&lt;"&amp;E2)+SUMIFS($D$154:E154,$D$2:E2,"&lt;"&amp;E2,$D$2:E2,"&gt;"&amp;E2-ROUND(E12,0))+E154*0.4)/E12</f>
        <v>458.35555555555555</v>
      </c>
      <c r="F155" s="75">
        <f>(SUMIFS('Modeled Useful Life+SG&amp;A brkdn'!$B$6:$F$6,'Modeled Useful Life+SG&amp;A brkdn'!$B$3:$F$3,"&gt;"&amp;F2-ROUND(F12,0),'Modeled Useful Life+SG&amp;A brkdn'!$B$3:$F$3,"&lt;"&amp;F2)+SUMIFS($D$154:F154,$D$2:F2,"&lt;"&amp;F2,$D$2:F2,"&gt;"&amp;F2-ROUND(F12,0))+F154*0.4)/F12</f>
        <v>485.11111111111109</v>
      </c>
      <c r="G155" s="75">
        <f>(SUMIFS('Modeled Useful Life+SG&amp;A brkdn'!$B$6:$F$6,'Modeled Useful Life+SG&amp;A brkdn'!$B$3:$F$3,"&gt;"&amp;G2-ROUND(G12,0),'Modeled Useful Life+SG&amp;A brkdn'!$B$3:$F$3,"&lt;"&amp;G2)+SUMIFS($D$154:G154,$D$2:G2,"&lt;"&amp;G2,$D$2:G2,"&gt;"&amp;G2-ROUND(G12,0))+G154*0.4)/G12</f>
        <v>501.64444444444445</v>
      </c>
      <c r="H155" s="75">
        <f>(SUMIFS('Modeled Useful Life+SG&amp;A brkdn'!$B$6:$F$6,'Modeled Useful Life+SG&amp;A brkdn'!$B$3:$F$3,"&gt;"&amp;H2-ROUND(H12,0),'Modeled Useful Life+SG&amp;A brkdn'!$B$3:$F$3,"&lt;"&amp;H2)+SUMIFS($D$154:H154,$D$2:H2,"&lt;"&amp;H2,$D$2:H2,"&gt;"&amp;H2-ROUND(H12,0))+H154*0.4)/H12</f>
        <v>510.93333333333328</v>
      </c>
      <c r="I155" s="75">
        <f>(SUMIFS('Modeled Useful Life+SG&amp;A brkdn'!$B$6:$F$6,'Modeled Useful Life+SG&amp;A brkdn'!$B$3:$F$3,"&gt;"&amp;I2-ROUND(I12,0),'Modeled Useful Life+SG&amp;A brkdn'!$B$3:$F$3,"&lt;"&amp;I2)+SUMIFS($D$154:I154,$D$2:I2,"&lt;"&amp;I2,$D$2:I2,"&gt;"&amp;I2-ROUND(I12,0))+I154*0.4)/I12</f>
        <v>490.09375617226488</v>
      </c>
      <c r="J155" s="75">
        <f>(SUMIFS('Modeled Useful Life+SG&amp;A brkdn'!$B$6:$F$6,'Modeled Useful Life+SG&amp;A brkdn'!$B$3:$F$3,"&gt;"&amp;J2-ROUND(J12,0),'Modeled Useful Life+SG&amp;A brkdn'!$B$3:$F$3,"&lt;"&amp;J2)+SUMIFS($D$154:J154,$D$2:J2,"&lt;"&amp;J2,$D$2:J2,"&gt;"&amp;J2-ROUND(J12,0))+J154*0.4)/J12</f>
        <v>469.25994382461249</v>
      </c>
      <c r="K155" s="75">
        <f>(SUMIFS('Modeled Useful Life+SG&amp;A brkdn'!$B$6:$F$6,'Modeled Useful Life+SG&amp;A brkdn'!$B$3:$F$3,"&gt;"&amp;K2-ROUND(K12,0),'Modeled Useful Life+SG&amp;A brkdn'!$B$3:$F$3,"&lt;"&amp;K2)+SUMIFS($D$154:K154,$D$2:K2,"&lt;"&amp;K2,$D$2:K2,"&gt;"&amp;K2-ROUND(K12,0))+K154*0.4)/K12</f>
        <v>450.63709394727465</v>
      </c>
      <c r="L155" s="75">
        <f>(SUMIFS('Modeled Useful Life+SG&amp;A brkdn'!$B$6:$F$6,'Modeled Useful Life+SG&amp;A brkdn'!$B$3:$F$3,"&gt;"&amp;L2-ROUND(L12,0),'Modeled Useful Life+SG&amp;A brkdn'!$B$3:$F$3,"&lt;"&amp;L2)+SUMIFS($D$154:L154,$D$2:L2,"&lt;"&amp;L2,$D$2:L2,"&gt;"&amp;L2-ROUND(L12,0))+L154*0.4)/L12</f>
        <v>442.67282985371872</v>
      </c>
      <c r="M155" s="75">
        <f>(SUMIFS('Modeled Useful Life+SG&amp;A brkdn'!$B$6:$F$6,'Modeled Useful Life+SG&amp;A brkdn'!$B$3:$F$3,"&gt;"&amp;M2-ROUND(M12,0),'Modeled Useful Life+SG&amp;A brkdn'!$B$3:$F$3,"&lt;"&amp;M2)+SUMIFS($D$154:M154,$D$2:M2,"&lt;"&amp;M2,$D$2:M2,"&gt;"&amp;M2-ROUND(M12,0))+M154*0.4)/M12</f>
        <v>448.06692091570574</v>
      </c>
      <c r="N155" s="75">
        <f>(SUMIFS('Modeled Useful Life+SG&amp;A brkdn'!$B$6:$F$6,'Modeled Useful Life+SG&amp;A brkdn'!$B$3:$F$3,"&gt;"&amp;N2-ROUND(N12,0),'Modeled Useful Life+SG&amp;A brkdn'!$B$3:$F$3,"&lt;"&amp;N2)+SUMIFS($D$154:N154,$D$2:N2,"&lt;"&amp;N2,$D$2:N2,"&gt;"&amp;N2-ROUND(N12,0))+N154*0.4)/N12</f>
        <v>450.61555670372832</v>
      </c>
      <c r="O155" s="75">
        <f>(SUMIFS('Modeled Useful Life+SG&amp;A brkdn'!$B$6:$F$6,'Modeled Useful Life+SG&amp;A brkdn'!$B$3:$F$3,"&gt;"&amp;O2-ROUND(O12,0),'Modeled Useful Life+SG&amp;A brkdn'!$B$3:$F$3,"&lt;"&amp;O2)+SUMIFS($D$154:O154,$D$2:O2,"&lt;"&amp;O2,$D$2:O2,"&gt;"&amp;O2-ROUND(O12,0))+O154*0.4)/O12</f>
        <v>455.69035996191116</v>
      </c>
      <c r="P155" s="75">
        <f>(SUMIFS('Modeled Useful Life+SG&amp;A brkdn'!$B$6:$F$6,'Modeled Useful Life+SG&amp;A brkdn'!$B$3:$F$3,"&gt;"&amp;P2-ROUND(P12,0),'Modeled Useful Life+SG&amp;A brkdn'!$B$3:$F$3,"&lt;"&amp;P2)+SUMIFS($D$154:P154,$D$2:P2,"&lt;"&amp;P2,$D$2:P2,"&gt;"&amp;P2-ROUND(P12,0))+P154*0.4)/P12</f>
        <v>461.6847703604891</v>
      </c>
      <c r="Q155" s="75">
        <f>(SUMIFS('Modeled Useful Life+SG&amp;A brkdn'!$B$6:$F$6,'Modeled Useful Life+SG&amp;A brkdn'!$B$3:$F$3,"&gt;"&amp;Q2-ROUND(Q12,0),'Modeled Useful Life+SG&amp;A brkdn'!$B$3:$F$3,"&lt;"&amp;Q2)+SUMIFS($D$154:Q154,$D$2:Q2,"&lt;"&amp;Q2,$D$2:Q2,"&gt;"&amp;Q2-ROUND(Q12,0))+Q154*0.4)/Q12</f>
        <v>469.43873984531416</v>
      </c>
      <c r="R155" s="75">
        <f>(SUMIFS('Modeled Useful Life+SG&amp;A brkdn'!$B$6:$F$6,'Modeled Useful Life+SG&amp;A brkdn'!$B$3:$F$3,"&gt;"&amp;R2-ROUND(R12,0),'Modeled Useful Life+SG&amp;A brkdn'!$B$3:$F$3,"&lt;"&amp;R2)+SUMIFS($D$154:R154,$D$2:R2,"&lt;"&amp;R2,$D$2:R2,"&gt;"&amp;R2-ROUND(R12,0))+R154*0.4)/R12</f>
        <v>478.82751464222048</v>
      </c>
      <c r="S155" s="1"/>
      <c r="T155" s="1"/>
      <c r="U155" s="1"/>
      <c r="V155" s="1"/>
      <c r="W155" s="1"/>
      <c r="X155" s="1"/>
      <c r="Y155" s="1"/>
    </row>
    <row r="156" spans="1:25" ht="16" x14ac:dyDescent="0.2">
      <c r="D156" s="68"/>
      <c r="E156" s="68"/>
      <c r="F156" s="68"/>
      <c r="G156" s="68"/>
      <c r="H156" s="66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1"/>
      <c r="T156" s="1"/>
      <c r="U156" s="1"/>
      <c r="V156" s="1"/>
      <c r="W156" s="1"/>
      <c r="X156" s="1"/>
      <c r="Y156" s="1"/>
    </row>
    <row r="157" spans="1:25" ht="16" x14ac:dyDescent="0.2">
      <c r="A157" s="4" t="s">
        <v>223</v>
      </c>
      <c r="B157" s="1"/>
      <c r="C157" s="2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1"/>
      <c r="T157" s="1"/>
      <c r="U157" s="1"/>
      <c r="V157" s="1"/>
      <c r="W157" s="1"/>
      <c r="X157" s="1"/>
      <c r="Y157" s="1"/>
    </row>
    <row r="158" spans="1:25" ht="16" x14ac:dyDescent="0.2">
      <c r="A158" s="1" t="s">
        <v>224</v>
      </c>
      <c r="B158" s="1"/>
      <c r="C158" s="2"/>
      <c r="D158" s="3">
        <v>1159</v>
      </c>
      <c r="E158" s="3">
        <v>1144</v>
      </c>
      <c r="F158" s="3">
        <v>1138</v>
      </c>
      <c r="G158" s="3">
        <v>1125</v>
      </c>
      <c r="H158" s="3">
        <v>1117</v>
      </c>
      <c r="I158" s="1">
        <f>H158*(1+I159)</f>
        <v>1105.83</v>
      </c>
      <c r="J158" s="1">
        <f t="shared" ref="J158:R158" si="135">I158*(1+J159)</f>
        <v>1094.7717</v>
      </c>
      <c r="K158" s="1">
        <f t="shared" si="135"/>
        <v>1083.823983</v>
      </c>
      <c r="L158" s="1">
        <f t="shared" si="135"/>
        <v>1072.98574317</v>
      </c>
      <c r="M158" s="1">
        <f t="shared" si="135"/>
        <v>1062.2558857382999</v>
      </c>
      <c r="N158" s="1">
        <f t="shared" si="135"/>
        <v>1051.6333268809169</v>
      </c>
      <c r="O158" s="1">
        <f t="shared" si="135"/>
        <v>1041.1169936121078</v>
      </c>
      <c r="P158" s="1">
        <f t="shared" si="135"/>
        <v>1030.7058236759867</v>
      </c>
      <c r="Q158" s="1">
        <f t="shared" si="135"/>
        <v>1020.3987654392268</v>
      </c>
      <c r="R158" s="1">
        <f t="shared" si="135"/>
        <v>1010.1947777848346</v>
      </c>
      <c r="S158" s="1"/>
      <c r="T158" s="1"/>
      <c r="U158" s="1"/>
      <c r="V158" s="1"/>
      <c r="W158" s="1" t="s">
        <v>293</v>
      </c>
      <c r="X158" s="1">
        <v>4</v>
      </c>
      <c r="Y158" s="1"/>
    </row>
    <row r="159" spans="1:25" ht="16" x14ac:dyDescent="0.2">
      <c r="A159" s="53" t="s">
        <v>4</v>
      </c>
      <c r="B159" s="1"/>
      <c r="C159" s="2"/>
      <c r="D159" s="9">
        <f>D158/1231-1</f>
        <v>-5.84890333062551E-2</v>
      </c>
      <c r="E159" s="8">
        <f>E158/D158-1</f>
        <v>-1.2942191544434878E-2</v>
      </c>
      <c r="F159" s="8">
        <f t="shared" ref="F159:H159" si="136">F158/E158-1</f>
        <v>-5.2447552447552059E-3</v>
      </c>
      <c r="G159" s="8">
        <f t="shared" si="136"/>
        <v>-1.1423550087873435E-2</v>
      </c>
      <c r="H159" s="8">
        <f t="shared" si="136"/>
        <v>-7.1111111111110681E-3</v>
      </c>
      <c r="I159" s="9">
        <v>-0.01</v>
      </c>
      <c r="J159" s="9">
        <v>-0.01</v>
      </c>
      <c r="K159" s="9">
        <v>-0.01</v>
      </c>
      <c r="L159" s="9">
        <v>-0.01</v>
      </c>
      <c r="M159" s="9">
        <v>-0.01</v>
      </c>
      <c r="N159" s="9">
        <v>-0.01</v>
      </c>
      <c r="O159" s="9">
        <v>-0.01</v>
      </c>
      <c r="P159" s="9">
        <v>-0.01</v>
      </c>
      <c r="Q159" s="9">
        <v>-0.01</v>
      </c>
      <c r="R159" s="9">
        <v>-0.01</v>
      </c>
      <c r="S159" s="1"/>
      <c r="T159" s="1"/>
      <c r="U159" s="1"/>
      <c r="V159" s="1"/>
      <c r="W159" s="1" t="s">
        <v>296</v>
      </c>
      <c r="X159" s="1">
        <v>2</v>
      </c>
      <c r="Y159" s="1"/>
    </row>
    <row r="160" spans="1:25" ht="16" x14ac:dyDescent="0.2">
      <c r="A160" s="29" t="s">
        <v>225</v>
      </c>
      <c r="B160" s="29"/>
      <c r="C160" s="30"/>
      <c r="D160" s="58">
        <f>D161/D158</f>
        <v>0.10094909404659189</v>
      </c>
      <c r="E160" s="58">
        <f t="shared" ref="E160:H160" si="137">E161/E158</f>
        <v>0.1555944055944056</v>
      </c>
      <c r="F160" s="58">
        <f t="shared" si="137"/>
        <v>0.31195079086115995</v>
      </c>
      <c r="G160" s="58">
        <f t="shared" si="137"/>
        <v>0.24711111111111111</v>
      </c>
      <c r="H160" s="58">
        <f t="shared" si="137"/>
        <v>0.20590868397493287</v>
      </c>
      <c r="I160" s="59">
        <f>(-$H$160+$M$160)/5+H160</f>
        <v>0.19472694717994629</v>
      </c>
      <c r="J160" s="59">
        <f>(-$H$160+$M$160)/5+I160</f>
        <v>0.18354521038495972</v>
      </c>
      <c r="K160" s="59">
        <f>(-$H$160+$M$160)/5+J160</f>
        <v>0.17236347358997314</v>
      </c>
      <c r="L160" s="59">
        <f>(-$H$160+$M$160)/5+K160</f>
        <v>0.16118173679498657</v>
      </c>
      <c r="M160" s="313">
        <v>0.15</v>
      </c>
      <c r="N160" s="59">
        <v>0.2</v>
      </c>
      <c r="O160" s="59">
        <v>0.2</v>
      </c>
      <c r="P160" s="59">
        <v>0.2</v>
      </c>
      <c r="Q160" s="59">
        <v>0.2</v>
      </c>
      <c r="R160" s="59">
        <v>0.2</v>
      </c>
      <c r="S160" s="1"/>
      <c r="T160" s="1"/>
      <c r="U160" s="1"/>
      <c r="V160" s="1"/>
      <c r="W160" s="1" t="s">
        <v>417</v>
      </c>
      <c r="X160" s="1">
        <v>2</v>
      </c>
      <c r="Y160" s="1"/>
    </row>
    <row r="161" spans="1:25" ht="16" x14ac:dyDescent="0.2">
      <c r="A161" s="1" t="s">
        <v>226</v>
      </c>
      <c r="B161" s="1"/>
      <c r="C161" s="19"/>
      <c r="D161" s="3">
        <v>117</v>
      </c>
      <c r="E161" s="3">
        <v>178</v>
      </c>
      <c r="F161" s="3">
        <v>355</v>
      </c>
      <c r="G161" s="3">
        <v>278</v>
      </c>
      <c r="H161" s="3">
        <v>230</v>
      </c>
      <c r="I161" s="1">
        <f>I160*I158</f>
        <v>215.3349</v>
      </c>
      <c r="J161" s="1">
        <f t="shared" ref="J161:R161" si="138">J160*J158</f>
        <v>200.940102</v>
      </c>
      <c r="K161" s="1">
        <f t="shared" si="138"/>
        <v>186.81166647000001</v>
      </c>
      <c r="L161" s="1">
        <f t="shared" si="138"/>
        <v>172.94570564040001</v>
      </c>
      <c r="M161" s="1">
        <f t="shared" si="138"/>
        <v>159.33838286074499</v>
      </c>
      <c r="N161" s="1">
        <f t="shared" si="138"/>
        <v>210.3266653761834</v>
      </c>
      <c r="O161" s="1">
        <f t="shared" si="138"/>
        <v>208.22339872242156</v>
      </c>
      <c r="P161" s="1">
        <f t="shared" si="138"/>
        <v>206.14116473519735</v>
      </c>
      <c r="Q161" s="1">
        <f t="shared" si="138"/>
        <v>204.07975308784538</v>
      </c>
      <c r="R161" s="1">
        <f t="shared" si="138"/>
        <v>202.03895555696693</v>
      </c>
      <c r="S161" s="1"/>
      <c r="T161" s="1"/>
      <c r="U161" s="1"/>
      <c r="V161" s="1"/>
      <c r="W161" s="1" t="s">
        <v>312</v>
      </c>
      <c r="X161" s="1">
        <v>11</v>
      </c>
      <c r="Y161" s="1"/>
    </row>
    <row r="162" spans="1:25" ht="16" x14ac:dyDescent="0.2">
      <c r="A162" s="1" t="s">
        <v>227</v>
      </c>
      <c r="B162" s="1"/>
      <c r="C162" s="19"/>
      <c r="D162" s="3"/>
      <c r="E162" s="3"/>
      <c r="F162" s="3">
        <f>(SUMIFS('Modeled Useful Life+SG&amp;A brkdn'!$B$4:$F$4,'Modeled Useful Life+SG&amp;A brkdn'!$B$3:$F$3,"&gt;"&amp;F2-ROUND(F13,0),'Modeled Useful Life+SG&amp;A brkdn'!$B$4:$F$4,"&lt;"&amp;F2)+SUMIFS($D$161:F161,$D$2:F2,"&lt;"&amp;F2,$D$2:F2,"&gt;"&amp;F2-ROUND(F13,0))+F161*0.4)/F13</f>
        <v>207.23076923076923</v>
      </c>
      <c r="G162" s="3">
        <f>(SUMIFS('Modeled Useful Life+SG&amp;A brkdn'!$B$4:$F$4,'Modeled Useful Life+SG&amp;A brkdn'!$B$3:$F$3,"&gt;"&amp;G2-ROUND(G13,0),'Modeled Useful Life+SG&amp;A brkdn'!$B$4:$F$4,"&lt;"&amp;G2)+SUMIFS($D$161:G161,$D$2:G2,"&lt;"&amp;G2,$D$2:G2,"&gt;"&amp;G2-ROUND(G13,0))+G161*0.4)/G13</f>
        <v>224.64615384615385</v>
      </c>
      <c r="H162" s="3">
        <f>(SUMIFS('Modeled Useful Life+SG&amp;A brkdn'!$B$4:$F$4,'Modeled Useful Life+SG&amp;A brkdn'!$B$3:$F$3,"&gt;"&amp;H2-ROUND(H13,0),'Modeled Useful Life+SG&amp;A brkdn'!$B$4:$F$4,"&lt;"&amp;H2)+SUMIFS($D$161:H161,$D$2:H2,"&lt;"&amp;H2,$D$2:H2,"&gt;"&amp;H2-ROUND(H13,0))+H161*0.4)/H13</f>
        <v>234.15384615384616</v>
      </c>
      <c r="I162" s="3">
        <f>(SUMIFS('Modeled Useful Life+SG&amp;A brkdn'!$B$4:$F$4,'Modeled Useful Life+SG&amp;A brkdn'!$B$3:$F$3,"&gt;"&amp;I2-ROUND(I13,0),'Modeled Useful Life+SG&amp;A brkdn'!$B$4:$F$4,"&lt;"&amp;I2)+SUMIFS($D$161:I161,$D$2:I2,"&lt;"&amp;I2,$D$2:I2,"&gt;"&amp;I2-ROUND(I13,0))+I161*0.4)/I13</f>
        <v>228.02060923076925</v>
      </c>
      <c r="J162" s="3">
        <f>(SUMIFS('Modeled Useful Life+SG&amp;A brkdn'!$B$4:$F$4,'Modeled Useful Life+SG&amp;A brkdn'!$B$3:$F$3,"&gt;"&amp;J2-ROUND(J13,0),'Modeled Useful Life+SG&amp;A brkdn'!$B$4:$F$4,"&lt;"&amp;J2)+SUMIFS($D$161:J161,$D$2:J2,"&lt;"&amp;J2,$D$2:J2,"&gt;"&amp;J2-ROUND(J13,0))+J161*0.4)/J13</f>
        <v>223.64783704615385</v>
      </c>
      <c r="K162" s="3">
        <f>(SUMIFS('Modeled Useful Life+SG&amp;A brkdn'!$B$4:$F$4,'Modeled Useful Life+SG&amp;A brkdn'!$B$3:$F$3,"&gt;"&amp;K2-ROUND(K13,0),'Modeled Useful Life+SG&amp;A brkdn'!$B$4:$F$4,"&lt;"&amp;K2)+SUMIFS($D$161:K161,$D$2:K2,"&lt;"&amp;K2,$D$2:K2,"&gt;"&amp;K2-ROUND(K13,0))+K161*0.4)/K13</f>
        <v>235.69225670584618</v>
      </c>
      <c r="L162" s="3">
        <f>(SUMIFS('Modeled Useful Life+SG&amp;A brkdn'!$B$4:$F$4,'Modeled Useful Life+SG&amp;A brkdn'!$B$3:$F$3,"&gt;"&amp;L2-ROUND(L13,0),'Modeled Useful Life+SG&amp;A brkdn'!$B$4:$F$4,"&lt;"&amp;L2)+SUMIFS($D$161:L161,$D$2:L2,"&lt;"&amp;L2,$D$2:L2,"&gt;"&amp;L2-ROUND(L13,0))+L161*0.4)/L13</f>
        <v>236.19460780402463</v>
      </c>
      <c r="M162" s="3">
        <f>(SUMIFS('Modeled Useful Life+SG&amp;A brkdn'!$B$4:$F$4,'Modeled Useful Life+SG&amp;A brkdn'!$B$3:$F$3,"&gt;"&amp;M2-ROUND(M13,0),'Modeled Useful Life+SG&amp;A brkdn'!$B$4:$F$4,"&lt;"&amp;M2)+SUMIFS($D$161:M161,$D$2:M2,"&lt;"&amp;M2,$D$2:M2,"&gt;"&amp;M2-ROUND(M13,0))+M161*0.4)/M13</f>
        <v>207.34888111610741</v>
      </c>
      <c r="N162" s="3">
        <f>(SUMIFS('Modeled Useful Life+SG&amp;A brkdn'!$B$4:$F$4,'Modeled Useful Life+SG&amp;A brkdn'!$B$3:$F$3,"&gt;"&amp;N2-ROUND(N13,0),'Modeled Useful Life+SG&amp;A brkdn'!$B$4:$F$4,"&lt;"&amp;N2)+SUMIFS($D$161:N161,$D$2:N2,"&lt;"&amp;N2,$D$2:N2,"&gt;"&amp;N2-ROUND(N13,0))+N161*0.4)/N13</f>
        <v>192.23098817255666</v>
      </c>
      <c r="O162" s="3">
        <f>(SUMIFS('Modeled Useful Life+SG&amp;A brkdn'!$B$4:$F$4,'Modeled Useful Life+SG&amp;A brkdn'!$B$3:$F$3,"&gt;"&amp;O2-ROUND(O13,0),'Modeled Useful Life+SG&amp;A brkdn'!$B$4:$F$4,"&lt;"&amp;O2)+SUMIFS($D$161:O161,$D$2:O2,"&lt;"&amp;O2,$D$2:O2,"&gt;"&amp;O2-ROUND(O13,0))+O161*0.4)/O13</f>
        <v>189.07488951327645</v>
      </c>
      <c r="P162" s="3">
        <f>(SUMIFS('Modeled Useful Life+SG&amp;A brkdn'!$B$4:$F$4,'Modeled Useful Life+SG&amp;A brkdn'!$B$3:$F$3,"&gt;"&amp;P2-ROUND(P13,0),'Modeled Useful Life+SG&amp;A brkdn'!$B$4:$F$4,"&lt;"&amp;P2)+SUMIFS($D$161:P161,$D$2:P2,"&lt;"&amp;P2,$D$2:P2,"&gt;"&amp;P2-ROUND(P13,0))+P161*0.4)/P13</f>
        <v>187.85267491751213</v>
      </c>
      <c r="Q162" s="3">
        <f>(SUMIFS('Modeled Useful Life+SG&amp;A brkdn'!$B$4:$F$4,'Modeled Useful Life+SG&amp;A brkdn'!$B$3:$F$3,"&gt;"&amp;Q2-ROUND(Q13,0),'Modeled Useful Life+SG&amp;A brkdn'!$B$4:$F$4,"&lt;"&amp;Q2)+SUMIFS($D$161:Q161,$D$2:Q2,"&lt;"&amp;Q2,$D$2:Q2,"&gt;"&amp;Q2-ROUND(Q13,0))+Q161*0.4)/Q13</f>
        <v>188.52598231385932</v>
      </c>
      <c r="R162" s="3">
        <f>(SUMIFS('Modeled Useful Life+SG&amp;A brkdn'!$B$4:$F$4,'Modeled Useful Life+SG&amp;A brkdn'!$B$3:$F$3,"&gt;"&amp;R2-ROUND(R13,0),'Modeled Useful Life+SG&amp;A brkdn'!$B$4:$F$4,"&lt;"&amp;R2)+SUMIFS($D$161:R161,$D$2:R2,"&lt;"&amp;R2,$D$2:R2,"&gt;"&amp;R2-ROUND(R13,0))+R161*0.4)/R13</f>
        <v>191.05702348393532</v>
      </c>
      <c r="S162" s="1"/>
      <c r="T162" s="1"/>
      <c r="U162" s="1"/>
      <c r="V162" s="1"/>
      <c r="W162" s="1" t="s">
        <v>418</v>
      </c>
      <c r="X162" s="1">
        <v>25</v>
      </c>
      <c r="Y162" s="1"/>
    </row>
    <row r="163" spans="1:25" ht="16" x14ac:dyDescent="0.2">
      <c r="A163" s="1"/>
      <c r="B163" s="1"/>
      <c r="C163" s="2"/>
      <c r="D163" s="57"/>
      <c r="E163" s="57"/>
      <c r="F163" s="77"/>
      <c r="G163" s="57"/>
      <c r="H163" s="57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1"/>
      <c r="T163" s="1"/>
      <c r="U163" s="1"/>
      <c r="V163" s="1"/>
      <c r="W163" s="1" t="s">
        <v>419</v>
      </c>
      <c r="X163" s="1">
        <v>32</v>
      </c>
      <c r="Y163" s="1"/>
    </row>
    <row r="164" spans="1:25" ht="16" x14ac:dyDescent="0.2">
      <c r="A164" s="4" t="s">
        <v>228</v>
      </c>
      <c r="B164" s="1"/>
      <c r="C164" s="2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1"/>
      <c r="T164" s="1"/>
      <c r="U164" s="1"/>
      <c r="V164" s="1"/>
      <c r="W164" s="1" t="s">
        <v>420</v>
      </c>
      <c r="X164" s="1">
        <v>24</v>
      </c>
      <c r="Y164" s="1"/>
    </row>
    <row r="165" spans="1:25" ht="16" x14ac:dyDescent="0.2">
      <c r="A165" s="78" t="s">
        <v>229</v>
      </c>
      <c r="B165" s="34"/>
      <c r="C165" s="35"/>
      <c r="D165" s="3">
        <f>19799+13022+5489</f>
        <v>38310</v>
      </c>
      <c r="E165" s="3">
        <f>20693+15009+6784</f>
        <v>42486</v>
      </c>
      <c r="F165" s="3">
        <f>6381+13040+18191</f>
        <v>37612</v>
      </c>
      <c r="G165" s="3">
        <f>16930+12014+5469</f>
        <v>34413</v>
      </c>
      <c r="H165" s="3">
        <f>17103+11148+4589</f>
        <v>32840</v>
      </c>
      <c r="I165" s="34">
        <f>H165*1.02</f>
        <v>33496.800000000003</v>
      </c>
      <c r="J165" s="34">
        <f t="shared" ref="J165:R165" si="139">I165*1.02</f>
        <v>34166.736000000004</v>
      </c>
      <c r="K165" s="34">
        <f t="shared" si="139"/>
        <v>34850.070720000003</v>
      </c>
      <c r="L165" s="34">
        <f t="shared" si="139"/>
        <v>35547.072134400005</v>
      </c>
      <c r="M165" s="34">
        <f t="shared" si="139"/>
        <v>36258.013577088008</v>
      </c>
      <c r="N165" s="34">
        <f t="shared" si="139"/>
        <v>36983.173848629769</v>
      </c>
      <c r="O165" s="34">
        <f t="shared" si="139"/>
        <v>37722.837325602362</v>
      </c>
      <c r="P165" s="34">
        <f t="shared" si="139"/>
        <v>38477.294072114411</v>
      </c>
      <c r="Q165" s="34">
        <f t="shared" si="139"/>
        <v>39246.8399535567</v>
      </c>
      <c r="R165" s="34">
        <f t="shared" si="139"/>
        <v>40031.776752627833</v>
      </c>
      <c r="S165" s="34"/>
      <c r="T165" s="1"/>
      <c r="U165" s="1"/>
      <c r="V165" s="1"/>
      <c r="W165" s="1" t="s">
        <v>421</v>
      </c>
      <c r="X165" s="1">
        <v>15</v>
      </c>
      <c r="Y165" s="1"/>
    </row>
    <row r="166" spans="1:25" ht="16" x14ac:dyDescent="0.2">
      <c r="A166" s="71" t="s">
        <v>230</v>
      </c>
      <c r="B166" s="29"/>
      <c r="C166" s="30"/>
      <c r="D166" s="60">
        <f>D167/D165</f>
        <v>1.4878621769772906E-3</v>
      </c>
      <c r="E166" s="60">
        <f>E167/E165</f>
        <v>2.353716518382526E-4</v>
      </c>
      <c r="F166" s="60">
        <f>F167/F165</f>
        <v>9.3055407848558966E-4</v>
      </c>
      <c r="G166" s="60">
        <f>G167/G165</f>
        <v>6.102345044024061E-4</v>
      </c>
      <c r="H166" s="60">
        <f>H167/H165</f>
        <v>1.1571254567600488E-3</v>
      </c>
      <c r="I166" s="61">
        <v>1E-3</v>
      </c>
      <c r="J166" s="61">
        <v>1E-3</v>
      </c>
      <c r="K166" s="61">
        <v>1E-3</v>
      </c>
      <c r="L166" s="61">
        <v>1E-3</v>
      </c>
      <c r="M166" s="61">
        <v>1E-3</v>
      </c>
      <c r="N166" s="61">
        <v>1E-3</v>
      </c>
      <c r="O166" s="61">
        <v>1E-3</v>
      </c>
      <c r="P166" s="61">
        <v>1E-3</v>
      </c>
      <c r="Q166" s="61">
        <v>1E-3</v>
      </c>
      <c r="R166" s="61">
        <v>1E-3</v>
      </c>
      <c r="S166" s="34"/>
      <c r="T166" s="1"/>
      <c r="U166" s="1"/>
      <c r="V166" s="1"/>
      <c r="W166" s="1" t="s">
        <v>422</v>
      </c>
      <c r="X166" s="1">
        <v>33</v>
      </c>
      <c r="Y166" s="1"/>
    </row>
    <row r="167" spans="1:25" ht="16" x14ac:dyDescent="0.2">
      <c r="A167" s="1" t="s">
        <v>231</v>
      </c>
      <c r="B167" s="1"/>
      <c r="C167" s="19"/>
      <c r="D167" s="3">
        <v>57</v>
      </c>
      <c r="E167" s="3">
        <v>10</v>
      </c>
      <c r="F167" s="3">
        <v>35</v>
      </c>
      <c r="G167" s="3">
        <v>21</v>
      </c>
      <c r="H167" s="3">
        <v>38</v>
      </c>
      <c r="I167" s="1">
        <f t="shared" ref="I167:R167" si="140">I166*I165</f>
        <v>33.4968</v>
      </c>
      <c r="J167" s="1">
        <f t="shared" si="140"/>
        <v>34.166736000000007</v>
      </c>
      <c r="K167" s="1">
        <f t="shared" si="140"/>
        <v>34.850070720000005</v>
      </c>
      <c r="L167" s="1">
        <f t="shared" si="140"/>
        <v>35.547072134400004</v>
      </c>
      <c r="M167" s="1">
        <f t="shared" si="140"/>
        <v>36.258013577088008</v>
      </c>
      <c r="N167" s="1">
        <f t="shared" si="140"/>
        <v>36.983173848629768</v>
      </c>
      <c r="O167" s="1">
        <f t="shared" si="140"/>
        <v>37.722837325602363</v>
      </c>
      <c r="P167" s="1">
        <f t="shared" si="140"/>
        <v>38.477294072114411</v>
      </c>
      <c r="Q167" s="1">
        <f t="shared" si="140"/>
        <v>39.246839953556702</v>
      </c>
      <c r="R167" s="1">
        <f t="shared" si="140"/>
        <v>40.031776752627835</v>
      </c>
      <c r="S167" s="1"/>
      <c r="T167" s="1"/>
      <c r="U167" s="1"/>
      <c r="V167" s="1"/>
      <c r="W167" s="1" t="s">
        <v>423</v>
      </c>
      <c r="X167" s="1">
        <v>34</v>
      </c>
      <c r="Y167" s="1"/>
    </row>
    <row r="168" spans="1:25" ht="16" x14ac:dyDescent="0.2">
      <c r="A168" s="34" t="s">
        <v>232</v>
      </c>
      <c r="B168" s="34"/>
      <c r="C168" s="72"/>
      <c r="D168" s="49"/>
      <c r="E168" s="49"/>
      <c r="F168" s="34">
        <f>(SUMIFS('Modeled Useful Life+SG&amp;A brkdn'!$B$5:$F$5,'Modeled Useful Life+SG&amp;A brkdn'!$B$3:$F$3,"&gt;"&amp;F2-ROUND(F15,0),'Modeled Useful Life+SG&amp;A brkdn'!$B$5:$F$5,"&lt;"&amp;F2)+SUMIFS($D$167:F167,$D$2:F2,"&lt;"&amp;F2,$D$2:F2,"&gt;"&amp;F2-ROUND(F15,0))+F167*0.4)/F15</f>
        <v>55.333333333333336</v>
      </c>
      <c r="G168" s="34">
        <f>(SUMIFS('Modeled Useful Life+SG&amp;A brkdn'!$B$5:$F$5,'Modeled Useful Life+SG&amp;A brkdn'!$B$3:$F$3,"&gt;"&amp;G2-ROUND(G15,0),'Modeled Useful Life+SG&amp;A brkdn'!$B$5:$F$5,"&lt;"&amp;G2)+SUMIFS($D$167:G167,$D$2:G2,"&lt;"&amp;G2,$D$2:G2,"&gt;"&amp;G2-ROUND(G15,0))+G167*0.4)/G15</f>
        <v>52.986666666666665</v>
      </c>
      <c r="H168" s="34">
        <f>(SUMIFS('Modeled Useful Life+SG&amp;A brkdn'!$B$5:$F$5,'Modeled Useful Life+SG&amp;A brkdn'!$B$3:$F$3,"&gt;"&amp;H2-ROUND(H15,0),'Modeled Useful Life+SG&amp;A brkdn'!$B$5:$F$5,"&lt;"&amp;H2)+SUMIFS($D$167:H167,$D$2:H2,"&lt;"&amp;H2,$D$2:H2,"&gt;"&amp;H2-ROUND(H15,0))+H167*0.4)/H15</f>
        <v>51.36</v>
      </c>
      <c r="I168" s="34">
        <f>(SUMIFS('Modeled Useful Life+SG&amp;A brkdn'!$B$5:$F$5,'Modeled Useful Life+SG&amp;A brkdn'!$B$3:$F$3,"&gt;"&amp;I2-ROUND(I15,0),'Modeled Useful Life+SG&amp;A brkdn'!$B$5:$F$5,"&lt;"&amp;I2)+SUMIFS($D$167:I167,$D$2:I2,"&lt;"&amp;I2,$D$2:I2,"&gt;"&amp;I2-ROUND(I15,0))+I167*0.4)/I15</f>
        <v>47.386496000000001</v>
      </c>
      <c r="J168" s="34">
        <f>(SUMIFS('Modeled Useful Life+SG&amp;A brkdn'!$B$5:$F$5,'Modeled Useful Life+SG&amp;A brkdn'!$B$3:$F$3,"&gt;"&amp;J2-ROUND(J15,0),'Modeled Useful Life+SG&amp;A brkdn'!$B$5:$F$5,"&lt;"&amp;J2)+SUMIFS($D$167:J167,$D$2:J2,"&lt;"&amp;J2,$D$2:J2,"&gt;"&amp;J2-ROUND(J15,0))+J167*0.4)/J15</f>
        <v>37.621799253333329</v>
      </c>
      <c r="K168" s="34">
        <f>(SUMIFS('Modeled Useful Life+SG&amp;A brkdn'!$B$5:$F$5,'Modeled Useful Life+SG&amp;A brkdn'!$B$3:$F$3,"&gt;"&amp;K2-ROUND(K15,0),'Modeled Useful Life+SG&amp;A brkdn'!$B$5:$F$5,"&lt;"&amp;K2)+SUMIFS($D$167:K167,$D$2:K2,"&lt;"&amp;K2,$D$2:K2,"&gt;"&amp;K2-ROUND(K15,0))+K167*0.4)/K15</f>
        <v>32.347141905066671</v>
      </c>
      <c r="L168" s="34">
        <f>(SUMIFS('Modeled Useful Life+SG&amp;A brkdn'!$B$5:$F$5,'Modeled Useful Life+SG&amp;A brkdn'!$B$3:$F$3,"&gt;"&amp;L2-ROUND(L15,0),'Modeled Useful Life+SG&amp;A brkdn'!$B$5:$F$5,"&lt;"&amp;L2)+SUMIFS($D$167:L167,$D$2:L2,"&lt;"&amp;L2,$D$2:L2,"&gt;"&amp;L2-ROUND(L15,0))+L167*0.4)/L15</f>
        <v>29.430991409834672</v>
      </c>
      <c r="M168" s="34">
        <f>(SUMIFS('Modeled Useful Life+SG&amp;A brkdn'!$B$5:$F$5,'Modeled Useful Life+SG&amp;A brkdn'!$B$3:$F$3,"&gt;"&amp;M2-ROUND(M15,0),'Modeled Useful Life+SG&amp;A brkdn'!$B$5:$F$5,"&lt;"&amp;M2)+SUMIFS($D$167:M167,$D$2:M2,"&lt;"&amp;M2,$D$2:M2,"&gt;"&amp;M2-ROUND(M15,0))+M167*0.4)/M15</f>
        <v>32.875184571364699</v>
      </c>
      <c r="N168" s="34">
        <f>(SUMIFS('Modeled Useful Life+SG&amp;A brkdn'!$B$5:$F$5,'Modeled Useful Life+SG&amp;A brkdn'!$B$3:$F$3,"&gt;"&amp;N2-ROUND(N15,0),'Modeled Useful Life+SG&amp;A brkdn'!$B$5:$F$5,"&lt;"&amp;N2)+SUMIFS($D$167:N167,$D$2:N2,"&lt;"&amp;N2,$D$2:N2,"&gt;"&amp;N2-ROUND(N15,0))+N167*0.4)/N15</f>
        <v>33.08159492945866</v>
      </c>
      <c r="O168" s="34">
        <f>(SUMIFS('Modeled Useful Life+SG&amp;A brkdn'!$B$5:$F$5,'Modeled Useful Life+SG&amp;A brkdn'!$B$3:$F$3,"&gt;"&amp;O2-ROUND(O15,0),'Modeled Useful Life+SG&amp;A brkdn'!$B$5:$F$5,"&lt;"&amp;O2)+SUMIFS($D$167:O167,$D$2:O2,"&lt;"&amp;O2,$D$2:O2,"&gt;"&amp;O2-ROUND(O15,0))+O167*0.4)/O15</f>
        <v>35.252133494714499</v>
      </c>
      <c r="P168" s="34">
        <f>(SUMIFS('Modeled Useful Life+SG&amp;A brkdn'!$B$5:$F$5,'Modeled Useful Life+SG&amp;A brkdn'!$B$3:$F$3,"&gt;"&amp;P2-ROUND(P15,0),'Modeled Useful Life+SG&amp;A brkdn'!$B$5:$F$5,"&lt;"&amp;P2)+SUMIFS($D$167:P167,$D$2:P2,"&lt;"&amp;P2,$D$2:P2,"&gt;"&amp;P2-ROUND(P15,0))+P167*0.4)/P15</f>
        <v>35.255416164608796</v>
      </c>
      <c r="Q168" s="34">
        <f>(SUMIFS('Modeled Useful Life+SG&amp;A brkdn'!$B$5:$F$5,'Modeled Useful Life+SG&amp;A brkdn'!$B$3:$F$3,"&gt;"&amp;Q2-ROUND(Q15,0),'Modeled Useful Life+SG&amp;A brkdn'!$B$5:$F$5,"&lt;"&amp;Q2)+SUMIFS($D$167:Q167,$D$2:Q2,"&lt;"&amp;Q2,$D$2:Q2,"&gt;"&amp;Q2-ROUND(Q15,0))+Q167*0.4)/Q15</f>
        <v>35.960524487900969</v>
      </c>
      <c r="R168" s="34">
        <f>(SUMIFS('Modeled Useful Life+SG&amp;A brkdn'!$B$5:$F$5,'Modeled Useful Life+SG&amp;A brkdn'!$B$3:$F$3,"&gt;"&amp;R2-ROUND(R15,0),'Modeled Useful Life+SG&amp;A brkdn'!$B$5:$F$5,"&lt;"&amp;R2)+SUMIFS($D$167:R167,$D$2:R2,"&lt;"&amp;R2,$D$2:R2,"&gt;"&amp;R2-ROUND(R15,0))+R167*0.4)/R15</f>
        <v>36.679734977658988</v>
      </c>
      <c r="S168" s="1"/>
      <c r="T168" s="1"/>
      <c r="U168" s="1"/>
      <c r="V168" s="1"/>
      <c r="W168" s="1" t="s">
        <v>302</v>
      </c>
      <c r="X168" s="1">
        <v>47</v>
      </c>
      <c r="Y168" s="1"/>
    </row>
    <row r="169" spans="1:25" ht="16" x14ac:dyDescent="0.2">
      <c r="A169" s="34"/>
      <c r="B169" s="34"/>
      <c r="C169" s="72"/>
      <c r="D169" s="49"/>
      <c r="E169" s="49"/>
      <c r="F169" s="49"/>
      <c r="G169" s="49"/>
      <c r="H169" s="49"/>
      <c r="I169" s="34"/>
      <c r="J169" s="34"/>
      <c r="K169" s="34"/>
      <c r="L169" s="34"/>
      <c r="M169" s="34"/>
      <c r="N169" s="34"/>
      <c r="O169" s="34"/>
      <c r="P169" s="1"/>
      <c r="Q169" s="1"/>
      <c r="R169" s="1"/>
      <c r="S169" s="1"/>
      <c r="T169" s="1"/>
      <c r="U169" s="1"/>
      <c r="V169" s="1"/>
      <c r="W169" s="1" t="s">
        <v>304</v>
      </c>
      <c r="X169" s="1">
        <v>40</v>
      </c>
      <c r="Y169" s="1"/>
    </row>
    <row r="170" spans="1:25" ht="16" x14ac:dyDescent="0.2">
      <c r="A170" s="32" t="s">
        <v>215</v>
      </c>
      <c r="B170" s="34"/>
      <c r="C170" s="72"/>
      <c r="D170" s="49"/>
      <c r="E170" s="49"/>
      <c r="F170" s="49"/>
      <c r="G170" s="49"/>
      <c r="H170" s="49"/>
      <c r="I170" s="34"/>
      <c r="J170" s="34"/>
      <c r="K170" s="34"/>
      <c r="L170" s="34"/>
      <c r="M170" s="34"/>
      <c r="N170" s="34"/>
      <c r="O170" s="34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6" x14ac:dyDescent="0.2">
      <c r="A171" s="34" t="s">
        <v>233</v>
      </c>
      <c r="B171" s="34"/>
      <c r="C171" s="72"/>
      <c r="D171" s="49">
        <f>2082+170</f>
        <v>2252</v>
      </c>
      <c r="E171" s="49">
        <f>2190+190</f>
        <v>2380</v>
      </c>
      <c r="F171" s="49">
        <f>2149+183</f>
        <v>2332</v>
      </c>
      <c r="G171" s="49">
        <f>2357+173</f>
        <v>2530</v>
      </c>
      <c r="H171" s="49">
        <f>175+2456</f>
        <v>2631</v>
      </c>
      <c r="I171" s="34">
        <f>H171*1.025</f>
        <v>2696.7749999999996</v>
      </c>
      <c r="J171" s="34">
        <f t="shared" ref="J171:R171" si="141">I171*1.025</f>
        <v>2764.1943749999996</v>
      </c>
      <c r="K171" s="34">
        <f t="shared" si="141"/>
        <v>2833.2992343749993</v>
      </c>
      <c r="L171" s="34">
        <f t="shared" si="141"/>
        <v>2904.131715234374</v>
      </c>
      <c r="M171" s="34">
        <f t="shared" si="141"/>
        <v>2976.7350081152331</v>
      </c>
      <c r="N171" s="34">
        <f t="shared" si="141"/>
        <v>3051.1533833181138</v>
      </c>
      <c r="O171" s="34">
        <f t="shared" si="141"/>
        <v>3127.4322179010665</v>
      </c>
      <c r="P171" s="34">
        <f t="shared" si="141"/>
        <v>3205.6180233485929</v>
      </c>
      <c r="Q171" s="34">
        <f t="shared" si="141"/>
        <v>3285.7584739323074</v>
      </c>
      <c r="R171" s="34">
        <f t="shared" si="141"/>
        <v>3367.9024357806147</v>
      </c>
      <c r="S171" s="1"/>
      <c r="T171" s="1"/>
      <c r="U171" s="1"/>
      <c r="V171" s="1"/>
      <c r="W171" s="1"/>
      <c r="X171" s="1"/>
      <c r="Y171" s="1"/>
    </row>
    <row r="172" spans="1:25" ht="16" x14ac:dyDescent="0.2">
      <c r="A172" s="76" t="s">
        <v>234</v>
      </c>
      <c r="B172" s="29"/>
      <c r="C172" s="73"/>
      <c r="D172" s="111">
        <f>D173/D171</f>
        <v>0.31571936056838368</v>
      </c>
      <c r="E172" s="111">
        <f t="shared" ref="E172:H172" si="142">E173/E171</f>
        <v>0.46344537815126052</v>
      </c>
      <c r="F172" s="111">
        <f t="shared" si="142"/>
        <v>0.47855917667238423</v>
      </c>
      <c r="G172" s="111">
        <f t="shared" si="142"/>
        <v>0.39525691699604742</v>
      </c>
      <c r="H172" s="111">
        <f t="shared" si="142"/>
        <v>0.3614595210946408</v>
      </c>
      <c r="I172" s="106">
        <f>I24</f>
        <v>0.36</v>
      </c>
      <c r="J172" s="111">
        <f>I172</f>
        <v>0.36</v>
      </c>
      <c r="K172" s="111">
        <f t="shared" ref="K172:R172" si="143">J172</f>
        <v>0.36</v>
      </c>
      <c r="L172" s="111">
        <f t="shared" si="143"/>
        <v>0.36</v>
      </c>
      <c r="M172" s="111">
        <f t="shared" si="143"/>
        <v>0.36</v>
      </c>
      <c r="N172" s="111">
        <f t="shared" si="143"/>
        <v>0.36</v>
      </c>
      <c r="O172" s="111">
        <f t="shared" si="143"/>
        <v>0.36</v>
      </c>
      <c r="P172" s="111">
        <f t="shared" si="143"/>
        <v>0.36</v>
      </c>
      <c r="Q172" s="111">
        <f t="shared" si="143"/>
        <v>0.36</v>
      </c>
      <c r="R172" s="111">
        <f t="shared" si="143"/>
        <v>0.36</v>
      </c>
      <c r="S172" s="1"/>
      <c r="T172" s="1"/>
      <c r="U172" s="1"/>
      <c r="V172" s="1"/>
      <c r="W172" s="1"/>
      <c r="X172" s="1"/>
      <c r="Y172" s="1"/>
    </row>
    <row r="173" spans="1:25" ht="16" x14ac:dyDescent="0.2">
      <c r="A173" s="34" t="s">
        <v>215</v>
      </c>
      <c r="B173" s="34"/>
      <c r="C173" s="72"/>
      <c r="D173" s="34">
        <f>D80</f>
        <v>711</v>
      </c>
      <c r="E173" s="34">
        <f t="shared" ref="E173:H173" si="144">E80</f>
        <v>1103</v>
      </c>
      <c r="F173" s="34">
        <f t="shared" si="144"/>
        <v>1116</v>
      </c>
      <c r="G173" s="34">
        <f t="shared" si="144"/>
        <v>1000</v>
      </c>
      <c r="H173" s="34">
        <f t="shared" si="144"/>
        <v>951</v>
      </c>
      <c r="I173" s="34">
        <f>I172*I171</f>
        <v>970.83899999999983</v>
      </c>
      <c r="J173" s="34">
        <f t="shared" ref="J173:R173" si="145">J172*J171</f>
        <v>995.10997499999985</v>
      </c>
      <c r="K173" s="34">
        <f t="shared" si="145"/>
        <v>1019.9877243749997</v>
      </c>
      <c r="L173" s="34">
        <f t="shared" si="145"/>
        <v>1045.4874174843746</v>
      </c>
      <c r="M173" s="34">
        <f t="shared" si="145"/>
        <v>1071.624602921484</v>
      </c>
      <c r="N173" s="34">
        <f t="shared" si="145"/>
        <v>1098.4152179945208</v>
      </c>
      <c r="O173" s="34">
        <f t="shared" si="145"/>
        <v>1125.875598444384</v>
      </c>
      <c r="P173" s="34">
        <f t="shared" si="145"/>
        <v>1154.0224884054935</v>
      </c>
      <c r="Q173" s="34">
        <f t="shared" si="145"/>
        <v>1182.8730506156305</v>
      </c>
      <c r="R173" s="34">
        <f t="shared" si="145"/>
        <v>1212.4448768810212</v>
      </c>
      <c r="S173" s="1"/>
      <c r="T173" s="1"/>
      <c r="U173" s="1"/>
      <c r="V173" s="1"/>
      <c r="W173" s="1"/>
      <c r="X173" s="1"/>
      <c r="Y173" s="1"/>
    </row>
    <row r="174" spans="1:25" ht="16" x14ac:dyDescent="0.2">
      <c r="A174" s="34"/>
      <c r="B174" s="34"/>
      <c r="C174" s="72"/>
      <c r="D174" s="49"/>
      <c r="E174" s="49"/>
      <c r="F174" s="49"/>
      <c r="G174" s="49"/>
      <c r="H174" s="49"/>
      <c r="I174" s="34"/>
      <c r="J174" s="34"/>
      <c r="K174" s="34"/>
      <c r="L174" s="34"/>
      <c r="M174" s="34"/>
      <c r="N174" s="34"/>
      <c r="O174" s="34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6" x14ac:dyDescent="0.2">
      <c r="A175" s="4" t="s">
        <v>235</v>
      </c>
      <c r="B175" s="1"/>
      <c r="C175" s="2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1"/>
      <c r="T175" s="1"/>
      <c r="U175" s="1"/>
      <c r="V175" s="1"/>
      <c r="W175" s="1"/>
      <c r="X175" s="1"/>
      <c r="Y175" s="1"/>
    </row>
    <row r="176" spans="1:25" ht="16" x14ac:dyDescent="0.2">
      <c r="A176" s="1" t="s">
        <v>236</v>
      </c>
      <c r="B176" s="1"/>
      <c r="C176" s="2"/>
      <c r="D176" s="3">
        <f>14+1257</f>
        <v>1271</v>
      </c>
      <c r="E176" s="1">
        <f>E85+E83+E88</f>
        <v>1229</v>
      </c>
      <c r="F176" s="1">
        <f>F85+F83+F88</f>
        <v>1176</v>
      </c>
      <c r="G176" s="1">
        <f>G85+G83+G88</f>
        <v>1165</v>
      </c>
      <c r="H176" s="1">
        <f>H85+H83+H88+7</f>
        <v>1161</v>
      </c>
      <c r="I176" s="1">
        <f>H178</f>
        <v>1144</v>
      </c>
      <c r="J176" s="1">
        <f t="shared" ref="J176:R176" si="146">I178</f>
        <v>1144</v>
      </c>
      <c r="K176" s="1">
        <f t="shared" si="146"/>
        <v>1144</v>
      </c>
      <c r="L176" s="1">
        <f t="shared" si="146"/>
        <v>1144</v>
      </c>
      <c r="M176" s="1">
        <f t="shared" si="146"/>
        <v>1144</v>
      </c>
      <c r="N176" s="1">
        <f t="shared" si="146"/>
        <v>1144</v>
      </c>
      <c r="O176" s="1">
        <f t="shared" si="146"/>
        <v>1144</v>
      </c>
      <c r="P176" s="1">
        <f t="shared" si="146"/>
        <v>1144</v>
      </c>
      <c r="Q176" s="1">
        <f t="shared" si="146"/>
        <v>1144</v>
      </c>
      <c r="R176" s="1">
        <f t="shared" si="146"/>
        <v>1144</v>
      </c>
      <c r="S176" s="1"/>
      <c r="T176" s="1"/>
      <c r="U176" s="1"/>
      <c r="V176" s="1"/>
      <c r="W176" s="1"/>
      <c r="X176" s="1"/>
      <c r="Y176" s="1"/>
    </row>
    <row r="177" spans="1:25" ht="16" x14ac:dyDescent="0.2">
      <c r="A177" s="1" t="s">
        <v>237</v>
      </c>
      <c r="B177" s="1"/>
      <c r="C177" s="2"/>
      <c r="D177" s="1">
        <f>D133</f>
        <v>-42</v>
      </c>
      <c r="E177" s="1">
        <f>E133</f>
        <v>-53</v>
      </c>
      <c r="F177" s="1">
        <f>F133</f>
        <v>-11</v>
      </c>
      <c r="G177" s="1">
        <f>G133</f>
        <v>-11</v>
      </c>
      <c r="H177" s="1">
        <f>H133</f>
        <v>-17</v>
      </c>
      <c r="I177" s="1">
        <f t="shared" ref="I177:R177" si="147">I22</f>
        <v>0</v>
      </c>
      <c r="J177" s="1">
        <f t="shared" si="147"/>
        <v>0</v>
      </c>
      <c r="K177" s="1">
        <f t="shared" si="147"/>
        <v>0</v>
      </c>
      <c r="L177" s="1">
        <f t="shared" si="147"/>
        <v>0</v>
      </c>
      <c r="M177" s="1">
        <f t="shared" si="147"/>
        <v>0</v>
      </c>
      <c r="N177" s="1">
        <f t="shared" si="147"/>
        <v>0</v>
      </c>
      <c r="O177" s="1">
        <f t="shared" si="147"/>
        <v>0</v>
      </c>
      <c r="P177" s="1">
        <f t="shared" si="147"/>
        <v>0</v>
      </c>
      <c r="Q177" s="1">
        <f t="shared" si="147"/>
        <v>0</v>
      </c>
      <c r="R177" s="1">
        <f t="shared" si="147"/>
        <v>0</v>
      </c>
      <c r="S177" s="1"/>
      <c r="T177" s="1"/>
      <c r="U177" s="1"/>
      <c r="V177" s="1"/>
      <c r="W177" s="1"/>
      <c r="X177" s="1"/>
      <c r="Y177" s="1"/>
    </row>
    <row r="178" spans="1:25" ht="16" x14ac:dyDescent="0.2">
      <c r="A178" s="5" t="s">
        <v>238</v>
      </c>
      <c r="B178" s="5"/>
      <c r="C178" s="24"/>
      <c r="D178" s="5">
        <f t="shared" ref="D178:L178" si="148">D176+D177</f>
        <v>1229</v>
      </c>
      <c r="E178" s="5">
        <f t="shared" si="148"/>
        <v>1176</v>
      </c>
      <c r="F178" s="5">
        <f t="shared" si="148"/>
        <v>1165</v>
      </c>
      <c r="G178" s="5">
        <f t="shared" si="148"/>
        <v>1154</v>
      </c>
      <c r="H178" s="5">
        <f t="shared" si="148"/>
        <v>1144</v>
      </c>
      <c r="I178" s="5">
        <f t="shared" si="148"/>
        <v>1144</v>
      </c>
      <c r="J178" s="5">
        <f t="shared" si="148"/>
        <v>1144</v>
      </c>
      <c r="K178" s="5">
        <f t="shared" si="148"/>
        <v>1144</v>
      </c>
      <c r="L178" s="5">
        <f t="shared" si="148"/>
        <v>1144</v>
      </c>
      <c r="M178" s="5">
        <f t="shared" ref="M178:O178" si="149">M176+M177</f>
        <v>1144</v>
      </c>
      <c r="N178" s="5">
        <f t="shared" si="149"/>
        <v>1144</v>
      </c>
      <c r="O178" s="5">
        <f t="shared" si="149"/>
        <v>1144</v>
      </c>
      <c r="P178" s="5">
        <f t="shared" ref="P178:Q178" si="150">P176+P177</f>
        <v>1144</v>
      </c>
      <c r="Q178" s="5">
        <f t="shared" si="150"/>
        <v>1144</v>
      </c>
      <c r="R178" s="5">
        <f t="shared" ref="R178" si="151">R176+R177</f>
        <v>1144</v>
      </c>
      <c r="S178" s="1"/>
      <c r="T178" s="1"/>
      <c r="U178" s="1"/>
      <c r="V178" s="1"/>
      <c r="W178" s="1"/>
      <c r="X178" s="1"/>
      <c r="Y178" s="1"/>
    </row>
    <row r="179" spans="1:25" ht="16" x14ac:dyDescent="0.2">
      <c r="A179" s="1" t="s">
        <v>239</v>
      </c>
      <c r="B179" s="1"/>
      <c r="C179" s="19"/>
      <c r="D179" s="1">
        <f>-D51</f>
        <v>52</v>
      </c>
      <c r="E179" s="1">
        <f>-E51</f>
        <v>25</v>
      </c>
      <c r="F179" s="1">
        <f>-F51</f>
        <v>35</v>
      </c>
      <c r="G179" s="1">
        <f>-G51</f>
        <v>52</v>
      </c>
      <c r="H179" s="1">
        <f>-H51</f>
        <v>51</v>
      </c>
      <c r="I179" s="1">
        <f t="shared" ref="I179:R179" si="152">AVERAGE(I176,I178)*I17</f>
        <v>51</v>
      </c>
      <c r="J179" s="1">
        <f t="shared" si="152"/>
        <v>51</v>
      </c>
      <c r="K179" s="1">
        <f t="shared" si="152"/>
        <v>51</v>
      </c>
      <c r="L179" s="1">
        <f t="shared" si="152"/>
        <v>51</v>
      </c>
      <c r="M179" s="1">
        <f t="shared" si="152"/>
        <v>51</v>
      </c>
      <c r="N179" s="1">
        <f t="shared" si="152"/>
        <v>51</v>
      </c>
      <c r="O179" s="1">
        <f t="shared" si="152"/>
        <v>51</v>
      </c>
      <c r="P179" s="1">
        <f t="shared" si="152"/>
        <v>51</v>
      </c>
      <c r="Q179" s="1">
        <f t="shared" si="152"/>
        <v>51</v>
      </c>
      <c r="R179" s="1">
        <f t="shared" si="152"/>
        <v>51</v>
      </c>
      <c r="S179" s="1"/>
      <c r="T179" s="1"/>
      <c r="U179" s="1"/>
      <c r="V179" s="1"/>
      <c r="W179" s="1"/>
      <c r="X179" s="1"/>
      <c r="Y179" s="1"/>
    </row>
    <row r="180" spans="1:25" ht="16" x14ac:dyDescent="0.2">
      <c r="A180" s="1"/>
      <c r="B180" s="1"/>
      <c r="C180" s="19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8" x14ac:dyDescent="0.2">
      <c r="A181" s="1"/>
      <c r="B181" s="1"/>
      <c r="C181" s="2"/>
      <c r="D181" s="144">
        <v>2021</v>
      </c>
      <c r="E181" s="144">
        <f t="shared" ref="E181" si="153">+D181+1</f>
        <v>2022</v>
      </c>
      <c r="F181" s="144">
        <f t="shared" ref="F181" si="154">+E181+1</f>
        <v>2023</v>
      </c>
      <c r="G181" s="144">
        <f t="shared" ref="G181" si="155">+F181+1</f>
        <v>2024</v>
      </c>
      <c r="H181" s="145">
        <f t="shared" ref="H181" si="156">+G181+1</f>
        <v>2025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6" x14ac:dyDescent="0.2">
      <c r="A182" s="1"/>
      <c r="B182" s="1"/>
      <c r="C182" s="2" t="s">
        <v>415</v>
      </c>
      <c r="D182" s="25">
        <f>1-D152/D35</f>
        <v>0.60488341585205874</v>
      </c>
      <c r="E182" s="25">
        <f t="shared" ref="E182:H182" si="157">1-E152/E35</f>
        <v>0.68257954830857215</v>
      </c>
      <c r="F182" s="25">
        <f t="shared" si="157"/>
        <v>0.69303209641885177</v>
      </c>
      <c r="G182" s="25">
        <f t="shared" si="157"/>
        <v>0.69847187701371627</v>
      </c>
      <c r="H182" s="25">
        <f t="shared" si="157"/>
        <v>0.68710267771142364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6" x14ac:dyDescent="0.2">
      <c r="A183" s="1"/>
      <c r="B183" s="1"/>
      <c r="C183" s="2" t="s">
        <v>416</v>
      </c>
      <c r="D183" s="25">
        <f>D152/D35</f>
        <v>0.39511658414794126</v>
      </c>
      <c r="E183" s="25">
        <f t="shared" ref="E183:H183" si="158">E152/E35</f>
        <v>0.31742045169142791</v>
      </c>
      <c r="F183" s="25">
        <f t="shared" si="158"/>
        <v>0.30696790358114823</v>
      </c>
      <c r="G183" s="25">
        <f t="shared" si="158"/>
        <v>0.30152812298628373</v>
      </c>
      <c r="H183" s="25">
        <f t="shared" si="158"/>
        <v>0.31289732228857636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6" x14ac:dyDescent="0.2">
      <c r="A184" s="1"/>
      <c r="B184" s="1"/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6" x14ac:dyDescent="0.2">
      <c r="A185" s="1"/>
      <c r="B185" s="1"/>
      <c r="C185" s="2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6" x14ac:dyDescent="0.2">
      <c r="A186" s="1"/>
      <c r="B186" s="1"/>
      <c r="C186" s="2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6" x14ac:dyDescent="0.2">
      <c r="A187" s="1"/>
      <c r="B187" s="1"/>
      <c r="C187" s="2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6" x14ac:dyDescent="0.2">
      <c r="A188" s="1"/>
      <c r="B188" s="1"/>
      <c r="C188" s="2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6" x14ac:dyDescent="0.2">
      <c r="A189" s="1"/>
      <c r="B189" s="1"/>
      <c r="C189" s="2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6" x14ac:dyDescent="0.2">
      <c r="A190" s="1"/>
      <c r="B190" s="1"/>
      <c r="C190" s="2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6" x14ac:dyDescent="0.2">
      <c r="A191" s="1"/>
      <c r="B191" s="1"/>
      <c r="C191" s="2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6" x14ac:dyDescent="0.2">
      <c r="A192" s="1"/>
      <c r="B192" s="1"/>
      <c r="C192" s="2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6" x14ac:dyDescent="0.2">
      <c r="A193" s="1"/>
      <c r="B193" s="1"/>
      <c r="C193" s="2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6" x14ac:dyDescent="0.2">
      <c r="A194" s="1"/>
      <c r="B194" s="1"/>
      <c r="C194" s="2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6" x14ac:dyDescent="0.2">
      <c r="A195" s="1"/>
      <c r="B195" s="1"/>
      <c r="C195" s="2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6" x14ac:dyDescent="0.2">
      <c r="A196" s="1"/>
      <c r="B196" s="1"/>
      <c r="C196" s="2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6" x14ac:dyDescent="0.2">
      <c r="A197" s="1"/>
      <c r="B197" s="1"/>
      <c r="C197" s="2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6" x14ac:dyDescent="0.2">
      <c r="A198" s="1"/>
      <c r="B198" s="1"/>
      <c r="C198" s="2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6" x14ac:dyDescent="0.2">
      <c r="A199" s="1"/>
      <c r="B199" s="1"/>
      <c r="C199" s="2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6" x14ac:dyDescent="0.2">
      <c r="A200" s="1"/>
      <c r="B200" s="1"/>
      <c r="C200" s="2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6" x14ac:dyDescent="0.2">
      <c r="A201" s="1"/>
      <c r="B201" s="1"/>
      <c r="C201" s="2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6" x14ac:dyDescent="0.2">
      <c r="A202" s="1"/>
      <c r="B202" s="1"/>
      <c r="C202" s="2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6" x14ac:dyDescent="0.2">
      <c r="A203" s="1"/>
      <c r="B203" s="1"/>
      <c r="C203" s="2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6" x14ac:dyDescent="0.2">
      <c r="A204" s="1"/>
      <c r="B204" s="1"/>
      <c r="C204" s="2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6" x14ac:dyDescent="0.2">
      <c r="A205" s="1"/>
      <c r="B205" s="1"/>
      <c r="C205" s="2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6" x14ac:dyDescent="0.2">
      <c r="A206" s="1"/>
      <c r="B206" s="1"/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6" x14ac:dyDescent="0.2">
      <c r="A207" s="1"/>
      <c r="B207" s="1"/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6" x14ac:dyDescent="0.2">
      <c r="A208" s="1"/>
      <c r="B208" s="1"/>
      <c r="C208" s="2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6" x14ac:dyDescent="0.2">
      <c r="A209" s="1"/>
      <c r="B209" s="1"/>
      <c r="C209" s="2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6" x14ac:dyDescent="0.2">
      <c r="A210" s="1"/>
      <c r="B210" s="1"/>
      <c r="C210" s="2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6" x14ac:dyDescent="0.2">
      <c r="A211" s="1"/>
      <c r="B211" s="1"/>
      <c r="C211" s="2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6" x14ac:dyDescent="0.2">
      <c r="A212" s="1"/>
      <c r="B212" s="1"/>
      <c r="C212" s="2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6" x14ac:dyDescent="0.2">
      <c r="A213" s="1"/>
      <c r="B213" s="1"/>
      <c r="C213" s="2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6" x14ac:dyDescent="0.2">
      <c r="A214" s="1"/>
      <c r="B214" s="1"/>
      <c r="C214" s="2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6" x14ac:dyDescent="0.2">
      <c r="A215" s="1"/>
      <c r="B215" s="1"/>
      <c r="C215" s="2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6" x14ac:dyDescent="0.2">
      <c r="A216" s="1"/>
      <c r="B216" s="1"/>
      <c r="C216" s="2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6" x14ac:dyDescent="0.2">
      <c r="A217" s="1"/>
      <c r="B217" s="1"/>
      <c r="C217" s="2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6" x14ac:dyDescent="0.2">
      <c r="A218" s="1"/>
      <c r="B218" s="1"/>
      <c r="C218" s="2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6" x14ac:dyDescent="0.2">
      <c r="A219" s="1"/>
      <c r="B219" s="1"/>
      <c r="C219" s="2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6" x14ac:dyDescent="0.2">
      <c r="A220" s="1"/>
      <c r="B220" s="1"/>
      <c r="C220" s="2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6" x14ac:dyDescent="0.2">
      <c r="A221" s="1"/>
      <c r="B221" s="1"/>
      <c r="C221" s="2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6" x14ac:dyDescent="0.2">
      <c r="A222" s="1"/>
      <c r="B222" s="1"/>
      <c r="C222" s="2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6" x14ac:dyDescent="0.2">
      <c r="A223" s="1"/>
      <c r="B223" s="1"/>
      <c r="C223" s="2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6" x14ac:dyDescent="0.2">
      <c r="A224" s="1"/>
      <c r="B224" s="1"/>
      <c r="C224" s="2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6" x14ac:dyDescent="0.2">
      <c r="A225" s="1"/>
      <c r="B225" s="1"/>
      <c r="C225" s="2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6" x14ac:dyDescent="0.2">
      <c r="A226" s="1"/>
      <c r="B226" s="1"/>
      <c r="C226" s="2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6" x14ac:dyDescent="0.2">
      <c r="A227" s="1"/>
      <c r="B227" s="1"/>
      <c r="C227" s="2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6" x14ac:dyDescent="0.2">
      <c r="A228" s="1"/>
      <c r="B228" s="1"/>
      <c r="C228" s="2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6" x14ac:dyDescent="0.2">
      <c r="A229" s="1"/>
      <c r="B229" s="1"/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6" x14ac:dyDescent="0.2">
      <c r="A230" s="1"/>
      <c r="B230" s="1"/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6" x14ac:dyDescent="0.2">
      <c r="A231" s="1"/>
      <c r="B231" s="1"/>
      <c r="C231" s="2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6" x14ac:dyDescent="0.2">
      <c r="A232" s="1"/>
      <c r="B232" s="1"/>
      <c r="C232" s="2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6" x14ac:dyDescent="0.2">
      <c r="A233" s="1"/>
      <c r="B233" s="1"/>
      <c r="C233" s="2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6" x14ac:dyDescent="0.2">
      <c r="A234" s="1"/>
      <c r="B234" s="1"/>
      <c r="C234" s="2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6" x14ac:dyDescent="0.2">
      <c r="A235" s="1"/>
      <c r="B235" s="1"/>
      <c r="C235" s="2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6" x14ac:dyDescent="0.2">
      <c r="A236" s="1"/>
      <c r="B236" s="1"/>
      <c r="C236" s="2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6" x14ac:dyDescent="0.2">
      <c r="A237" s="1"/>
      <c r="B237" s="1"/>
      <c r="C237" s="2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6" x14ac:dyDescent="0.2">
      <c r="A238" s="1"/>
      <c r="B238" s="1"/>
      <c r="C238" s="2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6" x14ac:dyDescent="0.2">
      <c r="A239" s="1"/>
      <c r="B239" s="1"/>
      <c r="C239" s="2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6" x14ac:dyDescent="0.2">
      <c r="A240" s="1"/>
      <c r="B240" s="1"/>
      <c r="C240" s="2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6" x14ac:dyDescent="0.2">
      <c r="A241" s="1"/>
      <c r="B241" s="1"/>
      <c r="C241" s="2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6" x14ac:dyDescent="0.2">
      <c r="A242" s="1"/>
      <c r="B242" s="1"/>
      <c r="C242" s="2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6" x14ac:dyDescent="0.2">
      <c r="A243" s="1"/>
      <c r="B243" s="1"/>
      <c r="C243" s="2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6" x14ac:dyDescent="0.2">
      <c r="A244" s="1"/>
      <c r="B244" s="1"/>
      <c r="C244" s="2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6" x14ac:dyDescent="0.2">
      <c r="A245" s="1"/>
      <c r="B245" s="1"/>
      <c r="C245" s="2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6" x14ac:dyDescent="0.2">
      <c r="A246" s="1"/>
      <c r="B246" s="1"/>
      <c r="C246" s="2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6" x14ac:dyDescent="0.2">
      <c r="A247" s="1"/>
      <c r="B247" s="1"/>
      <c r="C247" s="2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6" x14ac:dyDescent="0.2">
      <c r="A248" s="1"/>
      <c r="B248" s="1"/>
      <c r="C248" s="2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6" x14ac:dyDescent="0.2">
      <c r="A249" s="1"/>
      <c r="B249" s="1"/>
      <c r="C249" s="2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6" x14ac:dyDescent="0.2">
      <c r="A250" s="1"/>
      <c r="B250" s="1"/>
      <c r="C250" s="2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6" x14ac:dyDescent="0.2">
      <c r="A251" s="1"/>
      <c r="B251" s="1"/>
      <c r="C251" s="2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6" x14ac:dyDescent="0.2">
      <c r="A252" s="1"/>
      <c r="B252" s="1"/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6" x14ac:dyDescent="0.2">
      <c r="A253" s="1"/>
      <c r="B253" s="1"/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6" x14ac:dyDescent="0.2">
      <c r="A254" s="1"/>
      <c r="B254" s="1"/>
      <c r="C254" s="2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6" x14ac:dyDescent="0.2">
      <c r="A255" s="1"/>
      <c r="B255" s="1"/>
      <c r="C255" s="2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6" x14ac:dyDescent="0.2">
      <c r="A256" s="1"/>
      <c r="B256" s="1"/>
      <c r="C256" s="2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6" x14ac:dyDescent="0.2">
      <c r="A257" s="1"/>
      <c r="B257" s="1"/>
      <c r="C257" s="2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6" x14ac:dyDescent="0.2">
      <c r="A258" s="1"/>
      <c r="B258" s="1"/>
      <c r="C258" s="2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6" x14ac:dyDescent="0.2">
      <c r="A259" s="1"/>
      <c r="B259" s="1"/>
      <c r="C259" s="2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6" x14ac:dyDescent="0.2">
      <c r="A260" s="1"/>
      <c r="B260" s="1"/>
      <c r="C260" s="2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6" x14ac:dyDescent="0.2">
      <c r="A261" s="1"/>
      <c r="B261" s="1"/>
      <c r="C261" s="2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6" x14ac:dyDescent="0.2">
      <c r="A262" s="1"/>
      <c r="B262" s="1"/>
      <c r="C262" s="2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6" x14ac:dyDescent="0.2">
      <c r="A263" s="1"/>
      <c r="B263" s="1"/>
      <c r="C263" s="2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6" x14ac:dyDescent="0.2">
      <c r="A264" s="1"/>
      <c r="B264" s="1"/>
      <c r="C264" s="2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6" x14ac:dyDescent="0.2">
      <c r="A265" s="1"/>
      <c r="B265" s="1"/>
      <c r="C265" s="2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6" x14ac:dyDescent="0.2">
      <c r="A266" s="1"/>
      <c r="B266" s="1"/>
      <c r="C266" s="2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6" x14ac:dyDescent="0.2">
      <c r="A267" s="1"/>
      <c r="B267" s="1"/>
      <c r="C267" s="2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6" x14ac:dyDescent="0.2">
      <c r="A268" s="1"/>
      <c r="B268" s="1"/>
      <c r="C268" s="2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6" x14ac:dyDescent="0.2">
      <c r="A269" s="1"/>
      <c r="B269" s="1"/>
      <c r="C269" s="2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6" x14ac:dyDescent="0.2">
      <c r="A270" s="1"/>
      <c r="B270" s="1"/>
      <c r="C270" s="2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6" x14ac:dyDescent="0.2">
      <c r="A271" s="1"/>
      <c r="B271" s="1"/>
      <c r="C271" s="2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6" x14ac:dyDescent="0.2">
      <c r="A272" s="1"/>
      <c r="B272" s="1"/>
      <c r="C272" s="2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6" x14ac:dyDescent="0.2">
      <c r="A273" s="1"/>
      <c r="B273" s="1"/>
      <c r="C273" s="2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6" x14ac:dyDescent="0.2">
      <c r="A274" s="1"/>
      <c r="B274" s="1"/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6" x14ac:dyDescent="0.2">
      <c r="A275" s="1"/>
      <c r="B275" s="1"/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6" x14ac:dyDescent="0.2">
      <c r="A276" s="1"/>
      <c r="B276" s="1"/>
      <c r="C276" s="2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6" x14ac:dyDescent="0.2">
      <c r="A277" s="1"/>
      <c r="B277" s="1"/>
      <c r="C277" s="2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6" x14ac:dyDescent="0.2">
      <c r="A278" s="1"/>
      <c r="B278" s="1"/>
      <c r="C278" s="2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6" x14ac:dyDescent="0.2">
      <c r="A279" s="1"/>
      <c r="B279" s="1"/>
      <c r="C279" s="2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6" x14ac:dyDescent="0.2">
      <c r="A280" s="1"/>
      <c r="B280" s="1"/>
      <c r="C280" s="2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6" x14ac:dyDescent="0.2">
      <c r="A281" s="1"/>
      <c r="B281" s="1"/>
      <c r="C281" s="2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6" x14ac:dyDescent="0.2">
      <c r="A282" s="1"/>
      <c r="B282" s="1"/>
      <c r="C282" s="2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6" x14ac:dyDescent="0.2">
      <c r="A283" s="1"/>
      <c r="B283" s="1"/>
      <c r="C283" s="2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6" x14ac:dyDescent="0.2">
      <c r="A284" s="1"/>
      <c r="B284" s="1"/>
      <c r="C284" s="2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6" x14ac:dyDescent="0.2">
      <c r="A285" s="1"/>
      <c r="B285" s="1"/>
      <c r="C285" s="2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6" x14ac:dyDescent="0.2">
      <c r="A286" s="1"/>
      <c r="B286" s="1"/>
      <c r="C286" s="2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6" x14ac:dyDescent="0.2">
      <c r="A287" s="1"/>
      <c r="B287" s="1"/>
      <c r="C287" s="2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6" x14ac:dyDescent="0.2">
      <c r="A288" s="1"/>
      <c r="B288" s="1"/>
      <c r="C288" s="2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6" x14ac:dyDescent="0.2">
      <c r="A289" s="1"/>
      <c r="B289" s="1"/>
      <c r="C289" s="2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6" x14ac:dyDescent="0.2">
      <c r="A290" s="1"/>
      <c r="B290" s="1"/>
      <c r="C290" s="2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6" x14ac:dyDescent="0.2">
      <c r="A291" s="1"/>
      <c r="B291" s="1"/>
      <c r="C291" s="2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6" x14ac:dyDescent="0.2">
      <c r="A292" s="1"/>
      <c r="B292" s="1"/>
      <c r="C292" s="2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6" x14ac:dyDescent="0.2">
      <c r="A293" s="1"/>
      <c r="B293" s="1"/>
      <c r="C293" s="2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6" x14ac:dyDescent="0.2">
      <c r="A294" s="1"/>
      <c r="B294" s="1"/>
      <c r="C294" s="2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6" x14ac:dyDescent="0.2">
      <c r="A295" s="1"/>
      <c r="B295" s="1"/>
      <c r="C295" s="2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6" x14ac:dyDescent="0.2">
      <c r="A296" s="1"/>
      <c r="B296" s="1"/>
      <c r="C296" s="2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6" x14ac:dyDescent="0.2">
      <c r="A297" s="1"/>
      <c r="B297" s="1"/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6" x14ac:dyDescent="0.2">
      <c r="A298" s="1"/>
      <c r="B298" s="1"/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6" x14ac:dyDescent="0.2">
      <c r="A299" s="1"/>
      <c r="B299" s="1"/>
      <c r="C299" s="2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6" x14ac:dyDescent="0.2">
      <c r="A300" s="1"/>
      <c r="B300" s="1"/>
      <c r="C300" s="2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6" x14ac:dyDescent="0.2">
      <c r="A301" s="1"/>
      <c r="B301" s="1"/>
      <c r="C301" s="2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6" x14ac:dyDescent="0.2">
      <c r="A302" s="1"/>
      <c r="B302" s="1"/>
      <c r="C302" s="2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6" x14ac:dyDescent="0.2">
      <c r="A303" s="1"/>
      <c r="B303" s="1"/>
      <c r="C303" s="2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6" x14ac:dyDescent="0.2">
      <c r="A304" s="1"/>
      <c r="B304" s="1"/>
      <c r="C304" s="2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6" x14ac:dyDescent="0.2">
      <c r="A305" s="1"/>
      <c r="B305" s="1"/>
      <c r="C305" s="2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6" x14ac:dyDescent="0.2">
      <c r="A306" s="1"/>
      <c r="B306" s="1"/>
      <c r="C306" s="2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6" x14ac:dyDescent="0.2">
      <c r="A307" s="1"/>
      <c r="B307" s="1"/>
      <c r="C307" s="2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6" x14ac:dyDescent="0.2">
      <c r="A308" s="1"/>
      <c r="B308" s="1"/>
      <c r="C308" s="2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6" x14ac:dyDescent="0.2">
      <c r="A309" s="1"/>
      <c r="B309" s="1"/>
      <c r="C309" s="2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6" x14ac:dyDescent="0.2">
      <c r="A310" s="1"/>
      <c r="B310" s="1"/>
      <c r="C310" s="2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6" x14ac:dyDescent="0.2">
      <c r="A311" s="1"/>
      <c r="B311" s="1"/>
      <c r="C311" s="2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6" x14ac:dyDescent="0.2">
      <c r="A312" s="1"/>
      <c r="B312" s="1"/>
      <c r="C312" s="2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6" x14ac:dyDescent="0.2">
      <c r="A313" s="1"/>
      <c r="B313" s="1"/>
      <c r="C313" s="2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6" x14ac:dyDescent="0.2">
      <c r="A314" s="1"/>
      <c r="B314" s="1"/>
      <c r="C314" s="2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6" x14ac:dyDescent="0.2">
      <c r="A315" s="1"/>
      <c r="B315" s="1"/>
      <c r="C315" s="2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6" x14ac:dyDescent="0.2">
      <c r="A316" s="1"/>
      <c r="B316" s="1"/>
      <c r="C316" s="2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6" x14ac:dyDescent="0.2">
      <c r="A317" s="1"/>
      <c r="B317" s="1"/>
      <c r="C317" s="2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6" x14ac:dyDescent="0.2">
      <c r="A318" s="1"/>
      <c r="B318" s="1"/>
      <c r="C318" s="2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6" x14ac:dyDescent="0.2">
      <c r="A319" s="1"/>
      <c r="B319" s="1"/>
      <c r="C319" s="2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6" x14ac:dyDescent="0.2">
      <c r="A320" s="1"/>
      <c r="B320" s="1"/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6" x14ac:dyDescent="0.2">
      <c r="A321" s="1"/>
      <c r="B321" s="1"/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6" x14ac:dyDescent="0.2">
      <c r="A322" s="1"/>
      <c r="B322" s="1"/>
      <c r="C322" s="2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6" x14ac:dyDescent="0.2">
      <c r="A323" s="1"/>
      <c r="B323" s="1"/>
      <c r="C323" s="2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6" x14ac:dyDescent="0.2">
      <c r="A324" s="1"/>
      <c r="B324" s="1"/>
      <c r="C324" s="2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6" x14ac:dyDescent="0.2">
      <c r="A325" s="1"/>
      <c r="B325" s="1"/>
      <c r="C325" s="2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6" x14ac:dyDescent="0.2">
      <c r="A326" s="1"/>
      <c r="B326" s="1"/>
      <c r="C326" s="2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6" x14ac:dyDescent="0.2">
      <c r="A327" s="1"/>
      <c r="B327" s="1"/>
      <c r="C327" s="2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6" x14ac:dyDescent="0.2">
      <c r="A328" s="1"/>
      <c r="B328" s="1"/>
      <c r="C328" s="2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6" x14ac:dyDescent="0.2">
      <c r="A329" s="1"/>
      <c r="B329" s="1"/>
      <c r="C329" s="2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6" x14ac:dyDescent="0.2">
      <c r="A330" s="1"/>
      <c r="B330" s="1"/>
      <c r="C330" s="2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6" x14ac:dyDescent="0.2">
      <c r="A331" s="1"/>
      <c r="B331" s="1"/>
      <c r="C331" s="2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6" x14ac:dyDescent="0.2">
      <c r="A332" s="1"/>
      <c r="B332" s="1"/>
      <c r="C332" s="2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6" x14ac:dyDescent="0.2">
      <c r="A333" s="1"/>
      <c r="B333" s="1"/>
      <c r="C333" s="2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6" x14ac:dyDescent="0.2">
      <c r="A334" s="1"/>
      <c r="B334" s="1"/>
      <c r="C334" s="2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6" x14ac:dyDescent="0.2">
      <c r="A335" s="1"/>
      <c r="B335" s="1"/>
      <c r="C335" s="2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6" x14ac:dyDescent="0.2">
      <c r="A336" s="1"/>
      <c r="B336" s="1"/>
      <c r="C336" s="2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6" x14ac:dyDescent="0.2">
      <c r="A337" s="1"/>
      <c r="B337" s="1"/>
      <c r="C337" s="2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6" x14ac:dyDescent="0.2">
      <c r="A338" s="1"/>
      <c r="B338" s="1"/>
      <c r="C338" s="2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6" x14ac:dyDescent="0.2">
      <c r="A339" s="1"/>
      <c r="B339" s="1"/>
      <c r="C339" s="2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6" x14ac:dyDescent="0.2">
      <c r="A340" s="1"/>
      <c r="B340" s="1"/>
      <c r="C340" s="2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6" x14ac:dyDescent="0.2">
      <c r="A341" s="1"/>
      <c r="B341" s="1"/>
      <c r="C341" s="2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6" x14ac:dyDescent="0.2">
      <c r="A342" s="1"/>
      <c r="B342" s="1"/>
      <c r="C342" s="2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6" x14ac:dyDescent="0.2">
      <c r="A343" s="1"/>
      <c r="B343" s="1"/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6" x14ac:dyDescent="0.2">
      <c r="A344" s="1"/>
      <c r="B344" s="1"/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6" x14ac:dyDescent="0.2">
      <c r="A345" s="1"/>
      <c r="B345" s="1"/>
      <c r="C345" s="2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6" x14ac:dyDescent="0.2">
      <c r="A346" s="1"/>
      <c r="B346" s="1"/>
      <c r="C346" s="2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6" x14ac:dyDescent="0.2">
      <c r="A347" s="1"/>
      <c r="B347" s="1"/>
      <c r="C347" s="2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6" x14ac:dyDescent="0.2">
      <c r="A348" s="1"/>
      <c r="B348" s="1"/>
      <c r="C348" s="2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6" x14ac:dyDescent="0.2">
      <c r="A349" s="1"/>
      <c r="B349" s="1"/>
      <c r="C349" s="2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6" x14ac:dyDescent="0.2">
      <c r="A350" s="1"/>
      <c r="B350" s="1"/>
      <c r="C350" s="2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6" x14ac:dyDescent="0.2">
      <c r="A351" s="1"/>
      <c r="B351" s="1"/>
      <c r="C351" s="2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6" x14ac:dyDescent="0.2">
      <c r="A352" s="1"/>
      <c r="B352" s="1"/>
      <c r="C352" s="2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6" x14ac:dyDescent="0.2">
      <c r="A353" s="1"/>
      <c r="B353" s="1"/>
      <c r="C353" s="2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6" x14ac:dyDescent="0.2">
      <c r="A354" s="1"/>
      <c r="B354" s="1"/>
      <c r="C354" s="2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6" x14ac:dyDescent="0.2">
      <c r="A355" s="1"/>
      <c r="B355" s="1"/>
      <c r="C355" s="2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6" x14ac:dyDescent="0.2">
      <c r="A356" s="1"/>
      <c r="B356" s="1"/>
      <c r="C356" s="2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6" x14ac:dyDescent="0.2">
      <c r="A357" s="1"/>
      <c r="B357" s="1"/>
      <c r="C357" s="2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6" x14ac:dyDescent="0.2">
      <c r="A358" s="1"/>
      <c r="B358" s="1"/>
      <c r="C358" s="2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6" x14ac:dyDescent="0.2">
      <c r="A359" s="1"/>
      <c r="B359" s="1"/>
      <c r="C359" s="2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6" x14ac:dyDescent="0.2">
      <c r="A360" s="1"/>
      <c r="B360" s="1"/>
      <c r="C360" s="2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6" x14ac:dyDescent="0.2">
      <c r="A361" s="1"/>
      <c r="B361" s="1"/>
      <c r="C361" s="2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6" x14ac:dyDescent="0.2">
      <c r="A362" s="1"/>
      <c r="B362" s="1"/>
      <c r="C362" s="2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6" x14ac:dyDescent="0.2">
      <c r="A363" s="1"/>
      <c r="B363" s="1"/>
      <c r="C363" s="2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6" x14ac:dyDescent="0.2">
      <c r="A364" s="1"/>
      <c r="B364" s="1"/>
      <c r="C364" s="2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6" x14ac:dyDescent="0.2">
      <c r="A365" s="1"/>
      <c r="B365" s="1"/>
      <c r="C365" s="2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6" x14ac:dyDescent="0.2">
      <c r="A366" s="1"/>
      <c r="B366" s="1"/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6" x14ac:dyDescent="0.2">
      <c r="A367" s="1"/>
      <c r="B367" s="1"/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6" x14ac:dyDescent="0.2">
      <c r="A368" s="1"/>
      <c r="B368" s="1"/>
      <c r="C368" s="2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6" x14ac:dyDescent="0.2">
      <c r="A369" s="1"/>
      <c r="B369" s="1"/>
      <c r="C369" s="2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6" x14ac:dyDescent="0.2">
      <c r="A370" s="1"/>
      <c r="B370" s="1"/>
      <c r="C370" s="2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6" x14ac:dyDescent="0.2">
      <c r="A371" s="1"/>
      <c r="B371" s="1"/>
      <c r="C371" s="2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6" x14ac:dyDescent="0.2">
      <c r="A372" s="1"/>
      <c r="B372" s="1"/>
      <c r="C372" s="2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6" x14ac:dyDescent="0.2">
      <c r="A373" s="1"/>
      <c r="B373" s="1"/>
      <c r="C373" s="2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6" x14ac:dyDescent="0.2">
      <c r="A374" s="1"/>
      <c r="B374" s="1"/>
      <c r="C374" s="2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6" x14ac:dyDescent="0.2">
      <c r="A375" s="1"/>
      <c r="B375" s="1"/>
      <c r="C375" s="2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6" x14ac:dyDescent="0.2">
      <c r="A376" s="1"/>
      <c r="B376" s="1"/>
      <c r="C376" s="2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6" x14ac:dyDescent="0.2">
      <c r="A377" s="1"/>
      <c r="B377" s="1"/>
      <c r="C377" s="2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6" x14ac:dyDescent="0.2">
      <c r="A378" s="1"/>
      <c r="B378" s="1"/>
      <c r="C378" s="2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6" x14ac:dyDescent="0.2">
      <c r="A379" s="1"/>
      <c r="B379" s="1"/>
      <c r="C379" s="2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6" x14ac:dyDescent="0.2">
      <c r="A380" s="1"/>
      <c r="B380" s="1"/>
      <c r="C380" s="2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6" x14ac:dyDescent="0.2">
      <c r="A381" s="1"/>
      <c r="B381" s="1"/>
      <c r="C381" s="2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6" x14ac:dyDescent="0.2">
      <c r="A382" s="1"/>
      <c r="B382" s="1"/>
      <c r="C382" s="2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6" x14ac:dyDescent="0.2">
      <c r="A383" s="1"/>
      <c r="B383" s="1"/>
      <c r="C383" s="2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6" x14ac:dyDescent="0.2">
      <c r="A384" s="1"/>
      <c r="B384" s="1"/>
      <c r="C384" s="2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6" x14ac:dyDescent="0.2">
      <c r="A385" s="1"/>
      <c r="B385" s="1"/>
      <c r="C385" s="2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6" x14ac:dyDescent="0.2">
      <c r="A386" s="1"/>
      <c r="B386" s="1"/>
      <c r="C386" s="2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6" x14ac:dyDescent="0.2">
      <c r="A387" s="1"/>
      <c r="B387" s="1"/>
      <c r="C387" s="2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6" x14ac:dyDescent="0.2">
      <c r="A388" s="1"/>
      <c r="B388" s="1"/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6" x14ac:dyDescent="0.2">
      <c r="A389" s="1"/>
      <c r="B389" s="1"/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6" x14ac:dyDescent="0.2">
      <c r="A390" s="1"/>
      <c r="B390" s="1"/>
      <c r="C390" s="2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6" x14ac:dyDescent="0.2">
      <c r="A391" s="1"/>
      <c r="B391" s="1"/>
      <c r="C391" s="2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6" x14ac:dyDescent="0.2">
      <c r="A392" s="1"/>
      <c r="B392" s="1"/>
      <c r="C392" s="2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6" x14ac:dyDescent="0.2">
      <c r="A393" s="1"/>
      <c r="B393" s="1"/>
      <c r="C393" s="2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6" x14ac:dyDescent="0.2">
      <c r="A394" s="1"/>
      <c r="B394" s="1"/>
      <c r="C394" s="2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6" x14ac:dyDescent="0.2">
      <c r="A395" s="1"/>
      <c r="B395" s="1"/>
      <c r="C395" s="2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6" x14ac:dyDescent="0.2">
      <c r="A396" s="1"/>
      <c r="B396" s="1"/>
      <c r="C396" s="2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6" x14ac:dyDescent="0.2">
      <c r="A397" s="1"/>
      <c r="B397" s="1"/>
      <c r="C397" s="2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6" x14ac:dyDescent="0.2">
      <c r="A398" s="1"/>
      <c r="B398" s="1"/>
      <c r="C398" s="2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6" x14ac:dyDescent="0.2">
      <c r="A399" s="1"/>
      <c r="B399" s="1"/>
      <c r="C399" s="2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6" x14ac:dyDescent="0.2">
      <c r="A400" s="1"/>
      <c r="B400" s="1"/>
      <c r="C400" s="2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6" x14ac:dyDescent="0.2">
      <c r="A401" s="1"/>
      <c r="B401" s="1"/>
      <c r="C401" s="2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6" x14ac:dyDescent="0.2">
      <c r="A402" s="1"/>
      <c r="B402" s="1"/>
      <c r="C402" s="2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6" x14ac:dyDescent="0.2">
      <c r="A403" s="1"/>
      <c r="B403" s="1"/>
      <c r="C403" s="2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6" x14ac:dyDescent="0.2">
      <c r="A404" s="1"/>
      <c r="B404" s="1"/>
      <c r="C404" s="2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6" x14ac:dyDescent="0.2">
      <c r="A405" s="1"/>
      <c r="B405" s="1"/>
      <c r="C405" s="2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6" x14ac:dyDescent="0.2">
      <c r="A406" s="1"/>
      <c r="B406" s="1"/>
      <c r="C406" s="2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6" x14ac:dyDescent="0.2">
      <c r="A407" s="1"/>
      <c r="B407" s="1"/>
      <c r="C407" s="2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6" x14ac:dyDescent="0.2">
      <c r="A408" s="1"/>
      <c r="B408" s="1"/>
      <c r="C408" s="2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6" x14ac:dyDescent="0.2">
      <c r="A409" s="1"/>
      <c r="B409" s="1"/>
      <c r="C409" s="2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6" x14ac:dyDescent="0.2">
      <c r="A410" s="1"/>
      <c r="B410" s="1"/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6" x14ac:dyDescent="0.2">
      <c r="A411" s="1"/>
      <c r="B411" s="1"/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6" x14ac:dyDescent="0.2">
      <c r="A412" s="1"/>
      <c r="B412" s="1"/>
      <c r="C412" s="2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6" x14ac:dyDescent="0.2">
      <c r="A413" s="1"/>
      <c r="B413" s="1"/>
      <c r="C413" s="2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6" x14ac:dyDescent="0.2">
      <c r="A414" s="1"/>
      <c r="B414" s="1"/>
      <c r="C414" s="2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6" x14ac:dyDescent="0.2">
      <c r="A415" s="1"/>
      <c r="B415" s="1"/>
      <c r="C415" s="2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6" x14ac:dyDescent="0.2">
      <c r="A416" s="1"/>
      <c r="B416" s="1"/>
      <c r="C416" s="2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6" x14ac:dyDescent="0.2">
      <c r="A417" s="1"/>
      <c r="B417" s="1"/>
      <c r="C417" s="2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6" x14ac:dyDescent="0.2">
      <c r="A418" s="1"/>
      <c r="B418" s="1"/>
      <c r="C418" s="2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6" x14ac:dyDescent="0.2">
      <c r="A419" s="1"/>
      <c r="B419" s="1"/>
      <c r="C419" s="2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6" x14ac:dyDescent="0.2">
      <c r="A420" s="1"/>
      <c r="B420" s="1"/>
      <c r="C420" s="2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6" x14ac:dyDescent="0.2">
      <c r="A421" s="1"/>
      <c r="B421" s="1"/>
      <c r="C421" s="2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6" x14ac:dyDescent="0.2">
      <c r="A422" s="1"/>
      <c r="B422" s="1"/>
      <c r="C422" s="2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6" x14ac:dyDescent="0.2">
      <c r="A423" s="1"/>
      <c r="B423" s="1"/>
      <c r="C423" s="2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6" x14ac:dyDescent="0.2">
      <c r="A424" s="1"/>
      <c r="B424" s="1"/>
      <c r="C424" s="2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6" x14ac:dyDescent="0.2">
      <c r="A425" s="1"/>
      <c r="B425" s="1"/>
      <c r="C425" s="2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6" x14ac:dyDescent="0.2">
      <c r="A426" s="1"/>
      <c r="B426" s="1"/>
      <c r="C426" s="2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6" x14ac:dyDescent="0.2">
      <c r="A427" s="1"/>
      <c r="B427" s="1"/>
      <c r="C427" s="2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6" x14ac:dyDescent="0.2">
      <c r="A428" s="1"/>
      <c r="B428" s="1"/>
      <c r="C428" s="2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6" x14ac:dyDescent="0.2">
      <c r="A429" s="1"/>
      <c r="B429" s="1"/>
      <c r="C429" s="2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6" x14ac:dyDescent="0.2">
      <c r="A430" s="1"/>
      <c r="B430" s="1"/>
      <c r="C430" s="2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6" x14ac:dyDescent="0.2">
      <c r="A431" s="1"/>
      <c r="B431" s="1"/>
      <c r="C431" s="2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6" x14ac:dyDescent="0.2">
      <c r="A432" s="1"/>
      <c r="B432" s="1"/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6" x14ac:dyDescent="0.2">
      <c r="A433" s="1"/>
      <c r="B433" s="1"/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6" x14ac:dyDescent="0.2">
      <c r="A434" s="1"/>
      <c r="B434" s="1"/>
      <c r="C434" s="2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6" x14ac:dyDescent="0.2">
      <c r="A435" s="1"/>
      <c r="B435" s="1"/>
      <c r="C435" s="2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6" x14ac:dyDescent="0.2">
      <c r="A436" s="1"/>
      <c r="B436" s="1"/>
      <c r="C436" s="2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6" x14ac:dyDescent="0.2">
      <c r="A437" s="1"/>
      <c r="B437" s="1"/>
      <c r="C437" s="2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6" x14ac:dyDescent="0.2">
      <c r="A438" s="1"/>
      <c r="B438" s="1"/>
      <c r="C438" s="2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6" x14ac:dyDescent="0.2">
      <c r="A439" s="1"/>
      <c r="B439" s="1"/>
      <c r="C439" s="2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6" x14ac:dyDescent="0.2">
      <c r="A440" s="1"/>
      <c r="B440" s="1"/>
      <c r="C440" s="2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6" x14ac:dyDescent="0.2">
      <c r="A441" s="1"/>
      <c r="B441" s="1"/>
      <c r="C441" s="2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6" x14ac:dyDescent="0.2">
      <c r="A442" s="1"/>
      <c r="B442" s="1"/>
      <c r="C442" s="2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6" x14ac:dyDescent="0.2">
      <c r="A443" s="1"/>
      <c r="B443" s="1"/>
      <c r="C443" s="2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6" x14ac:dyDescent="0.2">
      <c r="A444" s="1"/>
      <c r="B444" s="1"/>
      <c r="C444" s="2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6" x14ac:dyDescent="0.2">
      <c r="A445" s="1"/>
      <c r="B445" s="1"/>
      <c r="C445" s="2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6" x14ac:dyDescent="0.2">
      <c r="A446" s="1"/>
      <c r="B446" s="1"/>
      <c r="C446" s="2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6" x14ac:dyDescent="0.2">
      <c r="A447" s="1"/>
      <c r="B447" s="1"/>
      <c r="C447" s="2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6" x14ac:dyDescent="0.2">
      <c r="A448" s="1"/>
      <c r="B448" s="1"/>
      <c r="C448" s="2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6" x14ac:dyDescent="0.2">
      <c r="A449" s="1"/>
      <c r="B449" s="1"/>
      <c r="C449" s="2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6" x14ac:dyDescent="0.2">
      <c r="A450" s="1"/>
      <c r="B450" s="1"/>
      <c r="C450" s="2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6" x14ac:dyDescent="0.2">
      <c r="A451" s="1"/>
      <c r="B451" s="1"/>
      <c r="C451" s="2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6" x14ac:dyDescent="0.2">
      <c r="A452" s="1"/>
      <c r="B452" s="1"/>
      <c r="C452" s="2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6" x14ac:dyDescent="0.2">
      <c r="A453" s="1"/>
      <c r="B453" s="1"/>
      <c r="C453" s="2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6" x14ac:dyDescent="0.2">
      <c r="A454" s="1"/>
      <c r="B454" s="1"/>
      <c r="C454" s="2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6" x14ac:dyDescent="0.2">
      <c r="A455" s="1"/>
      <c r="B455" s="1"/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6" x14ac:dyDescent="0.2">
      <c r="A456" s="1"/>
      <c r="B456" s="1"/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6" x14ac:dyDescent="0.2">
      <c r="A457" s="1"/>
      <c r="B457" s="1"/>
      <c r="C457" s="2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6" x14ac:dyDescent="0.2">
      <c r="A458" s="1"/>
      <c r="B458" s="1"/>
      <c r="C458" s="2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6" x14ac:dyDescent="0.2">
      <c r="A459" s="1"/>
      <c r="B459" s="1"/>
      <c r="C459" s="2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6" x14ac:dyDescent="0.2">
      <c r="A460" s="1"/>
      <c r="B460" s="1"/>
      <c r="C460" s="2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6" x14ac:dyDescent="0.2">
      <c r="A461" s="1"/>
      <c r="B461" s="1"/>
      <c r="C461" s="2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6" x14ac:dyDescent="0.2">
      <c r="A462" s="1"/>
      <c r="B462" s="1"/>
      <c r="C462" s="2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6" x14ac:dyDescent="0.2">
      <c r="A463" s="1"/>
      <c r="B463" s="1"/>
      <c r="C463" s="2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6" x14ac:dyDescent="0.2">
      <c r="A464" s="1"/>
      <c r="B464" s="1"/>
      <c r="C464" s="2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6" x14ac:dyDescent="0.2">
      <c r="A465" s="1"/>
      <c r="B465" s="1"/>
      <c r="C465" s="2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6" x14ac:dyDescent="0.2">
      <c r="A466" s="1"/>
      <c r="B466" s="1"/>
      <c r="C466" s="2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6" x14ac:dyDescent="0.2">
      <c r="A467" s="1"/>
      <c r="B467" s="1"/>
      <c r="C467" s="2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6" x14ac:dyDescent="0.2">
      <c r="A468" s="1"/>
      <c r="B468" s="1"/>
      <c r="C468" s="2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6" x14ac:dyDescent="0.2">
      <c r="A469" s="1"/>
      <c r="B469" s="1"/>
      <c r="C469" s="2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6" x14ac:dyDescent="0.2">
      <c r="A470" s="1"/>
      <c r="B470" s="1"/>
      <c r="C470" s="2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6" x14ac:dyDescent="0.2">
      <c r="A471" s="1"/>
      <c r="B471" s="1"/>
      <c r="C471" s="2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6" x14ac:dyDescent="0.2">
      <c r="A472" s="1"/>
      <c r="B472" s="1"/>
      <c r="C472" s="2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6" x14ac:dyDescent="0.2">
      <c r="A473" s="1"/>
      <c r="B473" s="1"/>
      <c r="C473" s="2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6" x14ac:dyDescent="0.2">
      <c r="A474" s="1"/>
      <c r="B474" s="1"/>
      <c r="C474" s="2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6" x14ac:dyDescent="0.2">
      <c r="A475" s="1"/>
      <c r="B475" s="1"/>
      <c r="C475" s="2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6" x14ac:dyDescent="0.2">
      <c r="A476" s="1"/>
      <c r="B476" s="1"/>
      <c r="C476" s="2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6" x14ac:dyDescent="0.2">
      <c r="A477" s="1"/>
      <c r="B477" s="1"/>
      <c r="C477" s="2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6" x14ac:dyDescent="0.2">
      <c r="A478" s="1"/>
      <c r="B478" s="1"/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6" x14ac:dyDescent="0.2">
      <c r="A479" s="1"/>
      <c r="B479" s="1"/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6" x14ac:dyDescent="0.2">
      <c r="A480" s="1"/>
      <c r="B480" s="1"/>
      <c r="C480" s="2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6" x14ac:dyDescent="0.2">
      <c r="A481" s="1"/>
      <c r="B481" s="1"/>
      <c r="C481" s="2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6" x14ac:dyDescent="0.2">
      <c r="A482" s="1"/>
      <c r="B482" s="1"/>
      <c r="C482" s="2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6" x14ac:dyDescent="0.2">
      <c r="A483" s="1"/>
      <c r="B483" s="1"/>
      <c r="C483" s="2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6" x14ac:dyDescent="0.2">
      <c r="A484" s="1"/>
      <c r="B484" s="1"/>
      <c r="C484" s="2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6" x14ac:dyDescent="0.2">
      <c r="A485" s="1"/>
      <c r="B485" s="1"/>
      <c r="C485" s="2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6" x14ac:dyDescent="0.2">
      <c r="A486" s="1"/>
      <c r="B486" s="1"/>
      <c r="C486" s="2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6" x14ac:dyDescent="0.2">
      <c r="A487" s="1"/>
      <c r="B487" s="1"/>
      <c r="C487" s="2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6" x14ac:dyDescent="0.2">
      <c r="A488" s="1"/>
      <c r="B488" s="1"/>
      <c r="C488" s="2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6" x14ac:dyDescent="0.2">
      <c r="A489" s="1"/>
      <c r="B489" s="1"/>
      <c r="C489" s="2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6" x14ac:dyDescent="0.2">
      <c r="A490" s="1"/>
      <c r="B490" s="1"/>
      <c r="C490" s="2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6" x14ac:dyDescent="0.2">
      <c r="A491" s="1"/>
      <c r="B491" s="1"/>
      <c r="C491" s="2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6" x14ac:dyDescent="0.2">
      <c r="A492" s="1"/>
      <c r="B492" s="1"/>
      <c r="C492" s="2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6" x14ac:dyDescent="0.2">
      <c r="A493" s="1"/>
      <c r="B493" s="1"/>
      <c r="C493" s="2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6" x14ac:dyDescent="0.2">
      <c r="A494" s="1"/>
      <c r="B494" s="1"/>
      <c r="C494" s="2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6" x14ac:dyDescent="0.2">
      <c r="A495" s="1"/>
      <c r="B495" s="1"/>
      <c r="C495" s="2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6" x14ac:dyDescent="0.2">
      <c r="A496" s="1"/>
      <c r="B496" s="1"/>
      <c r="C496" s="2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6" x14ac:dyDescent="0.2">
      <c r="A497" s="1"/>
      <c r="B497" s="1"/>
      <c r="C497" s="2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6" x14ac:dyDescent="0.2">
      <c r="A498" s="1"/>
      <c r="B498" s="1"/>
      <c r="C498" s="2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6" x14ac:dyDescent="0.2">
      <c r="A499" s="1"/>
      <c r="B499" s="1"/>
      <c r="C499" s="2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6" x14ac:dyDescent="0.2">
      <c r="A500" s="1"/>
      <c r="B500" s="1"/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6" x14ac:dyDescent="0.2">
      <c r="A501" s="1"/>
      <c r="B501" s="1"/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6" x14ac:dyDescent="0.2">
      <c r="A502" s="1"/>
      <c r="B502" s="1"/>
      <c r="C502" s="2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6" x14ac:dyDescent="0.2">
      <c r="A503" s="1"/>
      <c r="B503" s="1"/>
      <c r="C503" s="2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6" x14ac:dyDescent="0.2">
      <c r="A504" s="1"/>
      <c r="B504" s="1"/>
      <c r="C504" s="2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6" x14ac:dyDescent="0.2">
      <c r="A505" s="1"/>
      <c r="B505" s="1"/>
      <c r="C505" s="2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6" x14ac:dyDescent="0.2">
      <c r="A506" s="1"/>
      <c r="B506" s="1"/>
      <c r="C506" s="2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6" x14ac:dyDescent="0.2">
      <c r="A507" s="1"/>
      <c r="B507" s="1"/>
      <c r="C507" s="2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6" x14ac:dyDescent="0.2">
      <c r="A508" s="1"/>
      <c r="B508" s="1"/>
      <c r="C508" s="2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6" x14ac:dyDescent="0.2">
      <c r="A509" s="1"/>
      <c r="B509" s="1"/>
      <c r="C509" s="2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6" x14ac:dyDescent="0.2">
      <c r="A510" s="1"/>
      <c r="B510" s="1"/>
      <c r="C510" s="2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6" x14ac:dyDescent="0.2">
      <c r="A511" s="1"/>
      <c r="B511" s="1"/>
      <c r="C511" s="2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6" x14ac:dyDescent="0.2">
      <c r="A512" s="1"/>
      <c r="B512" s="1"/>
      <c r="C512" s="2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6" x14ac:dyDescent="0.2">
      <c r="A513" s="1"/>
      <c r="B513" s="1"/>
      <c r="C513" s="2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6" x14ac:dyDescent="0.2">
      <c r="A514" s="1"/>
      <c r="B514" s="1"/>
      <c r="C514" s="2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6" x14ac:dyDescent="0.2">
      <c r="A515" s="1"/>
      <c r="B515" s="1"/>
      <c r="C515" s="2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6" x14ac:dyDescent="0.2">
      <c r="A516" s="1"/>
      <c r="B516" s="1"/>
      <c r="C516" s="2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6" x14ac:dyDescent="0.2">
      <c r="A517" s="1"/>
      <c r="B517" s="1"/>
      <c r="C517" s="2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6" x14ac:dyDescent="0.2">
      <c r="A518" s="1"/>
      <c r="B518" s="1"/>
      <c r="C518" s="2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6" x14ac:dyDescent="0.2">
      <c r="A519" s="1"/>
      <c r="B519" s="1"/>
      <c r="C519" s="2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6" x14ac:dyDescent="0.2">
      <c r="A520" s="1"/>
      <c r="B520" s="1"/>
      <c r="C520" s="2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6" x14ac:dyDescent="0.2">
      <c r="A521" s="1"/>
      <c r="B521" s="1"/>
      <c r="C521" s="2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6" x14ac:dyDescent="0.2">
      <c r="A522" s="1"/>
      <c r="B522" s="1"/>
      <c r="C522" s="2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6" x14ac:dyDescent="0.2">
      <c r="A523" s="1"/>
      <c r="B523" s="1"/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6" x14ac:dyDescent="0.2">
      <c r="A524" s="1"/>
      <c r="B524" s="1"/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6" x14ac:dyDescent="0.2">
      <c r="A525" s="1"/>
      <c r="B525" s="1"/>
      <c r="C525" s="2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6" x14ac:dyDescent="0.2">
      <c r="A526" s="1"/>
      <c r="B526" s="1"/>
      <c r="C526" s="2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6" x14ac:dyDescent="0.2">
      <c r="A527" s="1"/>
      <c r="B527" s="1"/>
      <c r="C527" s="2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6" x14ac:dyDescent="0.2">
      <c r="A528" s="1"/>
      <c r="B528" s="1"/>
      <c r="C528" s="2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6" x14ac:dyDescent="0.2">
      <c r="A529" s="1"/>
      <c r="B529" s="1"/>
      <c r="C529" s="2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6" x14ac:dyDescent="0.2">
      <c r="A530" s="1"/>
      <c r="B530" s="1"/>
      <c r="C530" s="2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6" x14ac:dyDescent="0.2">
      <c r="A531" s="1"/>
      <c r="B531" s="1"/>
      <c r="C531" s="2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6" x14ac:dyDescent="0.2">
      <c r="A532" s="1"/>
      <c r="B532" s="1"/>
      <c r="C532" s="2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6" x14ac:dyDescent="0.2">
      <c r="A533" s="1"/>
      <c r="B533" s="1"/>
      <c r="C533" s="2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6" x14ac:dyDescent="0.2">
      <c r="A534" s="1"/>
      <c r="B534" s="1"/>
      <c r="C534" s="2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6" x14ac:dyDescent="0.2">
      <c r="A535" s="1"/>
      <c r="B535" s="1"/>
      <c r="C535" s="2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6" x14ac:dyDescent="0.2">
      <c r="A536" s="1"/>
      <c r="B536" s="1"/>
      <c r="C536" s="2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6" x14ac:dyDescent="0.2">
      <c r="A537" s="1"/>
      <c r="B537" s="1"/>
      <c r="C537" s="2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6" x14ac:dyDescent="0.2">
      <c r="A538" s="1"/>
      <c r="B538" s="1"/>
      <c r="C538" s="2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6" x14ac:dyDescent="0.2">
      <c r="A539" s="1"/>
      <c r="B539" s="1"/>
      <c r="C539" s="2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6" x14ac:dyDescent="0.2">
      <c r="A540" s="1"/>
      <c r="B540" s="1"/>
      <c r="C540" s="2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6" x14ac:dyDescent="0.2">
      <c r="A541" s="1"/>
      <c r="B541" s="1"/>
      <c r="C541" s="2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6" x14ac:dyDescent="0.2">
      <c r="A542" s="1"/>
      <c r="B542" s="1"/>
      <c r="C542" s="2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6" x14ac:dyDescent="0.2">
      <c r="A543" s="1"/>
      <c r="B543" s="1"/>
      <c r="C543" s="2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6" x14ac:dyDescent="0.2">
      <c r="A544" s="1"/>
      <c r="B544" s="1"/>
      <c r="C544" s="2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6" x14ac:dyDescent="0.2">
      <c r="A545" s="1"/>
      <c r="B545" s="1"/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6" x14ac:dyDescent="0.2">
      <c r="A546" s="1"/>
      <c r="B546" s="1"/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6" x14ac:dyDescent="0.2">
      <c r="A547" s="1"/>
      <c r="B547" s="1"/>
      <c r="C547" s="2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6" x14ac:dyDescent="0.2">
      <c r="A548" s="1"/>
      <c r="B548" s="1"/>
      <c r="C548" s="2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6" x14ac:dyDescent="0.2">
      <c r="A549" s="1"/>
      <c r="B549" s="1"/>
      <c r="C549" s="2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6" x14ac:dyDescent="0.2">
      <c r="A550" s="1"/>
      <c r="B550" s="1"/>
      <c r="C550" s="2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6" x14ac:dyDescent="0.2">
      <c r="A551" s="1"/>
      <c r="B551" s="1"/>
      <c r="C551" s="2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6" x14ac:dyDescent="0.2">
      <c r="A552" s="1"/>
      <c r="B552" s="1"/>
      <c r="C552" s="2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6" x14ac:dyDescent="0.2">
      <c r="A553" s="1"/>
      <c r="B553" s="1"/>
      <c r="C553" s="2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6" x14ac:dyDescent="0.2">
      <c r="A554" s="1"/>
      <c r="B554" s="1"/>
      <c r="C554" s="2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6" x14ac:dyDescent="0.2">
      <c r="A555" s="1"/>
      <c r="B555" s="1"/>
      <c r="C555" s="2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6" x14ac:dyDescent="0.2">
      <c r="A556" s="1"/>
      <c r="B556" s="1"/>
      <c r="C556" s="2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6" x14ac:dyDescent="0.2">
      <c r="A557" s="1"/>
      <c r="B557" s="1"/>
      <c r="C557" s="2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6" x14ac:dyDescent="0.2">
      <c r="A558" s="1"/>
      <c r="B558" s="1"/>
      <c r="C558" s="2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6" x14ac:dyDescent="0.2">
      <c r="A559" s="1"/>
      <c r="B559" s="1"/>
      <c r="C559" s="2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6" x14ac:dyDescent="0.2">
      <c r="A560" s="1"/>
      <c r="B560" s="1"/>
      <c r="C560" s="2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6" x14ac:dyDescent="0.2">
      <c r="A561" s="1"/>
      <c r="B561" s="1"/>
      <c r="C561" s="2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6" x14ac:dyDescent="0.2">
      <c r="A562" s="1"/>
      <c r="B562" s="1"/>
      <c r="C562" s="2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6" x14ac:dyDescent="0.2">
      <c r="A563" s="1"/>
      <c r="B563" s="1"/>
      <c r="C563" s="2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6" x14ac:dyDescent="0.2">
      <c r="A564" s="1"/>
      <c r="B564" s="1"/>
      <c r="C564" s="2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6" x14ac:dyDescent="0.2">
      <c r="A565" s="1"/>
      <c r="B565" s="1"/>
      <c r="C565" s="2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6" x14ac:dyDescent="0.2">
      <c r="A566" s="1"/>
      <c r="B566" s="1"/>
      <c r="C566" s="2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6" x14ac:dyDescent="0.2">
      <c r="A567" s="1"/>
      <c r="B567" s="1"/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6" x14ac:dyDescent="0.2">
      <c r="A568" s="1"/>
      <c r="B568" s="1"/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6" x14ac:dyDescent="0.2">
      <c r="A569" s="1"/>
      <c r="B569" s="1"/>
      <c r="C569" s="2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6" x14ac:dyDescent="0.2">
      <c r="A570" s="1"/>
      <c r="B570" s="1"/>
      <c r="C570" s="2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6" x14ac:dyDescent="0.2">
      <c r="A571" s="1"/>
      <c r="B571" s="1"/>
      <c r="C571" s="2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6" x14ac:dyDescent="0.2">
      <c r="A572" s="1"/>
      <c r="B572" s="1"/>
      <c r="C572" s="2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6" x14ac:dyDescent="0.2">
      <c r="A573" s="1"/>
      <c r="B573" s="1"/>
      <c r="C573" s="2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6" x14ac:dyDescent="0.2">
      <c r="A574" s="1"/>
      <c r="B574" s="1"/>
      <c r="C574" s="2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6" x14ac:dyDescent="0.2">
      <c r="A575" s="1"/>
      <c r="B575" s="1"/>
      <c r="C575" s="2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6" x14ac:dyDescent="0.2">
      <c r="A576" s="1"/>
      <c r="B576" s="1"/>
      <c r="C576" s="2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6" x14ac:dyDescent="0.2">
      <c r="A577" s="1"/>
      <c r="B577" s="1"/>
      <c r="C577" s="2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6" x14ac:dyDescent="0.2">
      <c r="A578" s="1"/>
      <c r="B578" s="1"/>
      <c r="C578" s="2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6" x14ac:dyDescent="0.2">
      <c r="A579" s="1"/>
      <c r="B579" s="1"/>
      <c r="C579" s="2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6" x14ac:dyDescent="0.2">
      <c r="A580" s="1"/>
      <c r="B580" s="1"/>
      <c r="C580" s="2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6" x14ac:dyDescent="0.2">
      <c r="A581" s="1"/>
      <c r="B581" s="1"/>
      <c r="C581" s="2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6" x14ac:dyDescent="0.2">
      <c r="A582" s="1"/>
      <c r="B582" s="1"/>
      <c r="C582" s="2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6" x14ac:dyDescent="0.2">
      <c r="A583" s="1"/>
      <c r="B583" s="1"/>
      <c r="C583" s="2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6" x14ac:dyDescent="0.2">
      <c r="A584" s="1"/>
      <c r="B584" s="1"/>
      <c r="C584" s="2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6" x14ac:dyDescent="0.2">
      <c r="A585" s="1"/>
      <c r="B585" s="1"/>
      <c r="C585" s="2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6" x14ac:dyDescent="0.2">
      <c r="A586" s="1"/>
      <c r="B586" s="1"/>
      <c r="C586" s="2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6" x14ac:dyDescent="0.2">
      <c r="A587" s="1"/>
      <c r="B587" s="1"/>
      <c r="C587" s="2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6" x14ac:dyDescent="0.2">
      <c r="A588" s="1"/>
      <c r="B588" s="1"/>
      <c r="C588" s="2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6" x14ac:dyDescent="0.2">
      <c r="A589" s="1"/>
      <c r="B589" s="1"/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6" x14ac:dyDescent="0.2">
      <c r="A590" s="1"/>
      <c r="B590" s="1"/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6" x14ac:dyDescent="0.2">
      <c r="A591" s="1"/>
      <c r="B591" s="1"/>
      <c r="C591" s="2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6" x14ac:dyDescent="0.2">
      <c r="A592" s="1"/>
      <c r="B592" s="1"/>
      <c r="C592" s="2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6" x14ac:dyDescent="0.2">
      <c r="A593" s="1"/>
      <c r="B593" s="1"/>
      <c r="C593" s="2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6" x14ac:dyDescent="0.2">
      <c r="A594" s="1"/>
      <c r="B594" s="1"/>
      <c r="C594" s="2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6" x14ac:dyDescent="0.2">
      <c r="A595" s="1"/>
      <c r="B595" s="1"/>
      <c r="C595" s="2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6" x14ac:dyDescent="0.2">
      <c r="A596" s="1"/>
      <c r="B596" s="1"/>
      <c r="C596" s="2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6" x14ac:dyDescent="0.2">
      <c r="A597" s="1"/>
      <c r="B597" s="1"/>
      <c r="C597" s="2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6" x14ac:dyDescent="0.2">
      <c r="A598" s="1"/>
      <c r="B598" s="1"/>
      <c r="C598" s="2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6" x14ac:dyDescent="0.2">
      <c r="A599" s="1"/>
      <c r="B599" s="1"/>
      <c r="C599" s="2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6" x14ac:dyDescent="0.2">
      <c r="A600" s="1"/>
      <c r="B600" s="1"/>
      <c r="C600" s="2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6" x14ac:dyDescent="0.2">
      <c r="A601" s="1"/>
      <c r="B601" s="1"/>
      <c r="C601" s="2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6" x14ac:dyDescent="0.2">
      <c r="A602" s="1"/>
      <c r="B602" s="1"/>
      <c r="C602" s="2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6" x14ac:dyDescent="0.2">
      <c r="A603" s="1"/>
      <c r="B603" s="1"/>
      <c r="C603" s="2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6" x14ac:dyDescent="0.2">
      <c r="A604" s="1"/>
      <c r="B604" s="1"/>
      <c r="C604" s="2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6" x14ac:dyDescent="0.2">
      <c r="A605" s="1"/>
      <c r="B605" s="1"/>
      <c r="C605" s="2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6" x14ac:dyDescent="0.2">
      <c r="A606" s="1"/>
      <c r="B606" s="1"/>
      <c r="C606" s="2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6" x14ac:dyDescent="0.2">
      <c r="A607" s="1"/>
      <c r="B607" s="1"/>
      <c r="C607" s="2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6" x14ac:dyDescent="0.2">
      <c r="A608" s="1"/>
      <c r="B608" s="1"/>
      <c r="C608" s="2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6" x14ac:dyDescent="0.2">
      <c r="A609" s="1"/>
      <c r="B609" s="1"/>
      <c r="C609" s="2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6" x14ac:dyDescent="0.2">
      <c r="A610" s="1"/>
      <c r="B610" s="1"/>
      <c r="C610" s="2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6" x14ac:dyDescent="0.2">
      <c r="A611" s="1"/>
      <c r="B611" s="1"/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6" x14ac:dyDescent="0.2">
      <c r="A612" s="1"/>
      <c r="B612" s="1"/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6" x14ac:dyDescent="0.2">
      <c r="A613" s="1"/>
      <c r="B613" s="1"/>
      <c r="C613" s="2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6" x14ac:dyDescent="0.2">
      <c r="A614" s="1"/>
      <c r="B614" s="1"/>
      <c r="C614" s="2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6" x14ac:dyDescent="0.2">
      <c r="A615" s="1"/>
      <c r="B615" s="1"/>
      <c r="C615" s="2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6" x14ac:dyDescent="0.2">
      <c r="A616" s="1"/>
      <c r="B616" s="1"/>
      <c r="C616" s="2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6" x14ac:dyDescent="0.2">
      <c r="A617" s="1"/>
      <c r="B617" s="1"/>
      <c r="C617" s="2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6" x14ac:dyDescent="0.2">
      <c r="A618" s="1"/>
      <c r="B618" s="1"/>
      <c r="C618" s="2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6" x14ac:dyDescent="0.2">
      <c r="A619" s="1"/>
      <c r="B619" s="1"/>
      <c r="C619" s="2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6" x14ac:dyDescent="0.2">
      <c r="A620" s="1"/>
      <c r="B620" s="1"/>
      <c r="C620" s="2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6" x14ac:dyDescent="0.2">
      <c r="A621" s="1"/>
      <c r="B621" s="1"/>
      <c r="C621" s="2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6" x14ac:dyDescent="0.2">
      <c r="A622" s="1"/>
      <c r="B622" s="1"/>
      <c r="C622" s="2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6" x14ac:dyDescent="0.2">
      <c r="A623" s="1"/>
      <c r="B623" s="1"/>
      <c r="C623" s="2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6" x14ac:dyDescent="0.2">
      <c r="A624" s="1"/>
      <c r="B624" s="1"/>
      <c r="C624" s="2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6" x14ac:dyDescent="0.2">
      <c r="A625" s="1"/>
      <c r="B625" s="1"/>
      <c r="C625" s="2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6" x14ac:dyDescent="0.2">
      <c r="A626" s="1"/>
      <c r="B626" s="1"/>
      <c r="C626" s="2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6" x14ac:dyDescent="0.2">
      <c r="A627" s="1"/>
      <c r="B627" s="1"/>
      <c r="C627" s="2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6" x14ac:dyDescent="0.2">
      <c r="A628" s="1"/>
      <c r="B628" s="1"/>
      <c r="C628" s="2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6" x14ac:dyDescent="0.2">
      <c r="A629" s="1"/>
      <c r="B629" s="1"/>
      <c r="C629" s="2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6" x14ac:dyDescent="0.2">
      <c r="A630" s="1"/>
      <c r="B630" s="1"/>
      <c r="C630" s="2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6" x14ac:dyDescent="0.2">
      <c r="A631" s="1"/>
      <c r="B631" s="1"/>
      <c r="C631" s="2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6" x14ac:dyDescent="0.2">
      <c r="A632" s="1"/>
      <c r="B632" s="1"/>
      <c r="C632" s="2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6" x14ac:dyDescent="0.2">
      <c r="A633" s="1"/>
      <c r="B633" s="1"/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6" x14ac:dyDescent="0.2">
      <c r="A634" s="1"/>
      <c r="B634" s="1"/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6" x14ac:dyDescent="0.2">
      <c r="A635" s="1"/>
      <c r="B635" s="1"/>
      <c r="C635" s="2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6" x14ac:dyDescent="0.2">
      <c r="A636" s="1"/>
      <c r="B636" s="1"/>
      <c r="C636" s="2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6" x14ac:dyDescent="0.2">
      <c r="A637" s="1"/>
      <c r="B637" s="1"/>
      <c r="C637" s="2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6" x14ac:dyDescent="0.2">
      <c r="A638" s="1"/>
      <c r="B638" s="1"/>
      <c r="C638" s="2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6" x14ac:dyDescent="0.2">
      <c r="A639" s="1"/>
      <c r="B639" s="1"/>
      <c r="C639" s="2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6" x14ac:dyDescent="0.2">
      <c r="A640" s="1"/>
      <c r="B640" s="1"/>
      <c r="C640" s="2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6" x14ac:dyDescent="0.2">
      <c r="A641" s="1"/>
      <c r="B641" s="1"/>
      <c r="C641" s="2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6" x14ac:dyDescent="0.2">
      <c r="A642" s="1"/>
      <c r="B642" s="1"/>
      <c r="C642" s="2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6" x14ac:dyDescent="0.2">
      <c r="A643" s="1"/>
      <c r="B643" s="1"/>
      <c r="C643" s="2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6" x14ac:dyDescent="0.2">
      <c r="A644" s="1"/>
      <c r="B644" s="1"/>
      <c r="C644" s="2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6" x14ac:dyDescent="0.2">
      <c r="A645" s="1"/>
      <c r="B645" s="1"/>
      <c r="C645" s="2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6" x14ac:dyDescent="0.2">
      <c r="A646" s="1"/>
      <c r="B646" s="1"/>
      <c r="C646" s="2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6" x14ac:dyDescent="0.2">
      <c r="A647" s="1"/>
      <c r="B647" s="1"/>
      <c r="C647" s="2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6" x14ac:dyDescent="0.2">
      <c r="A648" s="1"/>
      <c r="B648" s="1"/>
      <c r="C648" s="2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6" x14ac:dyDescent="0.2">
      <c r="A649" s="1"/>
      <c r="B649" s="1"/>
      <c r="C649" s="2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6" x14ac:dyDescent="0.2">
      <c r="A650" s="1"/>
      <c r="B650" s="1"/>
      <c r="C650" s="2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6" x14ac:dyDescent="0.2">
      <c r="A651" s="1"/>
      <c r="B651" s="1"/>
      <c r="C651" s="2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6" x14ac:dyDescent="0.2">
      <c r="A652" s="1"/>
      <c r="B652" s="1"/>
      <c r="C652" s="2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6" x14ac:dyDescent="0.2">
      <c r="A653" s="1"/>
      <c r="B653" s="1"/>
      <c r="C653" s="2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6" x14ac:dyDescent="0.2">
      <c r="A654" s="1"/>
      <c r="B654" s="1"/>
      <c r="C654" s="2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6" x14ac:dyDescent="0.2">
      <c r="A655" s="1"/>
      <c r="B655" s="1"/>
      <c r="C655" s="2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6" x14ac:dyDescent="0.2">
      <c r="A656" s="1"/>
      <c r="B656" s="1"/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6" x14ac:dyDescent="0.2">
      <c r="A657" s="1"/>
      <c r="B657" s="1"/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6" x14ac:dyDescent="0.2">
      <c r="A658" s="1"/>
      <c r="B658" s="1"/>
      <c r="C658" s="2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6" x14ac:dyDescent="0.2">
      <c r="A659" s="1"/>
      <c r="B659" s="1"/>
      <c r="C659" s="2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6" x14ac:dyDescent="0.2">
      <c r="A660" s="1"/>
      <c r="B660" s="1"/>
      <c r="C660" s="2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6" x14ac:dyDescent="0.2">
      <c r="A661" s="1"/>
      <c r="B661" s="1"/>
      <c r="C661" s="2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6" x14ac:dyDescent="0.2">
      <c r="A662" s="1"/>
      <c r="B662" s="1"/>
      <c r="C662" s="2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6" x14ac:dyDescent="0.2">
      <c r="A663" s="1"/>
      <c r="B663" s="1"/>
      <c r="C663" s="2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6" x14ac:dyDescent="0.2">
      <c r="A664" s="1"/>
      <c r="B664" s="1"/>
      <c r="C664" s="2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6" x14ac:dyDescent="0.2">
      <c r="A665" s="1"/>
      <c r="B665" s="1"/>
      <c r="C665" s="2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6" x14ac:dyDescent="0.2">
      <c r="A666" s="1"/>
      <c r="B666" s="1"/>
      <c r="C666" s="2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6" x14ac:dyDescent="0.2">
      <c r="A667" s="1"/>
      <c r="B667" s="1"/>
      <c r="C667" s="2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6" x14ac:dyDescent="0.2">
      <c r="A668" s="1"/>
      <c r="B668" s="1"/>
      <c r="C668" s="2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6" x14ac:dyDescent="0.2">
      <c r="A669" s="1"/>
      <c r="B669" s="1"/>
      <c r="C669" s="2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6" x14ac:dyDescent="0.2">
      <c r="A670" s="1"/>
      <c r="B670" s="1"/>
      <c r="C670" s="2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6" x14ac:dyDescent="0.2">
      <c r="A671" s="1"/>
      <c r="B671" s="1"/>
      <c r="C671" s="2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6" x14ac:dyDescent="0.2">
      <c r="A672" s="1"/>
      <c r="B672" s="1"/>
      <c r="C672" s="2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6" x14ac:dyDescent="0.2">
      <c r="A673" s="1"/>
      <c r="B673" s="1"/>
      <c r="C673" s="2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6" x14ac:dyDescent="0.2">
      <c r="A674" s="1"/>
      <c r="B674" s="1"/>
      <c r="C674" s="2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6" x14ac:dyDescent="0.2">
      <c r="A675" s="1"/>
      <c r="B675" s="1"/>
      <c r="C675" s="2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6" x14ac:dyDescent="0.2">
      <c r="A676" s="1"/>
      <c r="B676" s="1"/>
      <c r="C676" s="2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6" x14ac:dyDescent="0.2">
      <c r="A677" s="1"/>
      <c r="B677" s="1"/>
      <c r="C677" s="2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6" x14ac:dyDescent="0.2">
      <c r="A678" s="1"/>
      <c r="B678" s="1"/>
      <c r="C678" s="2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6" x14ac:dyDescent="0.2">
      <c r="A679" s="1"/>
      <c r="B679" s="1"/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6" x14ac:dyDescent="0.2">
      <c r="A680" s="1"/>
      <c r="B680" s="1"/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6" x14ac:dyDescent="0.2">
      <c r="A681" s="1"/>
      <c r="B681" s="1"/>
      <c r="C681" s="2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6" x14ac:dyDescent="0.2">
      <c r="A682" s="1"/>
      <c r="B682" s="1"/>
      <c r="C682" s="2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6" x14ac:dyDescent="0.2">
      <c r="A683" s="1"/>
      <c r="B683" s="1"/>
      <c r="C683" s="2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6" x14ac:dyDescent="0.2">
      <c r="A684" s="1"/>
      <c r="B684" s="1"/>
      <c r="C684" s="2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6" x14ac:dyDescent="0.2">
      <c r="A685" s="1"/>
      <c r="B685" s="1"/>
      <c r="C685" s="2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6" x14ac:dyDescent="0.2">
      <c r="A686" s="1"/>
      <c r="B686" s="1"/>
      <c r="C686" s="2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6" x14ac:dyDescent="0.2">
      <c r="A687" s="1"/>
      <c r="B687" s="1"/>
      <c r="C687" s="2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6" x14ac:dyDescent="0.2">
      <c r="A688" s="1"/>
      <c r="B688" s="1"/>
      <c r="C688" s="2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6" x14ac:dyDescent="0.2">
      <c r="A689" s="1"/>
      <c r="B689" s="1"/>
      <c r="C689" s="2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6" x14ac:dyDescent="0.2">
      <c r="A690" s="1"/>
      <c r="B690" s="1"/>
      <c r="C690" s="2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6" x14ac:dyDescent="0.2">
      <c r="A691" s="1"/>
      <c r="B691" s="1"/>
      <c r="C691" s="2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6" x14ac:dyDescent="0.2">
      <c r="A692" s="1"/>
      <c r="B692" s="1"/>
      <c r="C692" s="2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6" x14ac:dyDescent="0.2">
      <c r="A693" s="1"/>
      <c r="B693" s="1"/>
      <c r="C693" s="2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6" x14ac:dyDescent="0.2">
      <c r="A694" s="1"/>
      <c r="B694" s="1"/>
      <c r="C694" s="2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6" x14ac:dyDescent="0.2">
      <c r="A695" s="1"/>
      <c r="B695" s="1"/>
      <c r="C695" s="2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6" x14ac:dyDescent="0.2">
      <c r="A696" s="1"/>
      <c r="B696" s="1"/>
      <c r="C696" s="2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6" x14ac:dyDescent="0.2">
      <c r="A697" s="1"/>
      <c r="B697" s="1"/>
      <c r="C697" s="2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6" x14ac:dyDescent="0.2">
      <c r="A698" s="1"/>
      <c r="B698" s="1"/>
      <c r="C698" s="2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6" x14ac:dyDescent="0.2">
      <c r="A699" s="1"/>
      <c r="B699" s="1"/>
      <c r="C699" s="2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6" x14ac:dyDescent="0.2">
      <c r="A700" s="1"/>
      <c r="B700" s="1"/>
      <c r="C700" s="2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6" x14ac:dyDescent="0.2">
      <c r="A701" s="1"/>
      <c r="B701" s="1"/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6" x14ac:dyDescent="0.2">
      <c r="A702" s="1"/>
      <c r="B702" s="1"/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6" x14ac:dyDescent="0.2">
      <c r="A703" s="1"/>
      <c r="B703" s="1"/>
      <c r="C703" s="2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6" x14ac:dyDescent="0.2">
      <c r="A704" s="1"/>
      <c r="B704" s="1"/>
      <c r="C704" s="2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6" x14ac:dyDescent="0.2">
      <c r="A705" s="1"/>
      <c r="B705" s="1"/>
      <c r="C705" s="2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6" x14ac:dyDescent="0.2">
      <c r="A706" s="1"/>
      <c r="B706" s="1"/>
      <c r="C706" s="2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6" x14ac:dyDescent="0.2">
      <c r="A707" s="1"/>
      <c r="B707" s="1"/>
      <c r="C707" s="2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6" x14ac:dyDescent="0.2">
      <c r="A708" s="1"/>
      <c r="B708" s="1"/>
      <c r="C708" s="2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6" x14ac:dyDescent="0.2">
      <c r="A709" s="1"/>
      <c r="B709" s="1"/>
      <c r="C709" s="2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6" x14ac:dyDescent="0.2">
      <c r="A710" s="1"/>
      <c r="B710" s="1"/>
      <c r="C710" s="2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6" x14ac:dyDescent="0.2">
      <c r="A711" s="1"/>
      <c r="B711" s="1"/>
      <c r="C711" s="2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6" x14ac:dyDescent="0.2">
      <c r="A712" s="1"/>
      <c r="B712" s="1"/>
      <c r="C712" s="2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6" x14ac:dyDescent="0.2">
      <c r="A713" s="1"/>
      <c r="B713" s="1"/>
      <c r="C713" s="2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6" x14ac:dyDescent="0.2">
      <c r="A714" s="1"/>
      <c r="B714" s="1"/>
      <c r="C714" s="2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6" x14ac:dyDescent="0.2">
      <c r="A715" s="1"/>
      <c r="B715" s="1"/>
      <c r="C715" s="2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6" x14ac:dyDescent="0.2">
      <c r="A716" s="1"/>
      <c r="B716" s="1"/>
      <c r="C716" s="2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6" x14ac:dyDescent="0.2">
      <c r="A717" s="1"/>
      <c r="B717" s="1"/>
      <c r="C717" s="2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6" x14ac:dyDescent="0.2">
      <c r="A718" s="1"/>
      <c r="B718" s="1"/>
      <c r="C718" s="2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6" x14ac:dyDescent="0.2">
      <c r="A719" s="1"/>
      <c r="B719" s="1"/>
      <c r="C719" s="2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6" x14ac:dyDescent="0.2">
      <c r="A720" s="1"/>
      <c r="B720" s="1"/>
      <c r="C720" s="2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6" x14ac:dyDescent="0.2">
      <c r="A721" s="1"/>
      <c r="B721" s="1"/>
      <c r="C721" s="2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6" x14ac:dyDescent="0.2">
      <c r="A722" s="1"/>
      <c r="B722" s="1"/>
      <c r="C722" s="2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6" x14ac:dyDescent="0.2">
      <c r="A723" s="1"/>
      <c r="B723" s="1"/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6" x14ac:dyDescent="0.2">
      <c r="A724" s="1"/>
      <c r="B724" s="1"/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6" x14ac:dyDescent="0.2">
      <c r="A725" s="1"/>
      <c r="B725" s="1"/>
      <c r="C725" s="2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6" x14ac:dyDescent="0.2">
      <c r="A726" s="1"/>
      <c r="B726" s="1"/>
      <c r="C726" s="2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6" x14ac:dyDescent="0.2">
      <c r="A727" s="1"/>
      <c r="B727" s="1"/>
      <c r="C727" s="2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6" x14ac:dyDescent="0.2">
      <c r="A728" s="1"/>
      <c r="B728" s="1"/>
      <c r="C728" s="2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6" x14ac:dyDescent="0.2">
      <c r="A729" s="1"/>
      <c r="B729" s="1"/>
      <c r="C729" s="2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6" x14ac:dyDescent="0.2">
      <c r="A730" s="1"/>
      <c r="B730" s="1"/>
      <c r="C730" s="2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6" x14ac:dyDescent="0.2">
      <c r="A731" s="1"/>
      <c r="B731" s="1"/>
      <c r="C731" s="2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6" x14ac:dyDescent="0.2">
      <c r="A732" s="1"/>
      <c r="B732" s="1"/>
      <c r="C732" s="2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6" x14ac:dyDescent="0.2">
      <c r="A733" s="1"/>
      <c r="B733" s="1"/>
      <c r="C733" s="2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6" x14ac:dyDescent="0.2">
      <c r="A734" s="1"/>
      <c r="B734" s="1"/>
      <c r="C734" s="2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6" x14ac:dyDescent="0.2">
      <c r="A735" s="1"/>
      <c r="B735" s="1"/>
      <c r="C735" s="2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6" x14ac:dyDescent="0.2">
      <c r="A736" s="1"/>
      <c r="B736" s="1"/>
      <c r="C736" s="2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6" x14ac:dyDescent="0.2">
      <c r="A737" s="1"/>
      <c r="B737" s="1"/>
      <c r="C737" s="2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6" x14ac:dyDescent="0.2">
      <c r="A738" s="1"/>
      <c r="B738" s="1"/>
      <c r="C738" s="2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6" x14ac:dyDescent="0.2">
      <c r="A739" s="1"/>
      <c r="B739" s="1"/>
      <c r="C739" s="2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6" x14ac:dyDescent="0.2">
      <c r="A740" s="1"/>
      <c r="B740" s="1"/>
      <c r="C740" s="2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6" x14ac:dyDescent="0.2">
      <c r="A741" s="1"/>
      <c r="B741" s="1"/>
      <c r="C741" s="2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6" x14ac:dyDescent="0.2">
      <c r="A742" s="1"/>
      <c r="B742" s="1"/>
      <c r="C742" s="2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6" x14ac:dyDescent="0.2">
      <c r="A743" s="1"/>
      <c r="B743" s="1"/>
      <c r="C743" s="2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6" x14ac:dyDescent="0.2">
      <c r="A744" s="1"/>
      <c r="B744" s="1"/>
      <c r="C744" s="2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6" x14ac:dyDescent="0.2">
      <c r="A745" s="1"/>
      <c r="B745" s="1"/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6" x14ac:dyDescent="0.2">
      <c r="A746" s="1"/>
      <c r="B746" s="1"/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6" x14ac:dyDescent="0.2">
      <c r="A747" s="1"/>
      <c r="B747" s="1"/>
      <c r="C747" s="2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6" x14ac:dyDescent="0.2">
      <c r="A748" s="1"/>
      <c r="B748" s="1"/>
      <c r="C748" s="2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6" x14ac:dyDescent="0.2">
      <c r="A749" s="1"/>
      <c r="B749" s="1"/>
      <c r="C749" s="2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6" x14ac:dyDescent="0.2">
      <c r="A750" s="1"/>
      <c r="B750" s="1"/>
      <c r="C750" s="2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6" x14ac:dyDescent="0.2">
      <c r="A751" s="1"/>
      <c r="B751" s="1"/>
      <c r="C751" s="2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6" x14ac:dyDescent="0.2">
      <c r="A752" s="1"/>
      <c r="B752" s="1"/>
      <c r="C752" s="2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6" x14ac:dyDescent="0.2">
      <c r="A753" s="1"/>
      <c r="B753" s="1"/>
      <c r="C753" s="2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6" x14ac:dyDescent="0.2">
      <c r="A754" s="1"/>
      <c r="B754" s="1"/>
      <c r="C754" s="2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6" x14ac:dyDescent="0.2">
      <c r="A755" s="1"/>
      <c r="B755" s="1"/>
      <c r="C755" s="2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6" x14ac:dyDescent="0.2">
      <c r="A756" s="1"/>
      <c r="B756" s="1"/>
      <c r="C756" s="2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6" x14ac:dyDescent="0.2">
      <c r="A757" s="1"/>
      <c r="B757" s="1"/>
      <c r="C757" s="2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6" x14ac:dyDescent="0.2">
      <c r="A758" s="1"/>
      <c r="B758" s="1"/>
      <c r="C758" s="2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6" x14ac:dyDescent="0.2">
      <c r="A759" s="1"/>
      <c r="B759" s="1"/>
      <c r="C759" s="2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6" x14ac:dyDescent="0.2">
      <c r="A760" s="1"/>
      <c r="B760" s="1"/>
      <c r="C760" s="2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6" x14ac:dyDescent="0.2">
      <c r="A761" s="1"/>
      <c r="B761" s="1"/>
      <c r="C761" s="2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6" x14ac:dyDescent="0.2">
      <c r="A762" s="1"/>
      <c r="B762" s="1"/>
      <c r="C762" s="2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6" x14ac:dyDescent="0.2">
      <c r="A763" s="1"/>
      <c r="B763" s="1"/>
      <c r="C763" s="2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6" x14ac:dyDescent="0.2">
      <c r="A764" s="1"/>
      <c r="B764" s="1"/>
      <c r="C764" s="2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6" x14ac:dyDescent="0.2">
      <c r="A765" s="1"/>
      <c r="B765" s="1"/>
      <c r="C765" s="2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6" x14ac:dyDescent="0.2">
      <c r="A766" s="1"/>
      <c r="B766" s="1"/>
      <c r="C766" s="2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6" x14ac:dyDescent="0.2">
      <c r="A767" s="1"/>
      <c r="B767" s="1"/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6" x14ac:dyDescent="0.2">
      <c r="A768" s="1"/>
      <c r="B768" s="1"/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6" x14ac:dyDescent="0.2">
      <c r="A769" s="1"/>
      <c r="B769" s="1"/>
      <c r="C769" s="2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6" x14ac:dyDescent="0.2">
      <c r="A770" s="1"/>
      <c r="B770" s="1"/>
      <c r="C770" s="2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6" x14ac:dyDescent="0.2">
      <c r="A771" s="1"/>
      <c r="B771" s="1"/>
      <c r="C771" s="2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6" x14ac:dyDescent="0.2">
      <c r="A772" s="1"/>
      <c r="B772" s="1"/>
      <c r="C772" s="2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6" x14ac:dyDescent="0.2">
      <c r="A773" s="1"/>
      <c r="B773" s="1"/>
      <c r="C773" s="2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6" x14ac:dyDescent="0.2">
      <c r="A774" s="1"/>
      <c r="B774" s="1"/>
      <c r="C774" s="2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6" x14ac:dyDescent="0.2">
      <c r="A775" s="1"/>
      <c r="B775" s="1"/>
      <c r="C775" s="2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6" x14ac:dyDescent="0.2">
      <c r="A776" s="1"/>
      <c r="B776" s="1"/>
      <c r="C776" s="2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6" x14ac:dyDescent="0.2">
      <c r="A777" s="1"/>
      <c r="B777" s="1"/>
      <c r="C777" s="2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6" x14ac:dyDescent="0.2">
      <c r="A778" s="1"/>
      <c r="B778" s="1"/>
      <c r="C778" s="2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6" x14ac:dyDescent="0.2">
      <c r="A779" s="1"/>
      <c r="B779" s="1"/>
      <c r="C779" s="2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6" x14ac:dyDescent="0.2">
      <c r="A780" s="1"/>
      <c r="B780" s="1"/>
      <c r="C780" s="2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6" x14ac:dyDescent="0.2">
      <c r="A781" s="1"/>
      <c r="B781" s="1"/>
      <c r="C781" s="2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6" x14ac:dyDescent="0.2">
      <c r="A782" s="1"/>
      <c r="B782" s="1"/>
      <c r="C782" s="2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6" x14ac:dyDescent="0.2">
      <c r="A783" s="1"/>
      <c r="B783" s="1"/>
      <c r="C783" s="2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6" x14ac:dyDescent="0.2">
      <c r="A784" s="1"/>
      <c r="B784" s="1"/>
      <c r="C784" s="2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6" x14ac:dyDescent="0.2">
      <c r="A785" s="1"/>
      <c r="B785" s="1"/>
      <c r="C785" s="2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6" x14ac:dyDescent="0.2">
      <c r="A786" s="1"/>
      <c r="B786" s="1"/>
      <c r="C786" s="2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6" x14ac:dyDescent="0.2">
      <c r="A787" s="1"/>
      <c r="B787" s="1"/>
      <c r="C787" s="2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6" x14ac:dyDescent="0.2">
      <c r="A788" s="1"/>
      <c r="B788" s="1"/>
      <c r="C788" s="2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6" x14ac:dyDescent="0.2">
      <c r="A789" s="1"/>
      <c r="B789" s="1"/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6" x14ac:dyDescent="0.2">
      <c r="A790" s="1"/>
      <c r="B790" s="1"/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6" x14ac:dyDescent="0.2">
      <c r="A791" s="1"/>
      <c r="B791" s="1"/>
      <c r="C791" s="2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6" x14ac:dyDescent="0.2">
      <c r="A792" s="1"/>
      <c r="B792" s="1"/>
      <c r="C792" s="2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6" x14ac:dyDescent="0.2">
      <c r="A793" s="1"/>
      <c r="B793" s="1"/>
      <c r="C793" s="2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6" x14ac:dyDescent="0.2">
      <c r="A794" s="1"/>
      <c r="B794" s="1"/>
      <c r="C794" s="2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6" x14ac:dyDescent="0.2">
      <c r="A795" s="1"/>
      <c r="B795" s="1"/>
      <c r="C795" s="2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6" x14ac:dyDescent="0.2">
      <c r="A796" s="1"/>
      <c r="B796" s="1"/>
      <c r="C796" s="2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6" x14ac:dyDescent="0.2">
      <c r="A797" s="1"/>
      <c r="B797" s="1"/>
      <c r="C797" s="2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6" x14ac:dyDescent="0.2">
      <c r="A798" s="1"/>
      <c r="B798" s="1"/>
      <c r="C798" s="2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6" x14ac:dyDescent="0.2">
      <c r="A799" s="1"/>
      <c r="B799" s="1"/>
      <c r="C799" s="2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6" x14ac:dyDescent="0.2">
      <c r="A800" s="1"/>
      <c r="B800" s="1"/>
      <c r="C800" s="2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6" x14ac:dyDescent="0.2">
      <c r="A801" s="1"/>
      <c r="B801" s="1"/>
      <c r="C801" s="2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6" x14ac:dyDescent="0.2">
      <c r="A802" s="1"/>
      <c r="B802" s="1"/>
      <c r="C802" s="2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6" x14ac:dyDescent="0.2">
      <c r="A803" s="1"/>
      <c r="B803" s="1"/>
      <c r="C803" s="2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6" x14ac:dyDescent="0.2">
      <c r="A804" s="1"/>
      <c r="B804" s="1"/>
      <c r="C804" s="2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6" x14ac:dyDescent="0.2">
      <c r="A805" s="1"/>
      <c r="B805" s="1"/>
      <c r="C805" s="2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6" x14ac:dyDescent="0.2">
      <c r="A806" s="1"/>
      <c r="B806" s="1"/>
      <c r="C806" s="2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6" x14ac:dyDescent="0.2">
      <c r="A807" s="1"/>
      <c r="B807" s="1"/>
      <c r="C807" s="2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6" x14ac:dyDescent="0.2">
      <c r="A808" s="1"/>
      <c r="B808" s="1"/>
      <c r="C808" s="2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6" x14ac:dyDescent="0.2">
      <c r="A809" s="1"/>
      <c r="B809" s="1"/>
      <c r="C809" s="2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6" x14ac:dyDescent="0.2">
      <c r="A810" s="1"/>
      <c r="B810" s="1"/>
      <c r="C810" s="2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6" x14ac:dyDescent="0.2">
      <c r="A811" s="1"/>
      <c r="B811" s="1"/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6" x14ac:dyDescent="0.2">
      <c r="A812" s="1"/>
      <c r="B812" s="1"/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6" x14ac:dyDescent="0.2">
      <c r="A813" s="1"/>
      <c r="B813" s="1"/>
      <c r="C813" s="2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6" x14ac:dyDescent="0.2">
      <c r="A814" s="1"/>
      <c r="B814" s="1"/>
      <c r="C814" s="2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6" x14ac:dyDescent="0.2">
      <c r="A815" s="1"/>
      <c r="B815" s="1"/>
      <c r="C815" s="2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6" x14ac:dyDescent="0.2">
      <c r="A816" s="1"/>
      <c r="B816" s="1"/>
      <c r="C816" s="2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6" x14ac:dyDescent="0.2">
      <c r="A817" s="1"/>
      <c r="B817" s="1"/>
      <c r="C817" s="2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6" x14ac:dyDescent="0.2">
      <c r="A818" s="1"/>
      <c r="B818" s="1"/>
      <c r="C818" s="2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6" x14ac:dyDescent="0.2">
      <c r="A819" s="1"/>
      <c r="B819" s="1"/>
      <c r="C819" s="2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6" x14ac:dyDescent="0.2">
      <c r="A820" s="1"/>
      <c r="B820" s="1"/>
      <c r="C820" s="2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6" x14ac:dyDescent="0.2">
      <c r="A821" s="1"/>
      <c r="B821" s="1"/>
      <c r="C821" s="2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6" x14ac:dyDescent="0.2">
      <c r="A822" s="1"/>
      <c r="B822" s="1"/>
      <c r="C822" s="2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6" x14ac:dyDescent="0.2">
      <c r="A823" s="1"/>
      <c r="B823" s="1"/>
      <c r="C823" s="2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6" x14ac:dyDescent="0.2">
      <c r="A824" s="1"/>
      <c r="B824" s="1"/>
      <c r="C824" s="2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6" x14ac:dyDescent="0.2">
      <c r="A825" s="1"/>
      <c r="B825" s="1"/>
      <c r="C825" s="2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6" x14ac:dyDescent="0.2">
      <c r="A826" s="1"/>
      <c r="B826" s="1"/>
      <c r="C826" s="2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6" x14ac:dyDescent="0.2">
      <c r="A827" s="1"/>
      <c r="B827" s="1"/>
      <c r="C827" s="2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6" x14ac:dyDescent="0.2">
      <c r="A828" s="1"/>
      <c r="B828" s="1"/>
      <c r="C828" s="2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6" x14ac:dyDescent="0.2">
      <c r="A829" s="1"/>
      <c r="B829" s="1"/>
      <c r="C829" s="2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6" x14ac:dyDescent="0.2">
      <c r="A830" s="1"/>
      <c r="B830" s="1"/>
      <c r="C830" s="2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6" x14ac:dyDescent="0.2">
      <c r="A831" s="1"/>
      <c r="B831" s="1"/>
      <c r="C831" s="2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6" x14ac:dyDescent="0.2">
      <c r="A832" s="1"/>
      <c r="B832" s="1"/>
      <c r="C832" s="2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6" x14ac:dyDescent="0.2">
      <c r="A833" s="1"/>
      <c r="B833" s="1"/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6" x14ac:dyDescent="0.2">
      <c r="A834" s="1"/>
      <c r="B834" s="1"/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6" x14ac:dyDescent="0.2">
      <c r="A835" s="1"/>
      <c r="B835" s="1"/>
      <c r="C835" s="2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6" x14ac:dyDescent="0.2">
      <c r="A836" s="1"/>
      <c r="B836" s="1"/>
      <c r="C836" s="2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6" x14ac:dyDescent="0.2">
      <c r="A837" s="1"/>
      <c r="B837" s="1"/>
      <c r="C837" s="2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6" x14ac:dyDescent="0.2">
      <c r="A838" s="1"/>
      <c r="B838" s="1"/>
      <c r="C838" s="2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6" x14ac:dyDescent="0.2">
      <c r="A839" s="1"/>
      <c r="B839" s="1"/>
      <c r="C839" s="2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6" x14ac:dyDescent="0.2">
      <c r="A840" s="1"/>
      <c r="B840" s="1"/>
      <c r="C840" s="2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6" x14ac:dyDescent="0.2">
      <c r="A841" s="1"/>
      <c r="B841" s="1"/>
      <c r="C841" s="2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6" x14ac:dyDescent="0.2">
      <c r="A842" s="1"/>
      <c r="B842" s="1"/>
      <c r="C842" s="2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6" x14ac:dyDescent="0.2">
      <c r="A843" s="1"/>
      <c r="B843" s="1"/>
      <c r="C843" s="2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6" x14ac:dyDescent="0.2">
      <c r="A844" s="1"/>
      <c r="B844" s="1"/>
      <c r="C844" s="2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6" x14ac:dyDescent="0.2">
      <c r="A845" s="1"/>
      <c r="B845" s="1"/>
      <c r="C845" s="2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6" x14ac:dyDescent="0.2">
      <c r="A846" s="1"/>
      <c r="B846" s="1"/>
      <c r="C846" s="2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6" x14ac:dyDescent="0.2">
      <c r="A847" s="1"/>
      <c r="B847" s="1"/>
      <c r="C847" s="2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6" x14ac:dyDescent="0.2">
      <c r="A848" s="1"/>
      <c r="B848" s="1"/>
      <c r="C848" s="2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6" x14ac:dyDescent="0.2">
      <c r="A849" s="1"/>
      <c r="B849" s="1"/>
      <c r="C849" s="2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6" x14ac:dyDescent="0.2">
      <c r="A850" s="1"/>
      <c r="B850" s="1"/>
      <c r="C850" s="2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6" x14ac:dyDescent="0.2">
      <c r="A851" s="1"/>
      <c r="B851" s="1"/>
      <c r="C851" s="2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6" x14ac:dyDescent="0.2">
      <c r="A852" s="1"/>
      <c r="B852" s="1"/>
      <c r="C852" s="2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6" x14ac:dyDescent="0.2">
      <c r="A853" s="1"/>
      <c r="B853" s="1"/>
      <c r="C853" s="2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6" x14ac:dyDescent="0.2">
      <c r="A854" s="1"/>
      <c r="B854" s="1"/>
      <c r="C854" s="2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6" x14ac:dyDescent="0.2">
      <c r="A855" s="1"/>
      <c r="B855" s="1"/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6" x14ac:dyDescent="0.2">
      <c r="A856" s="1"/>
      <c r="B856" s="1"/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6" x14ac:dyDescent="0.2">
      <c r="A857" s="1"/>
      <c r="B857" s="1"/>
      <c r="C857" s="2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6" x14ac:dyDescent="0.2">
      <c r="A858" s="1"/>
      <c r="B858" s="1"/>
      <c r="C858" s="2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6" x14ac:dyDescent="0.2">
      <c r="A859" s="1"/>
      <c r="B859" s="1"/>
      <c r="C859" s="2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6" x14ac:dyDescent="0.2">
      <c r="A860" s="1"/>
      <c r="B860" s="1"/>
      <c r="C860" s="2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6" x14ac:dyDescent="0.2">
      <c r="A861" s="1"/>
      <c r="B861" s="1"/>
      <c r="C861" s="2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6" x14ac:dyDescent="0.2">
      <c r="A862" s="1"/>
      <c r="B862" s="1"/>
      <c r="C862" s="2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6" x14ac:dyDescent="0.2">
      <c r="A863" s="1"/>
      <c r="B863" s="1"/>
      <c r="C863" s="2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6" x14ac:dyDescent="0.2">
      <c r="A864" s="1"/>
      <c r="B864" s="1"/>
      <c r="C864" s="2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6" x14ac:dyDescent="0.2">
      <c r="A865" s="1"/>
      <c r="B865" s="1"/>
      <c r="C865" s="2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6" x14ac:dyDescent="0.2">
      <c r="A866" s="1"/>
      <c r="B866" s="1"/>
      <c r="C866" s="2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6" x14ac:dyDescent="0.2">
      <c r="A867" s="1"/>
      <c r="B867" s="1"/>
      <c r="C867" s="2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6" x14ac:dyDescent="0.2">
      <c r="A868" s="1"/>
      <c r="B868" s="1"/>
      <c r="C868" s="2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6" x14ac:dyDescent="0.2">
      <c r="A869" s="1"/>
      <c r="B869" s="1"/>
      <c r="C869" s="2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6" x14ac:dyDescent="0.2">
      <c r="A870" s="1"/>
      <c r="B870" s="1"/>
      <c r="C870" s="2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6" x14ac:dyDescent="0.2">
      <c r="A871" s="1"/>
      <c r="B871" s="1"/>
      <c r="C871" s="2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6" x14ac:dyDescent="0.2">
      <c r="A872" s="1"/>
      <c r="B872" s="1"/>
      <c r="C872" s="2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6" x14ac:dyDescent="0.2">
      <c r="A873" s="1"/>
      <c r="B873" s="1"/>
      <c r="C873" s="2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6" x14ac:dyDescent="0.2">
      <c r="A874" s="1"/>
      <c r="B874" s="1"/>
      <c r="C874" s="2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6" x14ac:dyDescent="0.2">
      <c r="A875" s="1"/>
      <c r="B875" s="1"/>
      <c r="C875" s="2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6" x14ac:dyDescent="0.2">
      <c r="A876" s="1"/>
      <c r="B876" s="1"/>
      <c r="C876" s="2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6" x14ac:dyDescent="0.2">
      <c r="A877" s="1"/>
      <c r="B877" s="1"/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6" x14ac:dyDescent="0.2">
      <c r="A878" s="1"/>
      <c r="B878" s="1"/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6" x14ac:dyDescent="0.2">
      <c r="A879" s="1"/>
      <c r="B879" s="1"/>
      <c r="C879" s="2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6" x14ac:dyDescent="0.2">
      <c r="A880" s="1"/>
      <c r="B880" s="1"/>
      <c r="C880" s="2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6" x14ac:dyDescent="0.2">
      <c r="A881" s="1"/>
      <c r="B881" s="1"/>
      <c r="C881" s="2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6" x14ac:dyDescent="0.2">
      <c r="A882" s="1"/>
      <c r="B882" s="1"/>
      <c r="C882" s="2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6" x14ac:dyDescent="0.2">
      <c r="A883" s="1"/>
      <c r="B883" s="1"/>
      <c r="C883" s="2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6" x14ac:dyDescent="0.2">
      <c r="A884" s="1"/>
      <c r="B884" s="1"/>
      <c r="C884" s="2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6" x14ac:dyDescent="0.2">
      <c r="A885" s="1"/>
      <c r="B885" s="1"/>
      <c r="C885" s="2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6" x14ac:dyDescent="0.2">
      <c r="A886" s="1"/>
      <c r="B886" s="1"/>
      <c r="C886" s="2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6" x14ac:dyDescent="0.2">
      <c r="A887" s="1"/>
      <c r="B887" s="1"/>
      <c r="C887" s="2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6" x14ac:dyDescent="0.2">
      <c r="A888" s="1"/>
      <c r="B888" s="1"/>
      <c r="C888" s="2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6" x14ac:dyDescent="0.2">
      <c r="A889" s="1"/>
      <c r="B889" s="1"/>
      <c r="C889" s="2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6" x14ac:dyDescent="0.2">
      <c r="A890" s="1"/>
      <c r="B890" s="1"/>
      <c r="C890" s="2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6" x14ac:dyDescent="0.2">
      <c r="A891" s="1"/>
      <c r="B891" s="1"/>
      <c r="C891" s="2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6" x14ac:dyDescent="0.2">
      <c r="A892" s="1"/>
      <c r="B892" s="1"/>
      <c r="C892" s="2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6" x14ac:dyDescent="0.2">
      <c r="A893" s="1"/>
      <c r="B893" s="1"/>
      <c r="C893" s="2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6" x14ac:dyDescent="0.2">
      <c r="A894" s="1"/>
      <c r="B894" s="1"/>
      <c r="C894" s="2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6" x14ac:dyDescent="0.2">
      <c r="A895" s="1"/>
      <c r="B895" s="1"/>
      <c r="C895" s="2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6" x14ac:dyDescent="0.2">
      <c r="A896" s="1"/>
      <c r="B896" s="1"/>
      <c r="C896" s="2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6" x14ac:dyDescent="0.2">
      <c r="A897" s="1"/>
      <c r="B897" s="1"/>
      <c r="C897" s="2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6" x14ac:dyDescent="0.2">
      <c r="A898" s="1"/>
      <c r="B898" s="1"/>
      <c r="C898" s="2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6" x14ac:dyDescent="0.2">
      <c r="A899" s="1"/>
      <c r="B899" s="1"/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6" x14ac:dyDescent="0.2">
      <c r="A900" s="1"/>
      <c r="B900" s="1"/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6" x14ac:dyDescent="0.2">
      <c r="A901" s="1"/>
      <c r="B901" s="1"/>
      <c r="C901" s="2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6" x14ac:dyDescent="0.2">
      <c r="A902" s="1"/>
      <c r="B902" s="1"/>
      <c r="C902" s="2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6" x14ac:dyDescent="0.2">
      <c r="A903" s="1"/>
      <c r="B903" s="1"/>
      <c r="C903" s="2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6" x14ac:dyDescent="0.2">
      <c r="A904" s="1"/>
      <c r="B904" s="1"/>
      <c r="C904" s="2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6" x14ac:dyDescent="0.2">
      <c r="A905" s="1"/>
      <c r="B905" s="1"/>
      <c r="C905" s="2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6" x14ac:dyDescent="0.2">
      <c r="A906" s="1"/>
      <c r="B906" s="1"/>
      <c r="C906" s="2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6" x14ac:dyDescent="0.2">
      <c r="A907" s="1"/>
      <c r="B907" s="1"/>
      <c r="C907" s="2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6" x14ac:dyDescent="0.2">
      <c r="A908" s="1"/>
      <c r="B908" s="1"/>
      <c r="C908" s="2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6" x14ac:dyDescent="0.2">
      <c r="A909" s="1"/>
      <c r="B909" s="1"/>
      <c r="C909" s="2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6" x14ac:dyDescent="0.2">
      <c r="A910" s="1"/>
      <c r="B910" s="1"/>
      <c r="C910" s="2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6" x14ac:dyDescent="0.2">
      <c r="A911" s="1"/>
      <c r="B911" s="1"/>
      <c r="C911" s="2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6" x14ac:dyDescent="0.2">
      <c r="A912" s="1"/>
      <c r="B912" s="1"/>
      <c r="C912" s="2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6" x14ac:dyDescent="0.2">
      <c r="A913" s="1"/>
      <c r="B913" s="1"/>
      <c r="C913" s="2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6" x14ac:dyDescent="0.2">
      <c r="A914" s="1"/>
      <c r="B914" s="1"/>
      <c r="C914" s="2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6" x14ac:dyDescent="0.2">
      <c r="A915" s="1"/>
      <c r="B915" s="1"/>
      <c r="C915" s="2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6" x14ac:dyDescent="0.2">
      <c r="A916" s="1"/>
      <c r="B916" s="1"/>
      <c r="C916" s="2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6" x14ac:dyDescent="0.2">
      <c r="A917" s="1"/>
      <c r="B917" s="1"/>
      <c r="C917" s="2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6" x14ac:dyDescent="0.2">
      <c r="A918" s="1"/>
      <c r="B918" s="1"/>
      <c r="C918" s="2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6" x14ac:dyDescent="0.2">
      <c r="A919" s="1"/>
      <c r="B919" s="1"/>
      <c r="C919" s="2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6" x14ac:dyDescent="0.2">
      <c r="A920" s="1"/>
      <c r="B920" s="1"/>
      <c r="C920" s="2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6" x14ac:dyDescent="0.2">
      <c r="A921" s="1"/>
      <c r="B921" s="1"/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6" x14ac:dyDescent="0.2">
      <c r="A922" s="1"/>
      <c r="B922" s="1"/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6" x14ac:dyDescent="0.2">
      <c r="A923" s="1"/>
      <c r="B923" s="1"/>
      <c r="C923" s="2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6" x14ac:dyDescent="0.2">
      <c r="A924" s="1"/>
      <c r="B924" s="1"/>
      <c r="C924" s="2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6" x14ac:dyDescent="0.2">
      <c r="A925" s="1"/>
      <c r="B925" s="1"/>
      <c r="C925" s="2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6" x14ac:dyDescent="0.2">
      <c r="A926" s="1"/>
      <c r="B926" s="1"/>
      <c r="C926" s="2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6" x14ac:dyDescent="0.2">
      <c r="A927" s="1"/>
      <c r="B927" s="1"/>
      <c r="C927" s="2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6" x14ac:dyDescent="0.2">
      <c r="A928" s="1"/>
      <c r="B928" s="1"/>
      <c r="C928" s="2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6" x14ac:dyDescent="0.2">
      <c r="A929" s="1"/>
      <c r="B929" s="1"/>
      <c r="C929" s="2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6" x14ac:dyDescent="0.2">
      <c r="A930" s="1"/>
      <c r="B930" s="1"/>
      <c r="C930" s="2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6" x14ac:dyDescent="0.2">
      <c r="A931" s="1"/>
      <c r="B931" s="1"/>
      <c r="C931" s="2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6" x14ac:dyDescent="0.2">
      <c r="A932" s="1"/>
      <c r="B932" s="1"/>
      <c r="C932" s="2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6" x14ac:dyDescent="0.2">
      <c r="A933" s="1"/>
      <c r="B933" s="1"/>
      <c r="C933" s="2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6" x14ac:dyDescent="0.2">
      <c r="A934" s="1"/>
      <c r="B934" s="1"/>
      <c r="C934" s="2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6" x14ac:dyDescent="0.2">
      <c r="A935" s="1"/>
      <c r="B935" s="1"/>
      <c r="C935" s="2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6" x14ac:dyDescent="0.2">
      <c r="A936" s="1"/>
      <c r="B936" s="1"/>
      <c r="C936" s="2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6" x14ac:dyDescent="0.2">
      <c r="A937" s="1"/>
      <c r="B937" s="1"/>
      <c r="C937" s="2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6" x14ac:dyDescent="0.2">
      <c r="A938" s="1"/>
      <c r="B938" s="1"/>
      <c r="C938" s="2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6" x14ac:dyDescent="0.2">
      <c r="A939" s="1"/>
      <c r="B939" s="1"/>
      <c r="C939" s="2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6" x14ac:dyDescent="0.2">
      <c r="A940" s="1"/>
      <c r="B940" s="1"/>
      <c r="C940" s="2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6" x14ac:dyDescent="0.2">
      <c r="A941" s="1"/>
      <c r="B941" s="1"/>
      <c r="C941" s="2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6" x14ac:dyDescent="0.2">
      <c r="A942" s="1"/>
      <c r="B942" s="1"/>
      <c r="C942" s="2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6" x14ac:dyDescent="0.2">
      <c r="A943" s="1"/>
      <c r="B943" s="1"/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6" x14ac:dyDescent="0.2">
      <c r="A944" s="1"/>
      <c r="B944" s="1"/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6" x14ac:dyDescent="0.2">
      <c r="A945" s="1"/>
      <c r="B945" s="1"/>
      <c r="C945" s="2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6" x14ac:dyDescent="0.2">
      <c r="A946" s="1"/>
      <c r="B946" s="1"/>
      <c r="C946" s="2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6" x14ac:dyDescent="0.2">
      <c r="A947" s="1"/>
      <c r="B947" s="1"/>
      <c r="C947" s="2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6" x14ac:dyDescent="0.2">
      <c r="A948" s="1"/>
      <c r="B948" s="1"/>
      <c r="C948" s="2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6" x14ac:dyDescent="0.2">
      <c r="A949" s="1"/>
      <c r="B949" s="1"/>
      <c r="C949" s="2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6" x14ac:dyDescent="0.2">
      <c r="A950" s="1"/>
      <c r="B950" s="1"/>
      <c r="C950" s="2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6" x14ac:dyDescent="0.2">
      <c r="A951" s="1"/>
      <c r="B951" s="1"/>
      <c r="C951" s="2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6" x14ac:dyDescent="0.2">
      <c r="A952" s="1"/>
      <c r="B952" s="1"/>
      <c r="C952" s="2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6" x14ac:dyDescent="0.2">
      <c r="A953" s="1"/>
      <c r="B953" s="1"/>
      <c r="C953" s="2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6" x14ac:dyDescent="0.2">
      <c r="A954" s="1"/>
      <c r="B954" s="1"/>
      <c r="C954" s="2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6" x14ac:dyDescent="0.2">
      <c r="A955" s="1"/>
      <c r="B955" s="1"/>
      <c r="C955" s="2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6" x14ac:dyDescent="0.2">
      <c r="A956" s="1"/>
      <c r="B956" s="1"/>
      <c r="C956" s="2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6" x14ac:dyDescent="0.2">
      <c r="A957" s="1"/>
      <c r="B957" s="1"/>
      <c r="C957" s="2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6" x14ac:dyDescent="0.2">
      <c r="A958" s="1"/>
      <c r="B958" s="1"/>
      <c r="C958" s="2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6" x14ac:dyDescent="0.2">
      <c r="A959" s="1"/>
      <c r="B959" s="1"/>
      <c r="C959" s="2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6" x14ac:dyDescent="0.2">
      <c r="A960" s="1"/>
      <c r="B960" s="1"/>
      <c r="C960" s="2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6" x14ac:dyDescent="0.2">
      <c r="A961" s="1"/>
      <c r="B961" s="1"/>
      <c r="C961" s="2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6" x14ac:dyDescent="0.2">
      <c r="A962" s="1"/>
      <c r="B962" s="1"/>
      <c r="C962" s="2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6" x14ac:dyDescent="0.2">
      <c r="A963" s="1"/>
      <c r="B963" s="1"/>
      <c r="C963" s="2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6" x14ac:dyDescent="0.2">
      <c r="A964" s="1"/>
      <c r="B964" s="1"/>
      <c r="C964" s="2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6" x14ac:dyDescent="0.2">
      <c r="A965" s="1"/>
      <c r="B965" s="1"/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6" x14ac:dyDescent="0.2">
      <c r="A966" s="1"/>
      <c r="B966" s="1"/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</sheetData>
  <mergeCells count="2">
    <mergeCell ref="D1:H1"/>
    <mergeCell ref="A1:C2"/>
  </mergeCells>
  <conditionalFormatting sqref="D3:R3">
    <cfRule type="containsText" dxfId="1" priority="1" operator="containsText" text="OK">
      <formula>NOT(ISERROR(SEARCH(("OK"),(D3))))</formula>
    </cfRule>
    <cfRule type="containsText" dxfId="0" priority="2" operator="containsText" text="ERROR">
      <formula>NOT(ISERROR(SEARCH(("ERROR"),(D3))))</formula>
    </cfRule>
  </conditionalFormatting>
  <pageMargins left="0.70866141732283472" right="0.70866141732283472" top="0.74803149606299213" bottom="0.74803149606299213" header="0" footer="0"/>
  <pageSetup scale="78" orientation="landscape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F0D2C-E1B7-274B-8202-CCFF3470F094}">
  <dimension ref="A1:M46"/>
  <sheetViews>
    <sheetView showGridLines="0" zoomScale="133" zoomScaleNormal="150" workbookViewId="0">
      <selection activeCell="B10" sqref="B10:B12"/>
    </sheetView>
  </sheetViews>
  <sheetFormatPr baseColWidth="10" defaultColWidth="11.5" defaultRowHeight="15" outlineLevelRow="1" x14ac:dyDescent="0.2"/>
  <cols>
    <col min="1" max="1" width="39" style="83" bestFit="1" customWidth="1"/>
    <col min="2" max="3" width="11" style="83" bestFit="1" customWidth="1"/>
    <col min="4" max="4" width="18.33203125" style="83" bestFit="1" customWidth="1"/>
    <col min="5" max="6" width="13.1640625" style="83" bestFit="1" customWidth="1"/>
    <col min="7" max="7" width="16.33203125" style="83" bestFit="1" customWidth="1"/>
    <col min="8" max="8" width="17.83203125" style="83" bestFit="1" customWidth="1"/>
    <col min="9" max="10" width="19.83203125" style="83" bestFit="1" customWidth="1"/>
    <col min="11" max="11" width="18.83203125" style="83" bestFit="1" customWidth="1"/>
    <col min="12" max="13" width="17.83203125" style="83" bestFit="1" customWidth="1"/>
  </cols>
  <sheetData>
    <row r="1" spans="1:13" x14ac:dyDescent="0.2">
      <c r="A1" s="387" t="s">
        <v>74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</row>
    <row r="2" spans="1:13" s="121" customFormat="1" x14ac:dyDescent="0.2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</row>
    <row r="3" spans="1:13" x14ac:dyDescent="0.2">
      <c r="A3" s="94" t="s">
        <v>75</v>
      </c>
      <c r="B3" s="80">
        <v>2016</v>
      </c>
      <c r="C3" s="80">
        <f t="shared" ref="C3:J3" si="0">B3+1</f>
        <v>2017</v>
      </c>
      <c r="D3" s="80">
        <f t="shared" si="0"/>
        <v>2018</v>
      </c>
      <c r="E3" s="80">
        <f t="shared" si="0"/>
        <v>2019</v>
      </c>
      <c r="F3" s="80">
        <f t="shared" si="0"/>
        <v>2020</v>
      </c>
      <c r="G3" s="80">
        <f t="shared" si="0"/>
        <v>2021</v>
      </c>
      <c r="H3" s="80">
        <f t="shared" si="0"/>
        <v>2022</v>
      </c>
      <c r="I3" s="80">
        <f t="shared" si="0"/>
        <v>2023</v>
      </c>
      <c r="J3" s="80">
        <f t="shared" si="0"/>
        <v>2024</v>
      </c>
      <c r="K3" s="80">
        <v>2025</v>
      </c>
      <c r="L3" s="84"/>
      <c r="M3" s="84"/>
    </row>
    <row r="4" spans="1:13" ht="16" x14ac:dyDescent="0.2">
      <c r="A4" s="95" t="s">
        <v>76</v>
      </c>
      <c r="B4" s="93">
        <v>246</v>
      </c>
      <c r="C4" s="93">
        <v>211</v>
      </c>
      <c r="D4" s="93">
        <v>197</v>
      </c>
      <c r="E4" s="93">
        <v>264</v>
      </c>
      <c r="F4" s="93">
        <v>238</v>
      </c>
      <c r="G4" s="93" cm="1">
        <f t="array" ref="G4:J4">'Three Statement Model'!D161:G161</f>
        <v>117</v>
      </c>
      <c r="H4" s="93">
        <v>178</v>
      </c>
      <c r="I4" s="93">
        <v>355</v>
      </c>
      <c r="J4" s="93">
        <v>278</v>
      </c>
      <c r="K4" s="93">
        <f>0.4*'Three Statement Model'!H161</f>
        <v>92</v>
      </c>
    </row>
    <row r="5" spans="1:13" ht="16" x14ac:dyDescent="0.2">
      <c r="A5" s="95" t="s">
        <v>77</v>
      </c>
      <c r="B5" s="93">
        <v>47</v>
      </c>
      <c r="C5" s="93">
        <v>40</v>
      </c>
      <c r="D5" s="93">
        <v>66</v>
      </c>
      <c r="E5" s="93">
        <v>107</v>
      </c>
      <c r="F5" s="93">
        <v>74</v>
      </c>
      <c r="G5" s="93">
        <v>57</v>
      </c>
      <c r="H5" s="93">
        <v>10</v>
      </c>
      <c r="I5" s="93">
        <v>35</v>
      </c>
      <c r="J5" s="93">
        <v>21</v>
      </c>
      <c r="K5" s="93">
        <f>0.4*'Three Statement Model'!H167</f>
        <v>15.200000000000001</v>
      </c>
    </row>
    <row r="6" spans="1:13" ht="16" x14ac:dyDescent="0.2">
      <c r="A6" s="95" t="s">
        <v>78</v>
      </c>
      <c r="B6" s="93">
        <v>356</v>
      </c>
      <c r="C6" s="93">
        <v>347</v>
      </c>
      <c r="D6" s="93">
        <v>425</v>
      </c>
      <c r="E6" s="93">
        <v>448</v>
      </c>
      <c r="F6" s="93">
        <v>431</v>
      </c>
      <c r="G6" s="93">
        <v>539</v>
      </c>
      <c r="H6" s="93">
        <v>549</v>
      </c>
      <c r="I6" s="93">
        <v>540</v>
      </c>
      <c r="J6" s="93">
        <v>496</v>
      </c>
      <c r="K6" s="93">
        <f>0.4*'Three Statement Model'!H154</f>
        <v>175.20000000000002</v>
      </c>
    </row>
    <row r="7" spans="1:13" ht="16" hidden="1" outlineLevel="1" x14ac:dyDescent="0.2">
      <c r="A7" s="87" t="s">
        <v>79</v>
      </c>
      <c r="B7" s="88">
        <f t="shared" ref="B7:J7" si="1">C7+1</f>
        <v>10</v>
      </c>
      <c r="C7" s="88">
        <f t="shared" si="1"/>
        <v>9</v>
      </c>
      <c r="D7" s="88">
        <f t="shared" si="1"/>
        <v>8</v>
      </c>
      <c r="E7" s="88">
        <f t="shared" si="1"/>
        <v>7</v>
      </c>
      <c r="F7" s="88">
        <f t="shared" si="1"/>
        <v>6</v>
      </c>
      <c r="G7" s="88">
        <f t="shared" si="1"/>
        <v>5</v>
      </c>
      <c r="H7" s="88">
        <f t="shared" si="1"/>
        <v>4</v>
      </c>
      <c r="I7" s="88">
        <f t="shared" si="1"/>
        <v>3</v>
      </c>
      <c r="J7" s="88">
        <f t="shared" si="1"/>
        <v>2</v>
      </c>
      <c r="K7" s="88">
        <v>1</v>
      </c>
    </row>
    <row r="8" spans="1:13" collapsed="1" x14ac:dyDescent="0.2">
      <c r="F8" s="86"/>
      <c r="G8" s="86"/>
      <c r="H8" s="86"/>
      <c r="I8" s="86"/>
      <c r="K8" s="86"/>
    </row>
    <row r="9" spans="1:13" x14ac:dyDescent="0.2">
      <c r="A9" s="387" t="s">
        <v>80</v>
      </c>
      <c r="B9" s="387"/>
      <c r="F9" s="86"/>
      <c r="G9" s="86"/>
      <c r="H9" s="86"/>
      <c r="I9" s="86"/>
      <c r="K9" s="86"/>
    </row>
    <row r="10" spans="1:13" ht="16" x14ac:dyDescent="0.2">
      <c r="A10" s="80" t="s">
        <v>81</v>
      </c>
      <c r="B10" s="89">
        <v>6.5</v>
      </c>
      <c r="C10" s="90"/>
    </row>
    <row r="11" spans="1:13" ht="16" x14ac:dyDescent="0.2">
      <c r="A11" s="80" t="s">
        <v>82</v>
      </c>
      <c r="B11" s="89">
        <v>7.5</v>
      </c>
      <c r="F11" s="86"/>
      <c r="G11" s="86"/>
      <c r="H11" s="86"/>
      <c r="I11" s="86"/>
    </row>
    <row r="12" spans="1:13" ht="16" x14ac:dyDescent="0.2">
      <c r="A12" s="80" t="s">
        <v>83</v>
      </c>
      <c r="B12" s="89">
        <v>4.5</v>
      </c>
    </row>
    <row r="14" spans="1:13" x14ac:dyDescent="0.2">
      <c r="A14" s="387" t="s">
        <v>84</v>
      </c>
      <c r="B14" s="387"/>
    </row>
    <row r="15" spans="1:13" x14ac:dyDescent="0.2">
      <c r="A15" s="80" t="s">
        <v>85</v>
      </c>
      <c r="B15" s="81">
        <f>SUMIF($B$7:$K$7,"&lt;"&amp;ROUND(B10,0)+1,B4:K4)/B10</f>
        <v>234.15384615384616</v>
      </c>
    </row>
    <row r="16" spans="1:13" ht="16" x14ac:dyDescent="0.2">
      <c r="A16" s="80" t="s">
        <v>86</v>
      </c>
      <c r="B16" s="81">
        <f>SUMIF($B$7:$K$7,"&lt;"&amp;ROUND(B11,0)+1,B5:K5)/B11</f>
        <v>51.36</v>
      </c>
      <c r="C16" s="91"/>
      <c r="D16" s="92"/>
    </row>
    <row r="17" spans="1:13" ht="16" x14ac:dyDescent="0.2">
      <c r="A17" s="80" t="s">
        <v>87</v>
      </c>
      <c r="B17" s="81">
        <f>SUMIF($B$7:$K$7,"&lt;"&amp;ROUND(B12,0)+1,B6:K6)/B12</f>
        <v>510.93333333333328</v>
      </c>
      <c r="C17" s="91"/>
      <c r="D17" s="92"/>
    </row>
    <row r="18" spans="1:13" ht="16" x14ac:dyDescent="0.2">
      <c r="A18" s="80" t="s">
        <v>88</v>
      </c>
      <c r="B18" s="81">
        <f>SUM(B15:B17)</f>
        <v>796.44717948717948</v>
      </c>
      <c r="C18" s="91"/>
    </row>
    <row r="19" spans="1:13" ht="16" x14ac:dyDescent="0.2">
      <c r="A19" s="80" t="s">
        <v>89</v>
      </c>
      <c r="B19" s="82">
        <f>B18/'Three Statement Model'!H106-1</f>
        <v>-8.0315035234203802E-2</v>
      </c>
      <c r="C19" s="91"/>
    </row>
    <row r="20" spans="1:13" ht="16" x14ac:dyDescent="0.2">
      <c r="B20" s="91"/>
      <c r="C20" s="91"/>
    </row>
    <row r="21" spans="1:13" ht="16" customHeight="1" x14ac:dyDescent="0.2">
      <c r="A21" s="387" t="s">
        <v>90</v>
      </c>
      <c r="B21" s="387"/>
      <c r="C21" s="387"/>
      <c r="D21" s="387"/>
      <c r="E21" s="387"/>
      <c r="F21" s="387"/>
      <c r="G21" s="387"/>
      <c r="H21" s="387"/>
      <c r="I21" s="387"/>
      <c r="J21" s="387"/>
      <c r="K21" s="387"/>
      <c r="L21" s="387"/>
      <c r="M21" s="387"/>
    </row>
    <row r="22" spans="1:13" x14ac:dyDescent="0.2">
      <c r="B22" s="92"/>
    </row>
    <row r="23" spans="1:13" x14ac:dyDescent="0.2">
      <c r="A23" s="96" t="s">
        <v>91</v>
      </c>
      <c r="B23" s="80">
        <v>2014</v>
      </c>
      <c r="C23" s="80">
        <f t="shared" ref="C23" si="2">B23+1</f>
        <v>2015</v>
      </c>
      <c r="D23" s="80">
        <f t="shared" ref="D23" si="3">C23+1</f>
        <v>2016</v>
      </c>
      <c r="E23" s="80">
        <f t="shared" ref="E23" si="4">D23+1</f>
        <v>2017</v>
      </c>
      <c r="F23" s="80">
        <f t="shared" ref="F23" si="5">E23+1</f>
        <v>2018</v>
      </c>
      <c r="G23" s="80">
        <f t="shared" ref="G23" si="6">F23+1</f>
        <v>2019</v>
      </c>
      <c r="H23" s="80">
        <f t="shared" ref="H23" si="7">G23+1</f>
        <v>2020</v>
      </c>
      <c r="I23" s="80">
        <f t="shared" ref="I23" si="8">H23+1</f>
        <v>2021</v>
      </c>
      <c r="J23" s="80">
        <f t="shared" ref="J23" si="9">I23+1</f>
        <v>2022</v>
      </c>
      <c r="K23" s="80">
        <f t="shared" ref="K23" si="10">J23+1</f>
        <v>2023</v>
      </c>
      <c r="L23" s="80">
        <f t="shared" ref="L23" si="11">K23+1</f>
        <v>2024</v>
      </c>
      <c r="M23" s="80">
        <f t="shared" ref="M23" si="12">L23+1</f>
        <v>2025</v>
      </c>
    </row>
    <row r="24" spans="1:13" ht="16" hidden="1" outlineLevel="1" x14ac:dyDescent="0.2">
      <c r="A24" s="95" t="s">
        <v>92</v>
      </c>
      <c r="B24" s="89">
        <v>692</v>
      </c>
      <c r="C24" s="89">
        <v>656</v>
      </c>
      <c r="D24" s="89">
        <v>657</v>
      </c>
      <c r="E24" s="89">
        <v>654</v>
      </c>
      <c r="F24" s="89">
        <v>683</v>
      </c>
      <c r="G24" s="89">
        <v>770</v>
      </c>
      <c r="H24" s="89">
        <v>812</v>
      </c>
      <c r="I24" s="89" cm="1">
        <f t="array" ref="I24:M24">-'Three Statement Model'!D44:H44</f>
        <v>839</v>
      </c>
      <c r="J24" s="89">
        <v>869</v>
      </c>
      <c r="K24" s="89">
        <v>918</v>
      </c>
      <c r="L24" s="89">
        <v>923</v>
      </c>
      <c r="M24" s="89">
        <v>866</v>
      </c>
    </row>
    <row r="25" spans="1:13" ht="16" hidden="1" outlineLevel="1" x14ac:dyDescent="0.2">
      <c r="A25" s="95" t="s">
        <v>93</v>
      </c>
      <c r="B25" s="89">
        <v>8106</v>
      </c>
      <c r="C25" s="89">
        <v>7592</v>
      </c>
      <c r="D25" s="89">
        <v>7618</v>
      </c>
      <c r="E25" s="89">
        <v>7547</v>
      </c>
      <c r="F25" s="89">
        <v>8023</v>
      </c>
      <c r="G25" s="89">
        <v>8015</v>
      </c>
      <c r="H25" s="89">
        <v>7998</v>
      </c>
      <c r="I25" s="89">
        <v>7928</v>
      </c>
      <c r="J25" s="89">
        <v>8635</v>
      </c>
      <c r="K25" s="89">
        <v>7970</v>
      </c>
      <c r="L25" s="89">
        <v>7876</v>
      </c>
      <c r="M25" s="89">
        <v>7651</v>
      </c>
    </row>
    <row r="26" spans="1:13" ht="16" collapsed="1" x14ac:dyDescent="0.2">
      <c r="A26" s="95" t="s">
        <v>94</v>
      </c>
      <c r="B26" s="97">
        <f t="shared" ref="B26:M26" si="13">B25-B24</f>
        <v>7414</v>
      </c>
      <c r="C26" s="97">
        <f t="shared" si="13"/>
        <v>6936</v>
      </c>
      <c r="D26" s="97">
        <f t="shared" si="13"/>
        <v>6961</v>
      </c>
      <c r="E26" s="97">
        <f t="shared" si="13"/>
        <v>6893</v>
      </c>
      <c r="F26" s="97">
        <f t="shared" si="13"/>
        <v>7340</v>
      </c>
      <c r="G26" s="97">
        <f t="shared" si="13"/>
        <v>7245</v>
      </c>
      <c r="H26" s="97">
        <f t="shared" si="13"/>
        <v>7186</v>
      </c>
      <c r="I26" s="97">
        <f t="shared" si="13"/>
        <v>7089</v>
      </c>
      <c r="J26" s="97">
        <f t="shared" si="13"/>
        <v>7766</v>
      </c>
      <c r="K26" s="97">
        <f t="shared" si="13"/>
        <v>7052</v>
      </c>
      <c r="L26" s="97">
        <f t="shared" si="13"/>
        <v>6953</v>
      </c>
      <c r="M26" s="97">
        <f t="shared" si="13"/>
        <v>6785</v>
      </c>
    </row>
    <row r="27" spans="1:13" ht="16" x14ac:dyDescent="0.2">
      <c r="A27" s="95" t="s">
        <v>95</v>
      </c>
      <c r="B27" s="89">
        <v>42140</v>
      </c>
      <c r="C27" s="89">
        <v>40339</v>
      </c>
      <c r="D27" s="89">
        <v>39528</v>
      </c>
      <c r="E27" s="89">
        <v>39403</v>
      </c>
      <c r="F27" s="89">
        <v>42151</v>
      </c>
      <c r="G27" s="89">
        <v>42879</v>
      </c>
      <c r="H27" s="89">
        <v>43638</v>
      </c>
      <c r="I27" s="89" cm="1">
        <f t="array" ref="I27:M27">'Three Statement Model'!D35:H35</f>
        <v>47262</v>
      </c>
      <c r="J27" s="89">
        <v>51761</v>
      </c>
      <c r="K27" s="89">
        <v>46298</v>
      </c>
      <c r="L27" s="89">
        <v>43452</v>
      </c>
      <c r="M27" s="89">
        <v>41528</v>
      </c>
    </row>
    <row r="28" spans="1:13" x14ac:dyDescent="0.2">
      <c r="A28" s="95" t="s">
        <v>96</v>
      </c>
      <c r="B28" s="98"/>
      <c r="C28" s="98"/>
      <c r="D28" s="104">
        <f>(C26-INTERCEPT($B$26:C26,$B$27:C27))/C27*D27+INTERCEPT($B$26:C26,$B$27:C27)</f>
        <v>6720.754025541366</v>
      </c>
      <c r="E28" s="104">
        <f>(D26-INTERCEPT($B$26:D26,$B$27:D27))/D27*E27+INTERCEPT($B$26:D26,$B$27:D27)</f>
        <v>6937.1798452699823</v>
      </c>
      <c r="F28" s="104">
        <f>(E26-INTERCEPT($B$26:E26,$B$27:E27))/E27*F27+INTERCEPT($B$26:E26,$B$27:E27)</f>
        <v>7397.2816629577947</v>
      </c>
      <c r="G28" s="104">
        <f>(F26-INTERCEPT($B$26:F26,$B$27:F27))/F27*G27+INTERCEPT($B$26:F26,$B$27:F27)</f>
        <v>7467.2056805093307</v>
      </c>
      <c r="H28" s="104">
        <f>(G26-INTERCEPT($B$26:G26,$B$27:G27))/G27*H27+INTERCEPT($B$26:G26,$B$27:G27)</f>
        <v>7346.0621667443465</v>
      </c>
      <c r="I28" s="104">
        <f>(H26-INTERCEPT($B$26:H26,$B$27:H27))/H27*I27+INTERCEPT($B$26:H26,$B$27:H27)</f>
        <v>7526.8447216583809</v>
      </c>
      <c r="J28" s="104">
        <f>(I26-INTERCEPT($B$26:I26,$B$27:I27))/I27*J27+INTERCEPT($B$26:I26,$B$27:I27)</f>
        <v>7205.4671642006642</v>
      </c>
      <c r="K28" s="104">
        <f>(J26-INTERCEPT($B$26:J26,$B$27:J27))/J27*K27+INTERCEPT($B$26:J26,$B$27:J27)</f>
        <v>7465.0069484424967</v>
      </c>
      <c r="L28" s="104">
        <f>(K26-INTERCEPT($B$26:K26,$B$27:K27))/K27*L27+INTERCEPT($B$26:K26,$B$27:K27)</f>
        <v>6935.5729090685963</v>
      </c>
      <c r="M28" s="104">
        <f>(L26-INTERCEPT($B$26:L26,$B$27:L27))/L27*M27+INTERCEPT($B$26:L26,$B$27:L27)</f>
        <v>6872.3290010791061</v>
      </c>
    </row>
    <row r="29" spans="1:13" x14ac:dyDescent="0.2">
      <c r="A29" s="95" t="s">
        <v>97</v>
      </c>
      <c r="B29" s="99"/>
      <c r="C29" s="82"/>
      <c r="D29" s="82">
        <f t="shared" ref="D29:L29" si="14">D28/D26-1</f>
        <v>-3.4513140993913782E-2</v>
      </c>
      <c r="E29" s="82">
        <f t="shared" si="14"/>
        <v>6.4093783940204485E-3</v>
      </c>
      <c r="F29" s="82">
        <f t="shared" si="14"/>
        <v>7.8040412749038612E-3</v>
      </c>
      <c r="G29" s="82">
        <f t="shared" si="14"/>
        <v>3.0670211250425128E-2</v>
      </c>
      <c r="H29" s="82">
        <f t="shared" si="14"/>
        <v>2.2274167373274034E-2</v>
      </c>
      <c r="I29" s="82">
        <f t="shared" si="14"/>
        <v>6.1763961300378201E-2</v>
      </c>
      <c r="J29" s="82">
        <f t="shared" si="14"/>
        <v>-7.2177805279337592E-2</v>
      </c>
      <c r="K29" s="82">
        <f t="shared" si="14"/>
        <v>5.8565931429735762E-2</v>
      </c>
      <c r="L29" s="82">
        <f t="shared" si="14"/>
        <v>-2.5064131930682132E-3</v>
      </c>
      <c r="M29" s="82">
        <f>M28/M26-1</f>
        <v>1.2870891831850528E-2</v>
      </c>
    </row>
    <row r="30" spans="1:13" x14ac:dyDescent="0.2">
      <c r="A30" s="95" t="s">
        <v>98</v>
      </c>
      <c r="B30" s="99"/>
      <c r="C30" s="100"/>
      <c r="D30" s="100"/>
      <c r="E30" s="100"/>
      <c r="F30" s="100"/>
      <c r="G30" s="100"/>
      <c r="H30" s="100"/>
      <c r="I30" s="100"/>
      <c r="J30" s="100"/>
      <c r="K30" s="100">
        <f>INTERCEPT($B$26:K26,$B$27:K27)</f>
        <v>5157.9938664996062</v>
      </c>
      <c r="L30" s="100">
        <f>INTERCEPT($B$26:L26,$B$27:L27)</f>
        <v>5131.1100597137865</v>
      </c>
      <c r="M30" s="100">
        <f>INTERCEPT($B$26:M26,$B$27:M27)</f>
        <v>4943.7855935005209</v>
      </c>
    </row>
    <row r="31" spans="1:13" x14ac:dyDescent="0.2">
      <c r="A31" s="95" t="s">
        <v>99</v>
      </c>
      <c r="B31" s="99"/>
      <c r="C31" s="100"/>
      <c r="D31" s="100"/>
      <c r="E31" s="100"/>
      <c r="F31" s="100"/>
      <c r="G31" s="100"/>
      <c r="H31" s="100"/>
      <c r="I31" s="100"/>
      <c r="J31" s="100"/>
      <c r="K31" s="100">
        <f>K30/'Three Statement Model'!F158</f>
        <v>4.5325077913001808</v>
      </c>
      <c r="L31" s="100">
        <f>L30/'Three Statement Model'!G158</f>
        <v>4.5609867197455882</v>
      </c>
      <c r="M31" s="100">
        <f>M30/'Three Statement Model'!H158</f>
        <v>4.4259495017909769</v>
      </c>
    </row>
    <row r="32" spans="1:13" x14ac:dyDescent="0.2">
      <c r="A32" s="95" t="s">
        <v>100</v>
      </c>
      <c r="B32" s="99"/>
      <c r="C32" s="98"/>
      <c r="D32" s="82"/>
      <c r="E32" s="98"/>
      <c r="F32" s="98"/>
      <c r="G32" s="98"/>
      <c r="H32" s="98"/>
      <c r="I32" s="101"/>
      <c r="J32" s="101"/>
      <c r="K32" s="101">
        <f>K26-K30</f>
        <v>1894.0061335003938</v>
      </c>
      <c r="L32" s="101">
        <f t="shared" ref="L32" si="15">L26-L30</f>
        <v>1821.8899402862135</v>
      </c>
      <c r="M32" s="101">
        <f>M26-M30</f>
        <v>1841.2144064994791</v>
      </c>
    </row>
    <row r="33" spans="1:13" x14ac:dyDescent="0.2">
      <c r="A33" s="95" t="s">
        <v>101</v>
      </c>
      <c r="B33" s="98"/>
      <c r="C33" s="98"/>
      <c r="D33" s="98"/>
      <c r="E33" s="98"/>
      <c r="F33" s="102"/>
      <c r="G33" s="98"/>
      <c r="H33" s="98"/>
      <c r="I33" s="98"/>
      <c r="J33" s="103"/>
      <c r="K33" s="103">
        <f>K32/'Three Statement Model'!F35</f>
        <v>4.0909027031413754E-2</v>
      </c>
      <c r="L33" s="103">
        <f>L32/'Three Statement Model'!G35</f>
        <v>4.1928793617928138E-2</v>
      </c>
      <c r="M33" s="103">
        <f>M32/'Three Statement Model'!H35</f>
        <v>4.4336698287889595E-2</v>
      </c>
    </row>
    <row r="34" spans="1:13" x14ac:dyDescent="0.2">
      <c r="B34" s="92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</row>
    <row r="35" spans="1:13" x14ac:dyDescent="0.2">
      <c r="I35" s="92"/>
    </row>
    <row r="36" spans="1:13" x14ac:dyDescent="0.2">
      <c r="A36" s="84"/>
      <c r="E36" s="87"/>
    </row>
    <row r="37" spans="1:13" ht="16" x14ac:dyDescent="0.2">
      <c r="A37" s="84"/>
      <c r="B37" s="85"/>
      <c r="C37" s="85"/>
      <c r="D37" s="85"/>
      <c r="E37" s="88"/>
    </row>
    <row r="38" spans="1:13" ht="16" x14ac:dyDescent="0.2">
      <c r="A38" s="84"/>
      <c r="B38" s="85"/>
      <c r="C38" s="85"/>
      <c r="D38" s="85"/>
      <c r="E38" s="88"/>
    </row>
    <row r="41" spans="1:13" ht="16" x14ac:dyDescent="0.2">
      <c r="A41" s="84"/>
      <c r="B41" s="85"/>
      <c r="C41" s="85"/>
      <c r="D41" s="85"/>
      <c r="E41" s="88"/>
    </row>
    <row r="42" spans="1:13" ht="16" x14ac:dyDescent="0.2">
      <c r="A42" s="84"/>
      <c r="B42" s="85"/>
      <c r="C42" s="85"/>
      <c r="D42" s="85"/>
      <c r="E42" s="88"/>
    </row>
    <row r="43" spans="1:13" ht="16" x14ac:dyDescent="0.2">
      <c r="A43" s="84"/>
      <c r="B43" s="85"/>
      <c r="C43" s="85"/>
      <c r="D43" s="85"/>
      <c r="E43" s="88"/>
    </row>
    <row r="44" spans="1:13" ht="16" x14ac:dyDescent="0.2">
      <c r="A44" s="84"/>
      <c r="B44" s="85"/>
      <c r="C44" s="85"/>
      <c r="D44" s="85"/>
      <c r="E44" s="88"/>
    </row>
    <row r="45" spans="1:13" ht="16" x14ac:dyDescent="0.2">
      <c r="A45" s="84"/>
      <c r="B45" s="85"/>
      <c r="C45" s="85"/>
      <c r="D45" s="85"/>
      <c r="E45" s="88"/>
    </row>
    <row r="46" spans="1:13" ht="16" x14ac:dyDescent="0.2">
      <c r="A46" s="84"/>
      <c r="B46" s="85"/>
      <c r="C46" s="85"/>
      <c r="D46" s="85"/>
      <c r="E46" s="88"/>
    </row>
  </sheetData>
  <mergeCells count="4">
    <mergeCell ref="A9:B9"/>
    <mergeCell ref="A14:B14"/>
    <mergeCell ref="A1:M1"/>
    <mergeCell ref="A21:M2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37473-76EB-49F8-81AE-C7C2CE717B84}">
  <dimension ref="B1:W94"/>
  <sheetViews>
    <sheetView showGridLines="0" topLeftCell="A41" zoomScale="94" workbookViewId="0">
      <selection activeCell="P32" sqref="P32"/>
    </sheetView>
  </sheetViews>
  <sheetFormatPr baseColWidth="10" defaultColWidth="11.5" defaultRowHeight="16" outlineLevelRow="1" outlineLevelCol="1" x14ac:dyDescent="0.2"/>
  <cols>
    <col min="1" max="1" width="11.5" style="209"/>
    <col min="2" max="2" width="27.5" style="209" bestFit="1" customWidth="1"/>
    <col min="3" max="3" width="11.5" style="209"/>
    <col min="4" max="4" width="10.1640625" style="209" bestFit="1" customWidth="1"/>
    <col min="5" max="5" width="10.1640625" style="229" customWidth="1"/>
    <col min="6" max="9" width="10.1640625" style="229" customWidth="1" outlineLevel="1"/>
    <col min="10" max="10" width="11.5" style="209" customWidth="1" outlineLevel="1"/>
    <col min="11" max="15" width="11.5" style="209"/>
    <col min="16" max="16" width="20" style="209" customWidth="1"/>
    <col min="17" max="17" width="4.83203125" style="209" customWidth="1"/>
    <col min="18" max="18" width="7.1640625" style="209" customWidth="1"/>
    <col min="19" max="23" width="11.6640625" style="209" customWidth="1"/>
    <col min="24" max="16384" width="11.5" style="209"/>
  </cols>
  <sheetData>
    <row r="1" spans="2:21" s="149" customFormat="1" ht="15.75" customHeight="1" x14ac:dyDescent="0.2">
      <c r="B1" s="388" t="s">
        <v>0</v>
      </c>
      <c r="C1" s="388"/>
      <c r="D1" s="388"/>
      <c r="E1" s="203"/>
      <c r="F1" s="204"/>
      <c r="G1" s="204"/>
      <c r="H1" s="204"/>
      <c r="I1" s="204"/>
      <c r="J1" s="204"/>
      <c r="K1" s="205" t="s">
        <v>103</v>
      </c>
      <c r="L1" s="205"/>
      <c r="M1" s="205"/>
      <c r="N1" s="205"/>
      <c r="O1" s="205"/>
      <c r="P1" s="206" t="s">
        <v>240</v>
      </c>
      <c r="S1" s="149" t="s">
        <v>290</v>
      </c>
    </row>
    <row r="2" spans="2:21" s="149" customFormat="1" ht="18" customHeight="1" x14ac:dyDescent="0.2">
      <c r="B2" s="388"/>
      <c r="C2" s="388"/>
      <c r="D2" s="388"/>
      <c r="E2" s="203"/>
      <c r="F2" s="207">
        <f t="shared" ref="F2:H2" si="0">G2-1</f>
        <v>2021</v>
      </c>
      <c r="G2" s="207">
        <f t="shared" si="0"/>
        <v>2022</v>
      </c>
      <c r="H2" s="207">
        <f t="shared" si="0"/>
        <v>2023</v>
      </c>
      <c r="I2" s="207">
        <f>J2-1</f>
        <v>2024</v>
      </c>
      <c r="J2" s="207">
        <v>2025</v>
      </c>
      <c r="K2" s="208">
        <f t="shared" ref="K2:O2" si="1">+J2+1</f>
        <v>2026</v>
      </c>
      <c r="L2" s="208">
        <f t="shared" si="1"/>
        <v>2027</v>
      </c>
      <c r="M2" s="208">
        <f t="shared" si="1"/>
        <v>2028</v>
      </c>
      <c r="N2" s="208">
        <f t="shared" si="1"/>
        <v>2029</v>
      </c>
      <c r="O2" s="208">
        <f t="shared" si="1"/>
        <v>2030</v>
      </c>
      <c r="P2" s="206" t="s">
        <v>241</v>
      </c>
    </row>
    <row r="3" spans="2:21" x14ac:dyDescent="0.2">
      <c r="E3" s="209"/>
      <c r="F3" s="209"/>
      <c r="G3" s="209"/>
      <c r="H3" s="209"/>
      <c r="I3" s="209"/>
    </row>
    <row r="4" spans="2:21" x14ac:dyDescent="0.2">
      <c r="E4" s="209"/>
      <c r="F4" s="210">
        <f t="shared" ref="F4:G4" si="2">G4-1</f>
        <v>2021</v>
      </c>
      <c r="G4" s="210">
        <f t="shared" si="2"/>
        <v>2022</v>
      </c>
      <c r="H4" s="210">
        <f>I4-1</f>
        <v>2023</v>
      </c>
      <c r="I4" s="210">
        <f>J4-1</f>
        <v>2024</v>
      </c>
      <c r="J4" s="210">
        <f>J2</f>
        <v>2025</v>
      </c>
      <c r="K4" s="211">
        <f t="shared" ref="K4:O4" si="3">K2</f>
        <v>2026</v>
      </c>
      <c r="L4" s="211">
        <f t="shared" si="3"/>
        <v>2027</v>
      </c>
      <c r="M4" s="211">
        <f t="shared" si="3"/>
        <v>2028</v>
      </c>
      <c r="N4" s="211">
        <f t="shared" si="3"/>
        <v>2029</v>
      </c>
      <c r="O4" s="211">
        <f t="shared" si="3"/>
        <v>2030</v>
      </c>
    </row>
    <row r="5" spans="2:21" x14ac:dyDescent="0.2">
      <c r="B5" s="212" t="s">
        <v>95</v>
      </c>
      <c r="C5" s="213"/>
      <c r="D5" s="213"/>
      <c r="E5" s="213"/>
      <c r="F5" s="214">
        <f>'Three Statement Model'!D35</f>
        <v>47262</v>
      </c>
      <c r="G5" s="214">
        <f>'Three Statement Model'!E35</f>
        <v>51761</v>
      </c>
      <c r="H5" s="214">
        <f>'Three Statement Model'!F35</f>
        <v>46298</v>
      </c>
      <c r="I5" s="214">
        <f>'Three Statement Model'!G35</f>
        <v>43452</v>
      </c>
      <c r="J5" s="214">
        <f>'Three Statement Model'!H35</f>
        <v>41528</v>
      </c>
      <c r="K5" s="214">
        <f>'Three Statement Model'!I35</f>
        <v>40904.251105770825</v>
      </c>
      <c r="L5" s="214">
        <f>'Three Statement Model'!J35</f>
        <v>40723.318053779454</v>
      </c>
      <c r="M5" s="214">
        <f>'Three Statement Model'!K35</f>
        <v>41207.585043944753</v>
      </c>
      <c r="N5" s="214">
        <f>'Three Statement Model'!L35</f>
        <v>41369.946055395172</v>
      </c>
      <c r="O5" s="214">
        <f>'Three Statement Model'!M35</f>
        <v>41600.109975677769</v>
      </c>
    </row>
    <row r="6" spans="2:21" x14ac:dyDescent="0.2">
      <c r="B6" s="209" t="s">
        <v>242</v>
      </c>
      <c r="E6" s="209"/>
      <c r="F6" s="215" t="s">
        <v>243</v>
      </c>
      <c r="G6" s="216">
        <f>G5/'Three Statement Model'!D35-1</f>
        <v>9.5192755279082553E-2</v>
      </c>
      <c r="H6" s="216">
        <f>H5/'Three Statement Model'!E35-1</f>
        <v>-0.10554278317652288</v>
      </c>
      <c r="I6" s="216">
        <f>I5/'Three Statement Model'!F35-1</f>
        <v>-6.1471337854766994E-2</v>
      </c>
      <c r="J6" s="216">
        <f>J5/'Three Statement Model'!G35-1</f>
        <v>-4.4278744361594402E-2</v>
      </c>
      <c r="K6" s="216">
        <f>K5/J5-1</f>
        <v>-1.5019959888007528E-2</v>
      </c>
      <c r="L6" s="216">
        <f t="shared" ref="L6:O6" si="4">L5/K5-1</f>
        <v>-4.4233312455351781E-3</v>
      </c>
      <c r="M6" s="216">
        <f t="shared" si="4"/>
        <v>1.1891638827803197E-2</v>
      </c>
      <c r="N6" s="216">
        <f t="shared" si="4"/>
        <v>3.9400758689758231E-3</v>
      </c>
      <c r="O6" s="216">
        <f t="shared" si="4"/>
        <v>5.5635537927558598E-3</v>
      </c>
    </row>
    <row r="7" spans="2:21" x14ac:dyDescent="0.2">
      <c r="E7" s="209"/>
      <c r="F7" s="209"/>
      <c r="G7" s="209"/>
      <c r="H7" s="209"/>
      <c r="I7" s="209"/>
      <c r="K7" s="216"/>
      <c r="L7" s="216"/>
      <c r="M7" s="216"/>
      <c r="N7" s="216"/>
      <c r="O7" s="216"/>
      <c r="P7" s="1"/>
      <c r="Q7" s="1"/>
      <c r="R7" s="1"/>
      <c r="S7" s="1"/>
      <c r="T7" s="1"/>
    </row>
    <row r="8" spans="2:21" x14ac:dyDescent="0.2">
      <c r="B8" s="212" t="s">
        <v>133</v>
      </c>
      <c r="C8" s="213"/>
      <c r="D8" s="213"/>
      <c r="E8" s="213"/>
      <c r="F8" s="214"/>
      <c r="G8" s="214"/>
      <c r="H8" s="214"/>
      <c r="I8" s="214"/>
      <c r="J8" s="214"/>
      <c r="K8" s="214">
        <f>'Three Statement Model'!I39</f>
        <v>9181.329572766921</v>
      </c>
      <c r="L8" s="214">
        <f>'Three Statement Model'!J39</f>
        <v>9239.0763379545315</v>
      </c>
      <c r="M8" s="214">
        <f>'Three Statement Model'!K39</f>
        <v>9576.5579437333035</v>
      </c>
      <c r="N8" s="214">
        <f>'Three Statement Model'!L39</f>
        <v>9848.617723067051</v>
      </c>
      <c r="O8" s="214">
        <f>'Three Statement Model'!M39</f>
        <v>10154.181581593326</v>
      </c>
    </row>
    <row r="9" spans="2:21" x14ac:dyDescent="0.2">
      <c r="B9" s="217" t="s">
        <v>244</v>
      </c>
      <c r="E9" s="209"/>
      <c r="F9" s="215"/>
      <c r="G9" s="216"/>
      <c r="H9" s="216"/>
      <c r="I9" s="216"/>
      <c r="J9" s="216"/>
      <c r="K9" s="218">
        <f>K8/K5</f>
        <v>0.22445905558876267</v>
      </c>
      <c r="L9" s="218">
        <f t="shared" ref="L9:O9" si="5">L8/L5</f>
        <v>0.22687435060555117</v>
      </c>
      <c r="M9" s="218">
        <f t="shared" si="5"/>
        <v>0.23239794162945082</v>
      </c>
      <c r="N9" s="218">
        <f t="shared" si="5"/>
        <v>0.23806213597377085</v>
      </c>
      <c r="O9" s="218">
        <f t="shared" si="5"/>
        <v>0.24409025811542676</v>
      </c>
    </row>
    <row r="10" spans="2:21" x14ac:dyDescent="0.2">
      <c r="E10" s="209"/>
      <c r="F10" s="215"/>
      <c r="G10" s="216"/>
      <c r="H10" s="216"/>
      <c r="I10" s="216"/>
      <c r="J10" s="216"/>
      <c r="K10" s="216"/>
      <c r="L10" s="216"/>
      <c r="M10" s="216"/>
      <c r="N10" s="216"/>
      <c r="O10" s="216"/>
    </row>
    <row r="11" spans="2:21" x14ac:dyDescent="0.2">
      <c r="B11" s="212" t="s">
        <v>245</v>
      </c>
      <c r="C11" s="213"/>
      <c r="D11" s="213"/>
      <c r="E11" s="213"/>
      <c r="F11" s="214">
        <f t="shared" ref="F11:I11" si="6">F15+-F14</f>
        <v>3230</v>
      </c>
      <c r="G11" s="214">
        <f t="shared" si="6"/>
        <v>3908</v>
      </c>
      <c r="H11" s="214">
        <f t="shared" si="6"/>
        <v>2713</v>
      </c>
      <c r="I11" s="214">
        <f t="shared" si="6"/>
        <v>2497</v>
      </c>
      <c r="J11" s="214">
        <f t="shared" ref="J11:O11" si="7">J15+-J14</f>
        <v>2128</v>
      </c>
      <c r="K11" s="214">
        <f>K15+-K14</f>
        <v>2309.7266305867442</v>
      </c>
      <c r="L11" s="214">
        <f t="shared" si="7"/>
        <v>2319.7621057031392</v>
      </c>
      <c r="M11" s="214">
        <f t="shared" si="7"/>
        <v>2539.9553133630616</v>
      </c>
      <c r="N11" s="214">
        <f t="shared" si="7"/>
        <v>2705.5253095290172</v>
      </c>
      <c r="O11" s="214">
        <f t="shared" si="7"/>
        <v>2895.9940163368037</v>
      </c>
    </row>
    <row r="12" spans="2:21" x14ac:dyDescent="0.2">
      <c r="B12" s="219" t="s">
        <v>244</v>
      </c>
      <c r="E12" s="209"/>
      <c r="F12" s="216">
        <f t="shared" ref="F12:I12" si="8">F11/F5</f>
        <v>6.8342431551775204E-2</v>
      </c>
      <c r="G12" s="216">
        <f t="shared" si="8"/>
        <v>7.5500859720639094E-2</v>
      </c>
      <c r="H12" s="216">
        <f t="shared" si="8"/>
        <v>5.8598643569916627E-2</v>
      </c>
      <c r="I12" s="216">
        <f t="shared" si="8"/>
        <v>5.7465709288410202E-2</v>
      </c>
      <c r="J12" s="216">
        <f>J11/J5</f>
        <v>5.1242535157002507E-2</v>
      </c>
      <c r="K12" s="218">
        <f t="shared" ref="K12:O12" si="9">K11/K5</f>
        <v>5.6466664665592303E-2</v>
      </c>
      <c r="L12" s="218">
        <f t="shared" si="9"/>
        <v>5.6963975839091692E-2</v>
      </c>
      <c r="M12" s="218">
        <f t="shared" si="9"/>
        <v>6.1638053058784989E-2</v>
      </c>
      <c r="N12" s="218">
        <f t="shared" si="9"/>
        <v>6.5398328194730196E-2</v>
      </c>
      <c r="O12" s="218">
        <f t="shared" si="9"/>
        <v>6.9615056739753739E-2</v>
      </c>
    </row>
    <row r="13" spans="2:21" s="220" customFormat="1" x14ac:dyDescent="0.2">
      <c r="B13" s="219"/>
      <c r="C13" s="209"/>
      <c r="D13" s="209"/>
      <c r="E13" s="209"/>
      <c r="F13" s="297"/>
      <c r="G13" s="297"/>
      <c r="H13" s="297"/>
      <c r="I13" s="297"/>
      <c r="J13" s="297"/>
      <c r="K13" s="297"/>
      <c r="L13" s="297"/>
      <c r="M13" s="297"/>
      <c r="N13" s="297"/>
      <c r="O13" s="297"/>
      <c r="P13" s="209"/>
      <c r="Q13" s="209"/>
      <c r="R13" s="209"/>
      <c r="S13" s="209"/>
      <c r="T13" s="209"/>
      <c r="U13" s="209"/>
    </row>
    <row r="14" spans="2:21" x14ac:dyDescent="0.2">
      <c r="B14" s="209" t="s">
        <v>246</v>
      </c>
      <c r="E14" s="209"/>
      <c r="F14" s="221">
        <f t="shared" ref="F14:I14" si="10">-F20</f>
        <v>-839</v>
      </c>
      <c r="G14" s="221">
        <f t="shared" si="10"/>
        <v>-869</v>
      </c>
      <c r="H14" s="221">
        <f t="shared" si="10"/>
        <v>-918</v>
      </c>
      <c r="I14" s="221">
        <f t="shared" si="10"/>
        <v>-923</v>
      </c>
      <c r="J14" s="221">
        <f>-J20</f>
        <v>-866</v>
      </c>
      <c r="K14" s="221">
        <f t="shared" ref="K14:O14" si="11">-K20</f>
        <v>-765.50086140303415</v>
      </c>
      <c r="L14" s="221">
        <f t="shared" si="11"/>
        <v>-730.52958012409965</v>
      </c>
      <c r="M14" s="221">
        <f t="shared" si="11"/>
        <v>-718.67649255818742</v>
      </c>
      <c r="N14" s="221">
        <f t="shared" si="11"/>
        <v>-708.29842906757801</v>
      </c>
      <c r="O14" s="221">
        <f t="shared" si="11"/>
        <v>-688.29098660317777</v>
      </c>
      <c r="Q14" s="295"/>
    </row>
    <row r="15" spans="2:21" x14ac:dyDescent="0.2">
      <c r="B15" s="223" t="s">
        <v>247</v>
      </c>
      <c r="E15" s="209"/>
      <c r="F15" s="222">
        <f>'Three Statement Model'!D47</f>
        <v>2391</v>
      </c>
      <c r="G15" s="222">
        <f>'Three Statement Model'!E47</f>
        <v>3039</v>
      </c>
      <c r="H15" s="222">
        <f>'Three Statement Model'!F47</f>
        <v>1795</v>
      </c>
      <c r="I15" s="222">
        <f>'Three Statement Model'!G47</f>
        <v>1574</v>
      </c>
      <c r="J15" s="222">
        <f>'Three Statement Model'!H47</f>
        <v>1262</v>
      </c>
      <c r="K15" s="222">
        <f>'Three Statement Model'!I47</f>
        <v>1544.2257691837101</v>
      </c>
      <c r="L15" s="222">
        <f>'Three Statement Model'!J47</f>
        <v>1589.2325255790397</v>
      </c>
      <c r="M15" s="222">
        <f>'Three Statement Model'!K47</f>
        <v>1821.2788208048742</v>
      </c>
      <c r="N15" s="222">
        <f>'Three Statement Model'!L47</f>
        <v>1997.2268804614391</v>
      </c>
      <c r="O15" s="222">
        <f>'Three Statement Model'!M47</f>
        <v>2207.703029733626</v>
      </c>
    </row>
    <row r="16" spans="2:21" x14ac:dyDescent="0.2">
      <c r="B16" s="219"/>
      <c r="E16" s="209"/>
      <c r="F16" s="216"/>
      <c r="G16" s="216"/>
      <c r="H16" s="216"/>
      <c r="I16" s="216"/>
      <c r="J16" s="216"/>
      <c r="K16" s="216"/>
      <c r="L16" s="216"/>
      <c r="M16" s="216"/>
      <c r="N16" s="216"/>
      <c r="O16" s="216"/>
    </row>
    <row r="17" spans="2:19" x14ac:dyDescent="0.2">
      <c r="B17" s="209" t="s">
        <v>147</v>
      </c>
      <c r="E17" s="209"/>
      <c r="F17" s="221">
        <f>-'Three Statement Model'!E18*F15</f>
        <v>-453.84722222222223</v>
      </c>
      <c r="G17" s="221">
        <f>-'Three Statement Model'!F18*G15</f>
        <v>-628.87583892617442</v>
      </c>
      <c r="H17" s="221">
        <f>-'Three Statement Model'!G18*H15</f>
        <v>-421.89697717458358</v>
      </c>
      <c r="I17" s="221">
        <f>-'Three Statement Model'!H18*I15</f>
        <v>-452.14517374517374</v>
      </c>
      <c r="J17" s="221">
        <f>-'Three Statement Model'!I18*J15</f>
        <v>-301.95092024539878</v>
      </c>
      <c r="K17" s="221">
        <f>-'Three Statement Model'!J18*K15</f>
        <v>-507.05920779166598</v>
      </c>
      <c r="L17" s="221">
        <f>-'Three Statement Model'!K18*L15</f>
        <v>-512.79236158683682</v>
      </c>
      <c r="M17" s="221">
        <f>-'Three Statement Model'!L18*M15</f>
        <v>-587.66596617970606</v>
      </c>
      <c r="N17" s="221">
        <f>-'Three Statement Model'!M18*N15</f>
        <v>-644.43854009555764</v>
      </c>
      <c r="O17" s="221">
        <f>-'Three Statement Model'!N18*O15</f>
        <v>-712.35217759404998</v>
      </c>
    </row>
    <row r="18" spans="2:19" x14ac:dyDescent="0.2">
      <c r="B18" s="223" t="s">
        <v>248</v>
      </c>
      <c r="E18" s="209"/>
      <c r="F18" s="222">
        <f t="shared" ref="F18:I18" si="12">SUM(F15:F17)</f>
        <v>1937.1527777777778</v>
      </c>
      <c r="G18" s="222">
        <f t="shared" si="12"/>
        <v>2410.1241610738257</v>
      </c>
      <c r="H18" s="222">
        <f t="shared" si="12"/>
        <v>1373.1030228254165</v>
      </c>
      <c r="I18" s="222">
        <f t="shared" si="12"/>
        <v>1121.8548262548263</v>
      </c>
      <c r="J18" s="222">
        <f t="shared" ref="J18:O18" si="13">SUM(J15:J17)</f>
        <v>960.04907975460128</v>
      </c>
      <c r="K18" s="222">
        <f t="shared" si="13"/>
        <v>1037.1665613920441</v>
      </c>
      <c r="L18" s="222">
        <f t="shared" si="13"/>
        <v>1076.440163992203</v>
      </c>
      <c r="M18" s="222">
        <f t="shared" si="13"/>
        <v>1233.612854625168</v>
      </c>
      <c r="N18" s="222">
        <f t="shared" si="13"/>
        <v>1352.7883403658816</v>
      </c>
      <c r="O18" s="222">
        <f t="shared" si="13"/>
        <v>1495.3508521395761</v>
      </c>
      <c r="S18" s="209" t="s">
        <v>380</v>
      </c>
    </row>
    <row r="19" spans="2:19" x14ac:dyDescent="0.2">
      <c r="B19" s="223"/>
      <c r="E19" s="209"/>
      <c r="F19" s="224"/>
      <c r="G19" s="224"/>
      <c r="H19" s="224"/>
      <c r="I19" s="224"/>
      <c r="J19" s="224"/>
      <c r="K19" s="224"/>
      <c r="L19" s="224"/>
      <c r="M19" s="224"/>
      <c r="N19" s="224"/>
      <c r="O19" s="224"/>
    </row>
    <row r="20" spans="2:19" x14ac:dyDescent="0.2">
      <c r="B20" s="209" t="s">
        <v>246</v>
      </c>
      <c r="E20" s="209"/>
      <c r="F20" s="221">
        <f>-'Three Statement Model'!D44</f>
        <v>839</v>
      </c>
      <c r="G20" s="221">
        <f>-'Three Statement Model'!E44</f>
        <v>869</v>
      </c>
      <c r="H20" s="221">
        <f>-'Three Statement Model'!F44</f>
        <v>918</v>
      </c>
      <c r="I20" s="221">
        <f>-'Three Statement Model'!G44</f>
        <v>923</v>
      </c>
      <c r="J20" s="221">
        <f>-'Three Statement Model'!H44</f>
        <v>866</v>
      </c>
      <c r="K20" s="221">
        <f>-'Three Statement Model'!I44</f>
        <v>765.50086140303415</v>
      </c>
      <c r="L20" s="221">
        <f>-'Three Statement Model'!J44</f>
        <v>730.52958012409965</v>
      </c>
      <c r="M20" s="221">
        <f>-'Three Statement Model'!K44</f>
        <v>718.67649255818742</v>
      </c>
      <c r="N20" s="221">
        <f>-'Three Statement Model'!L44</f>
        <v>708.29842906757801</v>
      </c>
      <c r="O20" s="221">
        <f>-'Three Statement Model'!M44</f>
        <v>688.29098660317777</v>
      </c>
    </row>
    <row r="21" spans="2:19" x14ac:dyDescent="0.2">
      <c r="B21" s="209" t="s">
        <v>249</v>
      </c>
      <c r="E21" s="209"/>
      <c r="F21" s="221">
        <f>'Three Statement Model'!D123</f>
        <v>-713</v>
      </c>
      <c r="G21" s="221">
        <f>'Three Statement Model'!E123</f>
        <v>-737</v>
      </c>
      <c r="H21" s="221">
        <f>'Three Statement Model'!F123</f>
        <v>-930</v>
      </c>
      <c r="I21" s="221">
        <f>'Three Statement Model'!G123</f>
        <v>-795</v>
      </c>
      <c r="J21" s="221">
        <f>'Three Statement Model'!H123</f>
        <v>-706</v>
      </c>
      <c r="K21" s="221">
        <f>'Three Statement Model'!I123</f>
        <v>-738.92545617226483</v>
      </c>
      <c r="L21" s="221">
        <f>'Three Statement Model'!J123</f>
        <v>-704.36678182461253</v>
      </c>
      <c r="M21" s="221">
        <f>'Three Statement Model'!K123</f>
        <v>-672.29883113727465</v>
      </c>
      <c r="N21" s="221">
        <f>'Three Statement Model'!L123</f>
        <v>-651.16560762851873</v>
      </c>
      <c r="O21" s="221">
        <f>'Three Statement Model'!M123</f>
        <v>-643.66331735353879</v>
      </c>
    </row>
    <row r="22" spans="2:19" x14ac:dyDescent="0.2">
      <c r="B22" s="209" t="s">
        <v>250</v>
      </c>
      <c r="E22" s="209"/>
      <c r="F22" s="221">
        <f>'Three Statement Model'!C148-'Three Statement Model'!D148</f>
        <v>1017</v>
      </c>
      <c r="G22" s="221">
        <f>'Three Statement Model'!D148-'Three Statement Model'!E148</f>
        <v>-118</v>
      </c>
      <c r="H22" s="221">
        <f>'Three Statement Model'!E148-'Three Statement Model'!F148</f>
        <v>-377</v>
      </c>
      <c r="I22" s="221">
        <f>'Three Statement Model'!F148-'Three Statement Model'!G148</f>
        <v>-782</v>
      </c>
      <c r="J22" s="221">
        <f>'Three Statement Model'!G148-'Three Statement Model'!H148</f>
        <v>62</v>
      </c>
      <c r="K22" s="221">
        <f>'Three Statement Model'!H148-'Three Statement Model'!I148</f>
        <v>483.25738397973498</v>
      </c>
      <c r="L22" s="221">
        <f>'Three Statement Model'!I148-'Three Statement Model'!J148</f>
        <v>29.100033614182053</v>
      </c>
      <c r="M22" s="221">
        <f>'Three Statement Model'!J148-'Three Statement Model'!K148</f>
        <v>21.415385741287082</v>
      </c>
      <c r="N22" s="221">
        <f>'Three Statement Model'!K148-'Three Statement Model'!L148</f>
        <v>27.87260163263204</v>
      </c>
      <c r="O22" s="221">
        <f>'Three Statement Model'!L148-'Three Statement Model'!M148</f>
        <v>27.768171450568161</v>
      </c>
    </row>
    <row r="23" spans="2:19" x14ac:dyDescent="0.2">
      <c r="B23" s="223" t="s">
        <v>251</v>
      </c>
      <c r="E23" s="209"/>
      <c r="F23" s="222">
        <f t="shared" ref="F23:I23" si="14">SUM(F18:F22)</f>
        <v>3080.1527777777778</v>
      </c>
      <c r="G23" s="222">
        <f t="shared" si="14"/>
        <v>2424.1241610738257</v>
      </c>
      <c r="H23" s="222">
        <f t="shared" si="14"/>
        <v>984.1030228254167</v>
      </c>
      <c r="I23" s="222">
        <f t="shared" si="14"/>
        <v>467.85482625482632</v>
      </c>
      <c r="J23" s="222">
        <f>SUM(J18:J22)</f>
        <v>1182.0490797546013</v>
      </c>
      <c r="K23" s="222">
        <f t="shared" ref="K23:O23" si="15">SUM(K18:K22)</f>
        <v>1546.9993506025485</v>
      </c>
      <c r="L23" s="222">
        <f t="shared" si="15"/>
        <v>1131.7029959058718</v>
      </c>
      <c r="M23" s="222">
        <f t="shared" si="15"/>
        <v>1301.4059017873678</v>
      </c>
      <c r="N23" s="222">
        <f t="shared" si="15"/>
        <v>1437.793763437573</v>
      </c>
      <c r="O23" s="222">
        <f t="shared" si="15"/>
        <v>1567.7466928397832</v>
      </c>
    </row>
    <row r="24" spans="2:19" x14ac:dyDescent="0.2">
      <c r="B24" s="223"/>
      <c r="E24" s="209"/>
      <c r="F24" s="209"/>
      <c r="G24" s="209"/>
      <c r="H24" s="209"/>
      <c r="I24" s="209"/>
      <c r="J24" s="224"/>
      <c r="K24" s="224"/>
      <c r="L24" s="224"/>
      <c r="M24" s="224"/>
      <c r="N24" s="224"/>
      <c r="O24" s="224"/>
    </row>
    <row r="25" spans="2:19" hidden="1" outlineLevel="1" x14ac:dyDescent="0.2">
      <c r="B25" s="209" t="s">
        <v>252</v>
      </c>
      <c r="E25" s="209"/>
      <c r="F25" s="209"/>
      <c r="G25" s="209"/>
      <c r="H25" s="209"/>
      <c r="I25" s="209"/>
      <c r="K25" s="225">
        <f>IF(P2="Yes",0.5,1)</f>
        <v>0.5</v>
      </c>
      <c r="L25" s="225">
        <f>K25+1</f>
        <v>1.5</v>
      </c>
      <c r="M25" s="225">
        <f t="shared" ref="M25:O25" si="16">L25+1</f>
        <v>2.5</v>
      </c>
      <c r="N25" s="225">
        <f t="shared" si="16"/>
        <v>3.5</v>
      </c>
      <c r="O25" s="225">
        <f t="shared" si="16"/>
        <v>4.5</v>
      </c>
    </row>
    <row r="26" spans="2:19" hidden="1" outlineLevel="1" x14ac:dyDescent="0.2">
      <c r="B26" s="209" t="s">
        <v>253</v>
      </c>
      <c r="E26" s="209"/>
      <c r="F26" s="209"/>
      <c r="G26" s="209"/>
      <c r="H26" s="209"/>
      <c r="I26" s="209"/>
      <c r="K26" s="225">
        <f>1/(1+$D$40)^K25</f>
        <v>0.95602993491315424</v>
      </c>
      <c r="L26" s="225">
        <f t="shared" ref="L26:O26" si="17">1/(1+$D$40)^L25</f>
        <v>0.87380489435440489</v>
      </c>
      <c r="M26" s="225">
        <f t="shared" si="17"/>
        <v>0.7986517634168766</v>
      </c>
      <c r="N26" s="225">
        <f t="shared" si="17"/>
        <v>0.72996231004193091</v>
      </c>
      <c r="O26" s="225">
        <f t="shared" si="17"/>
        <v>0.66718061424177943</v>
      </c>
    </row>
    <row r="27" spans="2:19" collapsed="1" x14ac:dyDescent="0.2">
      <c r="B27" s="223" t="s">
        <v>254</v>
      </c>
      <c r="E27" s="209"/>
      <c r="F27" s="209"/>
      <c r="G27" s="209"/>
      <c r="H27" s="209"/>
      <c r="I27" s="209"/>
      <c r="K27" s="222">
        <f>K23*K26</f>
        <v>1478.9776884672463</v>
      </c>
      <c r="L27" s="222">
        <f t="shared" ref="L27:O27" si="18">L23*L26</f>
        <v>988.88761677809384</v>
      </c>
      <c r="M27" s="222">
        <f t="shared" si="18"/>
        <v>1039.370118383612</v>
      </c>
      <c r="N27" s="222">
        <f t="shared" si="18"/>
        <v>1049.5352569227723</v>
      </c>
      <c r="O27" s="222">
        <f t="shared" si="18"/>
        <v>1045.9702015043649</v>
      </c>
    </row>
    <row r="28" spans="2:19" x14ac:dyDescent="0.2">
      <c r="B28" s="223"/>
      <c r="E28" s="209"/>
      <c r="F28" s="209"/>
      <c r="G28" s="209"/>
      <c r="H28" s="209"/>
      <c r="I28" s="209"/>
      <c r="K28" s="301"/>
      <c r="L28" s="301"/>
      <c r="M28" s="301"/>
      <c r="N28" s="301"/>
      <c r="O28" s="301"/>
    </row>
    <row r="29" spans="2:19" x14ac:dyDescent="0.2">
      <c r="B29" s="209" t="s">
        <v>255</v>
      </c>
      <c r="E29" s="209"/>
      <c r="F29" s="209"/>
      <c r="G29" s="209"/>
      <c r="H29" s="209"/>
      <c r="I29" s="209"/>
      <c r="K29" s="312">
        <v>2619</v>
      </c>
      <c r="L29" s="312">
        <v>2699</v>
      </c>
      <c r="M29" s="312">
        <v>2823</v>
      </c>
      <c r="N29" s="301"/>
      <c r="O29" s="301"/>
    </row>
    <row r="30" spans="2:19" x14ac:dyDescent="0.2">
      <c r="B30" s="209" t="s">
        <v>256</v>
      </c>
      <c r="E30" s="209"/>
      <c r="F30" s="209"/>
      <c r="G30" s="209"/>
      <c r="H30" s="209"/>
      <c r="I30" s="209"/>
      <c r="K30" s="312">
        <v>1234</v>
      </c>
      <c r="L30" s="312">
        <v>1602</v>
      </c>
      <c r="M30" s="312">
        <v>1404</v>
      </c>
      <c r="N30" s="301"/>
      <c r="O30" s="301"/>
    </row>
    <row r="31" spans="2:19" x14ac:dyDescent="0.2">
      <c r="B31" s="209" t="s">
        <v>257</v>
      </c>
      <c r="E31" s="209"/>
      <c r="F31" s="209"/>
      <c r="G31" s="209"/>
      <c r="H31" s="209"/>
      <c r="I31" s="209"/>
      <c r="K31" s="303">
        <f>NPV(D40,K30:M30)</f>
        <v>3538.155369824603</v>
      </c>
      <c r="L31" s="303"/>
      <c r="M31" s="303"/>
      <c r="N31" s="301"/>
      <c r="O31" s="301"/>
    </row>
    <row r="32" spans="2:19" x14ac:dyDescent="0.2">
      <c r="B32" s="209" t="s">
        <v>258</v>
      </c>
      <c r="E32" s="209"/>
      <c r="F32" s="209"/>
      <c r="G32" s="209"/>
      <c r="H32" s="209"/>
      <c r="I32" s="209"/>
      <c r="K32" s="303">
        <f>D55*D52-D49</f>
        <v>17974.268</v>
      </c>
      <c r="L32" s="303"/>
      <c r="M32" s="303"/>
      <c r="N32" s="301"/>
      <c r="O32" s="301"/>
    </row>
    <row r="33" spans="2:15" x14ac:dyDescent="0.2">
      <c r="B33" s="209" t="s">
        <v>367</v>
      </c>
      <c r="E33" s="209"/>
      <c r="F33" s="209"/>
      <c r="G33" s="209"/>
      <c r="H33" s="209"/>
      <c r="I33" s="209"/>
      <c r="K33" s="303">
        <f>K32-K31</f>
        <v>14436.112630175397</v>
      </c>
      <c r="L33" s="303"/>
      <c r="M33" s="303"/>
      <c r="N33" s="301"/>
      <c r="O33" s="301"/>
    </row>
    <row r="34" spans="2:15" x14ac:dyDescent="0.2">
      <c r="B34" s="209" t="s">
        <v>366</v>
      </c>
      <c r="E34" s="209"/>
      <c r="F34" s="209"/>
      <c r="G34" s="209"/>
      <c r="H34" s="209"/>
      <c r="I34" s="209"/>
      <c r="K34" s="303">
        <f>K33*(1+D40)^3</f>
        <v>18906.943041254784</v>
      </c>
      <c r="L34" s="303"/>
      <c r="M34" s="303"/>
      <c r="N34" s="301"/>
      <c r="O34" s="301"/>
    </row>
    <row r="35" spans="2:15" x14ac:dyDescent="0.2">
      <c r="B35" s="223" t="s">
        <v>259</v>
      </c>
      <c r="E35" s="209"/>
      <c r="F35" s="209"/>
      <c r="G35" s="209"/>
      <c r="H35" s="209"/>
      <c r="I35" s="209"/>
      <c r="K35" s="302">
        <f>K34/M29</f>
        <v>6.6974647684218152</v>
      </c>
      <c r="L35" s="301"/>
      <c r="M35" s="301"/>
      <c r="N35" s="301"/>
      <c r="O35" s="301"/>
    </row>
    <row r="36" spans="2:15" x14ac:dyDescent="0.2">
      <c r="E36" s="209"/>
      <c r="F36" s="209"/>
      <c r="G36" s="209"/>
      <c r="H36" s="209"/>
      <c r="I36" s="209"/>
    </row>
    <row r="37" spans="2:15" ht="18" x14ac:dyDescent="0.2">
      <c r="B37" s="226" t="s">
        <v>260</v>
      </c>
      <c r="C37" s="227"/>
      <c r="D37" s="228"/>
    </row>
    <row r="38" spans="2:15" ht="5.25" customHeight="1" x14ac:dyDescent="0.2">
      <c r="B38" s="230"/>
      <c r="C38" s="230"/>
      <c r="D38" s="230"/>
    </row>
    <row r="39" spans="2:15" ht="15.75" hidden="1" customHeight="1" outlineLevel="1" x14ac:dyDescent="0.2">
      <c r="B39" s="209" t="s">
        <v>261</v>
      </c>
      <c r="C39" s="230"/>
      <c r="D39" s="231">
        <f>O23</f>
        <v>1567.7466928397832</v>
      </c>
    </row>
    <row r="40" spans="2:15" collapsed="1" x14ac:dyDescent="0.2">
      <c r="B40" s="209" t="s">
        <v>262</v>
      </c>
      <c r="D40" s="232">
        <f>'General Assumptions'!C11</f>
        <v>9.4100000000000003E-2</v>
      </c>
    </row>
    <row r="41" spans="2:15" x14ac:dyDescent="0.2">
      <c r="B41" s="209" t="s">
        <v>263</v>
      </c>
      <c r="D41" s="232">
        <f>'General Assumptions'!C16</f>
        <v>1.4999999999999999E-2</v>
      </c>
      <c r="J41" s="233"/>
      <c r="K41" s="234"/>
    </row>
    <row r="42" spans="2:15" x14ac:dyDescent="0.2">
      <c r="B42" s="209" t="s">
        <v>264</v>
      </c>
      <c r="D42" s="231">
        <f>(O23*(1+D41))/(D40-D41)</f>
        <v>20117.103580687482</v>
      </c>
      <c r="J42" s="233"/>
    </row>
    <row r="43" spans="2:15" ht="5.25" customHeight="1" x14ac:dyDescent="0.2">
      <c r="D43" s="235"/>
    </row>
    <row r="44" spans="2:15" x14ac:dyDescent="0.2">
      <c r="B44" s="236" t="s">
        <v>265</v>
      </c>
      <c r="C44" s="237"/>
      <c r="D44" s="238">
        <f>D42*O26</f>
        <v>13421.741523728575</v>
      </c>
    </row>
    <row r="45" spans="2:15" ht="5.25" customHeight="1" x14ac:dyDescent="0.2">
      <c r="D45" s="235"/>
    </row>
    <row r="46" spans="2:15" x14ac:dyDescent="0.2">
      <c r="B46" s="209" t="s">
        <v>254</v>
      </c>
      <c r="D46" s="231">
        <f>SUM(K27:O27)</f>
        <v>5602.7408820560895</v>
      </c>
    </row>
    <row r="47" spans="2:15" x14ac:dyDescent="0.2">
      <c r="B47" s="236" t="s">
        <v>266</v>
      </c>
      <c r="C47" s="237"/>
      <c r="D47" s="238">
        <f>D44+D46</f>
        <v>19024.482405784664</v>
      </c>
    </row>
    <row r="48" spans="2:15" ht="5.25" customHeight="1" x14ac:dyDescent="0.2">
      <c r="D48" s="235"/>
    </row>
    <row r="49" spans="2:4" x14ac:dyDescent="0.2">
      <c r="B49" s="209" t="s">
        <v>267</v>
      </c>
      <c r="D49" s="231">
        <f>'Three Statement Model'!H88-'Three Statement Model'!H66</f>
        <v>-434</v>
      </c>
    </row>
    <row r="50" spans="2:4" x14ac:dyDescent="0.2">
      <c r="B50" s="236" t="s">
        <v>268</v>
      </c>
      <c r="C50" s="237"/>
      <c r="D50" s="238">
        <f>D47-D49</f>
        <v>19458.482405784664</v>
      </c>
    </row>
    <row r="51" spans="2:4" ht="5.25" customHeight="1" x14ac:dyDescent="0.2">
      <c r="D51" s="235"/>
    </row>
    <row r="52" spans="2:4" x14ac:dyDescent="0.2">
      <c r="B52" s="209" t="s">
        <v>269</v>
      </c>
      <c r="D52" s="231">
        <f>'[1]Three Statement Model'!H46</f>
        <v>216.6</v>
      </c>
    </row>
    <row r="53" spans="2:4" ht="5.25" customHeight="1" x14ac:dyDescent="0.2">
      <c r="D53" s="231"/>
    </row>
    <row r="54" spans="2:4" x14ac:dyDescent="0.2">
      <c r="B54" s="239" t="s">
        <v>270</v>
      </c>
      <c r="C54" s="240"/>
      <c r="D54" s="241">
        <f>D50/D52</f>
        <v>89.836022187371483</v>
      </c>
    </row>
    <row r="55" spans="2:4" x14ac:dyDescent="0.2">
      <c r="B55" s="242" t="s">
        <v>271</v>
      </c>
      <c r="C55" s="213"/>
      <c r="D55" s="243">
        <v>80.98</v>
      </c>
    </row>
    <row r="56" spans="2:4" x14ac:dyDescent="0.2">
      <c r="B56" s="244" t="s">
        <v>272</v>
      </c>
      <c r="C56" s="245"/>
      <c r="D56" s="246">
        <f>D54/D55-1</f>
        <v>0.10936060987122098</v>
      </c>
    </row>
    <row r="58" spans="2:4" ht="18" x14ac:dyDescent="0.2">
      <c r="B58" s="226" t="s">
        <v>273</v>
      </c>
      <c r="C58" s="227"/>
      <c r="D58" s="228"/>
    </row>
    <row r="59" spans="2:4" ht="5.25" customHeight="1" x14ac:dyDescent="0.2">
      <c r="D59" s="235"/>
    </row>
    <row r="60" spans="2:4" x14ac:dyDescent="0.2">
      <c r="B60" s="209" t="s">
        <v>262</v>
      </c>
      <c r="D60" s="247">
        <f>D40</f>
        <v>9.4100000000000003E-2</v>
      </c>
    </row>
    <row r="61" spans="2:4" x14ac:dyDescent="0.2">
      <c r="B61" s="209" t="s">
        <v>274</v>
      </c>
      <c r="D61" s="248">
        <f>K35</f>
        <v>6.6974647684218152</v>
      </c>
    </row>
    <row r="62" spans="2:4" x14ac:dyDescent="0.2">
      <c r="B62" s="209" t="s">
        <v>264</v>
      </c>
      <c r="D62" s="231">
        <f>D61*O11</f>
        <v>19395.817893976135</v>
      </c>
    </row>
    <row r="63" spans="2:4" x14ac:dyDescent="0.2">
      <c r="B63" s="236" t="s">
        <v>265</v>
      </c>
      <c r="C63" s="237"/>
      <c r="D63" s="238">
        <f>D62*O26</f>
        <v>12940.513696224694</v>
      </c>
    </row>
    <row r="64" spans="2:4" ht="5.25" customHeight="1" x14ac:dyDescent="0.2">
      <c r="D64" s="235"/>
    </row>
    <row r="65" spans="2:23" x14ac:dyDescent="0.2">
      <c r="B65" s="209" t="s">
        <v>254</v>
      </c>
      <c r="D65" s="231">
        <f>D46</f>
        <v>5602.7408820560895</v>
      </c>
    </row>
    <row r="66" spans="2:23" x14ac:dyDescent="0.2">
      <c r="B66" s="236" t="s">
        <v>266</v>
      </c>
      <c r="C66" s="237"/>
      <c r="D66" s="238">
        <f>D63+D65</f>
        <v>18543.254578280783</v>
      </c>
    </row>
    <row r="67" spans="2:23" ht="5.25" customHeight="1" x14ac:dyDescent="0.2">
      <c r="D67" s="235"/>
    </row>
    <row r="68" spans="2:23" x14ac:dyDescent="0.2">
      <c r="B68" s="209" t="s">
        <v>267</v>
      </c>
      <c r="D68" s="231">
        <f>D49</f>
        <v>-434</v>
      </c>
    </row>
    <row r="69" spans="2:23" x14ac:dyDescent="0.2">
      <c r="B69" s="236" t="s">
        <v>268</v>
      </c>
      <c r="C69" s="237"/>
      <c r="D69" s="238">
        <f>D66-D68</f>
        <v>18977.254578280783</v>
      </c>
    </row>
    <row r="70" spans="2:23" ht="5.25" customHeight="1" x14ac:dyDescent="0.2">
      <c r="D70" s="235"/>
    </row>
    <row r="71" spans="2:23" x14ac:dyDescent="0.2">
      <c r="B71" s="209" t="s">
        <v>269</v>
      </c>
      <c r="D71" s="231">
        <f>D52</f>
        <v>216.6</v>
      </c>
    </row>
    <row r="72" spans="2:23" ht="5.25" customHeight="1" x14ac:dyDescent="0.2">
      <c r="D72" s="235"/>
    </row>
    <row r="73" spans="2:23" x14ac:dyDescent="0.2">
      <c r="B73" s="239" t="s">
        <v>270</v>
      </c>
      <c r="C73" s="240"/>
      <c r="D73" s="241">
        <f>D69/D71</f>
        <v>87.614287065008227</v>
      </c>
    </row>
    <row r="74" spans="2:23" x14ac:dyDescent="0.2">
      <c r="B74" s="242" t="s">
        <v>271</v>
      </c>
      <c r="C74" s="213"/>
      <c r="D74" s="243">
        <v>80.98</v>
      </c>
    </row>
    <row r="75" spans="2:23" x14ac:dyDescent="0.2">
      <c r="B75" s="244" t="s">
        <v>272</v>
      </c>
      <c r="C75" s="245"/>
      <c r="D75" s="246">
        <f>D73/D74-1</f>
        <v>8.1925006977132897E-2</v>
      </c>
    </row>
    <row r="78" spans="2:23" x14ac:dyDescent="0.2">
      <c r="B78" s="223" t="s">
        <v>275</v>
      </c>
      <c r="D78" s="304">
        <f>AVERAGE(D73,D54)</f>
        <v>88.725154626189862</v>
      </c>
    </row>
    <row r="79" spans="2:23" x14ac:dyDescent="0.2">
      <c r="B79" s="223" t="s">
        <v>276</v>
      </c>
      <c r="D79" s="224">
        <f>AVERAGE(D66,D47)</f>
        <v>18783.868492032721</v>
      </c>
    </row>
    <row r="80" spans="2:23" ht="18" x14ac:dyDescent="0.2">
      <c r="B80" s="209" t="s">
        <v>381</v>
      </c>
      <c r="D80" s="248">
        <f>D79/K11</f>
        <v>8.1325072167787322</v>
      </c>
      <c r="Q80" s="149"/>
      <c r="R80" s="149"/>
      <c r="S80" s="249" t="s">
        <v>262</v>
      </c>
      <c r="T80" s="250"/>
      <c r="U80" s="250"/>
      <c r="V80" s="250"/>
      <c r="W80" s="250"/>
    </row>
    <row r="81" spans="17:23" ht="17.5" customHeight="1" thickBot="1" x14ac:dyDescent="0.25">
      <c r="R81" s="251">
        <f>D73</f>
        <v>87.614287065008227</v>
      </c>
      <c r="S81" s="252">
        <f>T81-0.5%</f>
        <v>8.4099999999999994E-2</v>
      </c>
      <c r="T81" s="252">
        <f>U81-0.5%</f>
        <v>8.9099999999999999E-2</v>
      </c>
      <c r="U81" s="252">
        <v>9.4100000000000003E-2</v>
      </c>
      <c r="V81" s="252">
        <f>U81+0.5%</f>
        <v>9.9100000000000008E-2</v>
      </c>
      <c r="W81" s="252">
        <f>V81+0.5%</f>
        <v>0.10410000000000001</v>
      </c>
    </row>
    <row r="82" spans="17:23" ht="23.25" customHeight="1" x14ac:dyDescent="0.2">
      <c r="Q82" s="389" t="s">
        <v>277</v>
      </c>
      <c r="R82" s="253">
        <f>R83-0.5</f>
        <v>5.6974647684218152</v>
      </c>
      <c r="S82" s="254">
        <f t="dataTable" ref="S82:W86" dt2D="1" dtr="1" r1="D40" r2="D61" ca="1"/>
        <v>81.405992962511917</v>
      </c>
      <c r="T82" s="254">
        <v>80.033637681067788</v>
      </c>
      <c r="U82" s="254">
        <v>78.693922029643019</v>
      </c>
      <c r="V82" s="254">
        <v>77.385910635554524</v>
      </c>
      <c r="W82" s="254">
        <v>76.108699202909392</v>
      </c>
    </row>
    <row r="83" spans="17:23" ht="23.25" customHeight="1" x14ac:dyDescent="0.2">
      <c r="Q83" s="389"/>
      <c r="R83" s="253">
        <f>R84-0.5</f>
        <v>6.1974647684218152</v>
      </c>
      <c r="S83" s="254">
        <v>76.757660715957584</v>
      </c>
      <c r="T83" s="254">
        <v>75.480567956373704</v>
      </c>
      <c r="U83" s="254">
        <v>74.233739511960394</v>
      </c>
      <c r="V83" s="254">
        <v>73.01630968936098</v>
      </c>
      <c r="W83" s="254">
        <v>71.827441524125717</v>
      </c>
    </row>
    <row r="84" spans="17:23" ht="23.25" customHeight="1" x14ac:dyDescent="0.2">
      <c r="Q84" s="389"/>
      <c r="R84" s="253">
        <f>D61</f>
        <v>6.6974647684218152</v>
      </c>
      <c r="S84" s="254">
        <v>76.757660715957584</v>
      </c>
      <c r="T84" s="254">
        <v>75.480567956373704</v>
      </c>
      <c r="U84" s="254">
        <v>74.233739511960394</v>
      </c>
      <c r="V84" s="254">
        <v>73.01630968936098</v>
      </c>
      <c r="W84" s="254">
        <v>71.827441524125717</v>
      </c>
    </row>
    <row r="85" spans="17:23" ht="23.25" customHeight="1" x14ac:dyDescent="0.2">
      <c r="Q85" s="389"/>
      <c r="R85" s="253">
        <f>R84+0.5</f>
        <v>7.1974647684218152</v>
      </c>
      <c r="S85" s="254">
        <v>81.405992962511917</v>
      </c>
      <c r="T85" s="254">
        <v>80.033637681067788</v>
      </c>
      <c r="U85" s="254">
        <v>78.693922029643019</v>
      </c>
      <c r="V85" s="254">
        <v>77.385910635554524</v>
      </c>
      <c r="W85" s="254">
        <v>76.108699202909392</v>
      </c>
    </row>
    <row r="86" spans="17:23" ht="23.25" customHeight="1" x14ac:dyDescent="0.2">
      <c r="Q86" s="389"/>
      <c r="R86" s="253">
        <f>R85+0.5</f>
        <v>7.6974647684218152</v>
      </c>
      <c r="S86" s="254">
        <v>90.702657455620596</v>
      </c>
      <c r="T86" s="254">
        <v>89.139777130455983</v>
      </c>
      <c r="U86" s="254">
        <v>87.614287065008227</v>
      </c>
      <c r="V86" s="254">
        <v>86.125112527941653</v>
      </c>
      <c r="W86" s="254">
        <v>84.671214560476741</v>
      </c>
    </row>
    <row r="88" spans="17:23" ht="18" x14ac:dyDescent="0.2">
      <c r="S88" s="255" t="s">
        <v>262</v>
      </c>
      <c r="T88" s="256"/>
      <c r="U88" s="256"/>
      <c r="V88" s="256"/>
      <c r="W88" s="256"/>
    </row>
    <row r="89" spans="17:23" ht="17.5" customHeight="1" thickBot="1" x14ac:dyDescent="0.25">
      <c r="R89" s="251">
        <f>D54</f>
        <v>89.836022187371483</v>
      </c>
      <c r="S89" s="252">
        <f>T89-0.5%</f>
        <v>8.4099999999999994E-2</v>
      </c>
      <c r="T89" s="252">
        <f>U89-0.5%</f>
        <v>8.9099999999999999E-2</v>
      </c>
      <c r="U89" s="252">
        <v>9.4100000000000003E-2</v>
      </c>
      <c r="V89" s="252">
        <f>U89+0.5%</f>
        <v>9.9100000000000008E-2</v>
      </c>
      <c r="W89" s="252">
        <f>V89+0.5%</f>
        <v>0.10410000000000001</v>
      </c>
    </row>
    <row r="90" spans="17:23" ht="23.25" customHeight="1" x14ac:dyDescent="0.2">
      <c r="Q90" s="389" t="s">
        <v>278</v>
      </c>
      <c r="R90" s="257">
        <f>R91-0.25%</f>
        <v>9.9999999999999985E-3</v>
      </c>
      <c r="S90" s="254">
        <f t="dataTable" ref="S90:W94" dt2D="1" dtr="1" r1="D40" r2="D41" ca="1"/>
        <v>97.036116969247246</v>
      </c>
      <c r="T90" s="254">
        <v>91.096175660836096</v>
      </c>
      <c r="U90" s="254">
        <v>85.864880314421754</v>
      </c>
      <c r="V90" s="254">
        <v>81.222871934413078</v>
      </c>
      <c r="W90" s="254">
        <v>77.076161626500834</v>
      </c>
    </row>
    <row r="91" spans="17:23" ht="23.25" customHeight="1" x14ac:dyDescent="0.2">
      <c r="Q91" s="389"/>
      <c r="R91" s="257">
        <f>R92-0.25%</f>
        <v>1.2499999999999999E-2</v>
      </c>
      <c r="S91" s="254">
        <v>99.607007081310527</v>
      </c>
      <c r="T91" s="254">
        <v>93.311386375723814</v>
      </c>
      <c r="U91" s="254">
        <v>87.78961880798991</v>
      </c>
      <c r="V91" s="254">
        <v>82.90760704213433</v>
      </c>
      <c r="W91" s="254">
        <v>78.560534188540174</v>
      </c>
    </row>
    <row r="92" spans="17:23" ht="23.25" customHeight="1" x14ac:dyDescent="0.2">
      <c r="Q92" s="389"/>
      <c r="R92" s="257">
        <v>1.4999999999999999E-2</v>
      </c>
      <c r="S92" s="254">
        <v>102.36392397427562</v>
      </c>
      <c r="T92" s="254">
        <v>95.676071497823912</v>
      </c>
      <c r="U92" s="254">
        <v>89.836022187371483</v>
      </c>
      <c r="V92" s="254">
        <v>84.692504760302754</v>
      </c>
      <c r="W92" s="254">
        <v>80.128204874150711</v>
      </c>
    </row>
    <row r="93" spans="17:23" ht="23.25" customHeight="1" x14ac:dyDescent="0.2">
      <c r="Q93" s="389"/>
      <c r="R93" s="257">
        <f>R92+0.25%</f>
        <v>1.7499999999999998E-2</v>
      </c>
      <c r="S93" s="254">
        <v>105.32781660995583</v>
      </c>
      <c r="T93" s="254">
        <v>98.205888262528774</v>
      </c>
      <c r="U93" s="254">
        <v>92.016002810838017</v>
      </c>
      <c r="V93" s="254">
        <v>86.586771211202105</v>
      </c>
      <c r="W93" s="254">
        <v>81.786387724057519</v>
      </c>
    </row>
    <row r="94" spans="17:23" ht="23.25" customHeight="1" x14ac:dyDescent="0.2">
      <c r="Q94" s="389"/>
      <c r="R94" s="257">
        <f>R93+0.25%</f>
        <v>1.9999999999999997E-2</v>
      </c>
      <c r="S94" s="254">
        <v>108.52290211893403</v>
      </c>
      <c r="T94" s="254">
        <v>100.91875978589535</v>
      </c>
      <c r="U94" s="254">
        <v>94.34308064236572</v>
      </c>
      <c r="V94" s="254">
        <v>88.600776375811861</v>
      </c>
      <c r="W94" s="254">
        <v>83.543154572175155</v>
      </c>
    </row>
  </sheetData>
  <mergeCells count="3">
    <mergeCell ref="B1:D2"/>
    <mergeCell ref="Q82:Q86"/>
    <mergeCell ref="Q90:Q94"/>
  </mergeCells>
  <dataValidations disablePrompts="1" count="1">
    <dataValidation type="list" allowBlank="1" showInputMessage="1" showErrorMessage="1" sqref="P2" xr:uid="{3F98EF04-C5D9-4946-89F7-1F540C28F94C}">
      <formula1>"Yes,No"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3D0EE-7987-4BF8-89F6-4A7902F88A8B}">
  <dimension ref="B2:J14"/>
  <sheetViews>
    <sheetView showGridLines="0" zoomScale="71" workbookViewId="0">
      <selection activeCell="F2" sqref="F2:J13"/>
    </sheetView>
  </sheetViews>
  <sheetFormatPr baseColWidth="10" defaultColWidth="8.6640625" defaultRowHeight="14" outlineLevelRow="1" x14ac:dyDescent="0.15"/>
  <cols>
    <col min="1" max="1" width="8.6640625" style="229"/>
    <col min="2" max="2" width="17" style="229" bestFit="1" customWidth="1"/>
    <col min="3" max="5" width="8.6640625" style="229"/>
    <col min="6" max="6" width="14.83203125" style="229" bestFit="1" customWidth="1"/>
    <col min="7" max="7" width="11.6640625" style="229" bestFit="1" customWidth="1"/>
    <col min="8" max="8" width="1.83203125" style="229" customWidth="1"/>
    <col min="9" max="9" width="16.6640625" style="229" bestFit="1" customWidth="1"/>
    <col min="10" max="10" width="8.5" style="229" bestFit="1" customWidth="1"/>
    <col min="11" max="16384" width="8.6640625" style="229"/>
  </cols>
  <sheetData>
    <row r="2" spans="2:10" x14ac:dyDescent="0.15">
      <c r="B2" s="229" t="s">
        <v>383</v>
      </c>
      <c r="C2" s="229">
        <v>3.9899999999999998E-2</v>
      </c>
      <c r="F2" s="367" t="s">
        <v>398</v>
      </c>
      <c r="G2" s="368"/>
      <c r="H2" s="368"/>
      <c r="I2" s="368"/>
      <c r="J2" s="369"/>
    </row>
    <row r="3" spans="2:10" ht="5" customHeight="1" thickBot="1" x14ac:dyDescent="0.2">
      <c r="F3" s="343"/>
      <c r="G3" s="343"/>
      <c r="H3" s="343"/>
      <c r="I3" s="343"/>
      <c r="J3" s="343"/>
    </row>
    <row r="4" spans="2:10" x14ac:dyDescent="0.15">
      <c r="B4" s="229" t="s">
        <v>384</v>
      </c>
      <c r="C4" s="229" t="s">
        <v>342</v>
      </c>
      <c r="F4" s="346" t="s">
        <v>391</v>
      </c>
      <c r="G4" s="347" t="s">
        <v>342</v>
      </c>
      <c r="I4" s="346" t="s">
        <v>394</v>
      </c>
      <c r="J4" s="352">
        <f>C10</f>
        <v>1.18</v>
      </c>
    </row>
    <row r="5" spans="2:10" x14ac:dyDescent="0.15">
      <c r="B5" s="229" t="s">
        <v>343</v>
      </c>
      <c r="C5" s="229">
        <v>4.9000000000000002E-2</v>
      </c>
      <c r="F5" s="348" t="s">
        <v>390</v>
      </c>
      <c r="G5" s="349">
        <f>C2</f>
        <v>3.9899999999999998E-2</v>
      </c>
      <c r="I5" s="348" t="s">
        <v>397</v>
      </c>
      <c r="J5" s="349">
        <f>J6+G5</f>
        <v>9.4899999999999998E-2</v>
      </c>
    </row>
    <row r="6" spans="2:10" x14ac:dyDescent="0.15">
      <c r="B6" s="229" t="s">
        <v>385</v>
      </c>
      <c r="C6" s="229">
        <v>0.16</v>
      </c>
      <c r="F6" s="348" t="s">
        <v>392</v>
      </c>
      <c r="G6" s="349">
        <f>C5</f>
        <v>4.9000000000000002E-2</v>
      </c>
      <c r="I6" s="348" t="s">
        <v>395</v>
      </c>
      <c r="J6" s="349">
        <f>C8</f>
        <v>5.5E-2</v>
      </c>
    </row>
    <row r="7" spans="2:10" x14ac:dyDescent="0.15">
      <c r="B7" s="229" t="s">
        <v>386</v>
      </c>
      <c r="C7" s="229">
        <v>0.22</v>
      </c>
      <c r="F7" s="348" t="s">
        <v>393</v>
      </c>
      <c r="G7" s="349">
        <f>C7</f>
        <v>0.22</v>
      </c>
      <c r="I7" s="348" t="s">
        <v>396</v>
      </c>
      <c r="J7" s="349">
        <f>J4*J6+G5</f>
        <v>0.1048</v>
      </c>
    </row>
    <row r="8" spans="2:10" ht="15" thickBot="1" x14ac:dyDescent="0.2">
      <c r="B8" s="229" t="s">
        <v>387</v>
      </c>
      <c r="C8" s="229">
        <v>5.5E-2</v>
      </c>
      <c r="F8" s="350" t="s">
        <v>399</v>
      </c>
      <c r="G8" s="351">
        <v>0.16</v>
      </c>
      <c r="I8" s="350" t="s">
        <v>400</v>
      </c>
      <c r="J8" s="351">
        <f>1-G8</f>
        <v>0.84</v>
      </c>
    </row>
    <row r="9" spans="2:10" hidden="1" outlineLevel="1" x14ac:dyDescent="0.15">
      <c r="B9" s="229" t="s">
        <v>388</v>
      </c>
      <c r="C9" s="229">
        <v>1.2667433619995816</v>
      </c>
      <c r="F9" s="367" t="s">
        <v>398</v>
      </c>
      <c r="G9" s="368"/>
      <c r="H9" s="368"/>
      <c r="I9" s="368"/>
      <c r="J9" s="369"/>
    </row>
    <row r="10" spans="2:10" ht="5" hidden="1" customHeight="1" outlineLevel="1" thickBot="1" x14ac:dyDescent="0.2">
      <c r="B10" s="229" t="s">
        <v>389</v>
      </c>
      <c r="C10" s="229">
        <v>1.18</v>
      </c>
      <c r="F10" s="343"/>
      <c r="G10" s="343"/>
      <c r="H10" s="343"/>
      <c r="I10" s="343"/>
      <c r="J10" s="343"/>
    </row>
    <row r="11" spans="2:10" ht="15" hidden="1" outlineLevel="1" thickBot="1" x14ac:dyDescent="0.2">
      <c r="F11" s="365" t="s">
        <v>392</v>
      </c>
      <c r="G11" s="366">
        <f>G6</f>
        <v>4.9000000000000002E-2</v>
      </c>
      <c r="I11" s="365" t="s">
        <v>396</v>
      </c>
      <c r="J11" s="366">
        <f>J7</f>
        <v>0.1048</v>
      </c>
    </row>
    <row r="12" spans="2:10" customFormat="1" ht="5" customHeight="1" collapsed="1" thickBot="1" x14ac:dyDescent="0.25"/>
    <row r="13" spans="2:10" ht="15" thickBot="1" x14ac:dyDescent="0.2">
      <c r="B13" s="229" t="s">
        <v>345</v>
      </c>
      <c r="C13" s="229">
        <v>0.1048</v>
      </c>
      <c r="F13" s="353">
        <f>(G8*G6*(1-G7))+(J8*J7)</f>
        <v>9.41472E-2</v>
      </c>
      <c r="G13" s="344"/>
      <c r="H13" s="344"/>
      <c r="I13" s="344"/>
      <c r="J13" s="345"/>
    </row>
    <row r="14" spans="2:10" x14ac:dyDescent="0.15">
      <c r="B14" s="229" t="s">
        <v>262</v>
      </c>
      <c r="C14" s="229">
        <v>9.4100000000000003E-2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D4260-2A98-4CC4-94A8-544430C0729F}">
  <dimension ref="B2:X1287"/>
  <sheetViews>
    <sheetView showGridLines="0" topLeftCell="D13" zoomScale="71" workbookViewId="0">
      <selection activeCell="R26" sqref="N26:R32"/>
    </sheetView>
  </sheetViews>
  <sheetFormatPr baseColWidth="10" defaultColWidth="8.6640625" defaultRowHeight="14" x14ac:dyDescent="0.15"/>
  <cols>
    <col min="1" max="1" width="8.6640625" style="229"/>
    <col min="2" max="2" width="11.1640625" style="229" bestFit="1" customWidth="1"/>
    <col min="3" max="7" width="9.33203125" style="229" customWidth="1"/>
    <col min="8" max="8" width="9.1640625" style="229" customWidth="1"/>
    <col min="9" max="9" width="11.33203125" style="229" bestFit="1" customWidth="1"/>
    <col min="10" max="10" width="10.33203125" style="229" bestFit="1" customWidth="1"/>
    <col min="11" max="11" width="11" style="229" bestFit="1" customWidth="1"/>
    <col min="12" max="13" width="8.6640625" style="229"/>
    <col min="14" max="14" width="24" style="229" bestFit="1" customWidth="1"/>
    <col min="15" max="15" width="8.33203125" style="229" bestFit="1" customWidth="1"/>
    <col min="16" max="16" width="1.6640625" style="229" customWidth="1"/>
    <col min="17" max="17" width="24" style="229" bestFit="1" customWidth="1"/>
    <col min="18" max="18" width="9.1640625" style="229" bestFit="1" customWidth="1"/>
    <col min="19" max="22" width="8.6640625" style="229"/>
    <col min="23" max="23" width="29.33203125" style="229" bestFit="1" customWidth="1"/>
    <col min="24" max="16384" width="8.6640625" style="229"/>
  </cols>
  <sheetData>
    <row r="2" spans="2:10" x14ac:dyDescent="0.15">
      <c r="B2" s="362"/>
      <c r="C2" s="363">
        <v>2024</v>
      </c>
      <c r="D2" s="363">
        <f>C2+1</f>
        <v>2025</v>
      </c>
      <c r="E2" s="364">
        <f t="shared" ref="E2:G2" si="0">D2+1</f>
        <v>2026</v>
      </c>
      <c r="F2" s="364">
        <f t="shared" si="0"/>
        <v>2027</v>
      </c>
      <c r="G2" s="364">
        <f t="shared" si="0"/>
        <v>2028</v>
      </c>
      <c r="H2" s="356"/>
    </row>
    <row r="3" spans="2:10" x14ac:dyDescent="0.15">
      <c r="B3" s="357" t="s">
        <v>95</v>
      </c>
      <c r="C3" s="358">
        <f>DCF!K5</f>
        <v>40904.251105770825</v>
      </c>
      <c r="D3" s="358">
        <f>DCF!L5</f>
        <v>40723.318053779454</v>
      </c>
      <c r="E3" s="358">
        <f>DCF!M5</f>
        <v>41207.585043944753</v>
      </c>
      <c r="F3" s="358">
        <f>DCF!N5</f>
        <v>41369.946055395172</v>
      </c>
      <c r="G3" s="358">
        <f>DCF!O5</f>
        <v>41600.109975677769</v>
      </c>
      <c r="H3" s="358"/>
      <c r="I3" s="354">
        <v>44161</v>
      </c>
    </row>
    <row r="4" spans="2:10" ht="5" customHeight="1" x14ac:dyDescent="0.15">
      <c r="I4" s="354"/>
    </row>
    <row r="5" spans="2:10" x14ac:dyDescent="0.15">
      <c r="B5" s="357" t="s">
        <v>401</v>
      </c>
      <c r="C5" s="359">
        <f>'Three Statement Model'!G7</f>
        <v>-6.1471337854766994E-2</v>
      </c>
      <c r="D5" s="359">
        <f>'Three Statement Model'!H7</f>
        <v>-4.4278744361594402E-2</v>
      </c>
      <c r="E5" s="359">
        <f>'Three Statement Model'!I7</f>
        <v>-1.5011444123778528E-2</v>
      </c>
      <c r="F5" s="359">
        <f>'Three Statement Model'!J7</f>
        <v>-4.4233312455351781E-3</v>
      </c>
      <c r="G5" s="359">
        <f>'Three Statement Model'!K7</f>
        <v>1.1891638827803197E-2</v>
      </c>
      <c r="I5" s="354">
        <v>45987</v>
      </c>
    </row>
    <row r="6" spans="2:10" ht="5" customHeight="1" x14ac:dyDescent="0.15">
      <c r="I6" s="354"/>
    </row>
    <row r="7" spans="2:10" x14ac:dyDescent="0.15">
      <c r="B7" s="357" t="s">
        <v>245</v>
      </c>
      <c r="C7" s="358">
        <f>DCF!I11</f>
        <v>2497</v>
      </c>
      <c r="D7" s="358">
        <f>DCF!J11</f>
        <v>2128</v>
      </c>
      <c r="E7" s="358">
        <f>DCF!K11</f>
        <v>2309.7266305867442</v>
      </c>
      <c r="F7" s="358">
        <f>DCF!L11</f>
        <v>2319.7621057031392</v>
      </c>
      <c r="G7" s="358">
        <f>DCF!M11</f>
        <v>2539.9553133630616</v>
      </c>
      <c r="I7" s="229" t="s">
        <v>312</v>
      </c>
    </row>
    <row r="8" spans="2:10" ht="5" customHeight="1" x14ac:dyDescent="0.15">
      <c r="I8" s="354"/>
    </row>
    <row r="9" spans="2:10" x14ac:dyDescent="0.15">
      <c r="B9" s="357" t="s">
        <v>402</v>
      </c>
      <c r="C9" s="359">
        <f>C7/C3</f>
        <v>6.1044999786042289E-2</v>
      </c>
      <c r="D9" s="359">
        <f t="shared" ref="D9:G9" si="1">D7/D3</f>
        <v>5.2255074038656445E-2</v>
      </c>
      <c r="E9" s="359">
        <f t="shared" si="1"/>
        <v>5.6051006826136417E-2</v>
      </c>
      <c r="F9" s="359">
        <f t="shared" si="1"/>
        <v>5.6073607217107128E-2</v>
      </c>
      <c r="G9" s="359">
        <f t="shared" si="1"/>
        <v>6.1056456698025334E-2</v>
      </c>
      <c r="J9" s="355"/>
    </row>
    <row r="10" spans="2:10" ht="5" customHeight="1" x14ac:dyDescent="0.15">
      <c r="J10" s="355"/>
    </row>
    <row r="11" spans="2:10" x14ac:dyDescent="0.15">
      <c r="B11" s="357" t="s">
        <v>403</v>
      </c>
      <c r="C11" s="361">
        <f>'Three Statement Model'!G60</f>
        <v>5.6796338672768876</v>
      </c>
      <c r="D11" s="361">
        <f>'Three Statement Model'!H60</f>
        <v>4.2797783933518003</v>
      </c>
      <c r="E11" s="361">
        <f>'Three Statement Model'!I60</f>
        <v>5.4198640836545957</v>
      </c>
      <c r="F11" s="361">
        <f>'Three Statement Model'!J60</f>
        <v>5.0234246395981401</v>
      </c>
      <c r="G11" s="361">
        <f>'Three Statement Model'!K60</f>
        <v>5.9709293085428436</v>
      </c>
      <c r="J11" s="355"/>
    </row>
    <row r="12" spans="2:10" ht="5" customHeight="1" x14ac:dyDescent="0.15">
      <c r="J12" s="355"/>
    </row>
    <row r="13" spans="2:10" x14ac:dyDescent="0.15">
      <c r="B13" s="357" t="s">
        <v>330</v>
      </c>
      <c r="C13" s="358">
        <f>DCF!I23</f>
        <v>467.85482625482632</v>
      </c>
      <c r="D13" s="358">
        <f>DCF!J23</f>
        <v>1182.0490797546013</v>
      </c>
      <c r="E13" s="358">
        <f>DCF!K23</f>
        <v>1546.9993506025485</v>
      </c>
      <c r="F13" s="358">
        <f>DCF!L23</f>
        <v>1131.7029959058718</v>
      </c>
      <c r="G13" s="358">
        <f>DCF!M23</f>
        <v>1301.4059017873678</v>
      </c>
      <c r="J13" s="355"/>
    </row>
    <row r="14" spans="2:10" x14ac:dyDescent="0.15">
      <c r="J14" s="355"/>
    </row>
    <row r="15" spans="2:10" x14ac:dyDescent="0.15">
      <c r="J15" s="355"/>
    </row>
    <row r="16" spans="2:10" x14ac:dyDescent="0.15">
      <c r="J16" s="355"/>
    </row>
    <row r="17" spans="2:24" x14ac:dyDescent="0.15">
      <c r="B17" s="229" t="s">
        <v>404</v>
      </c>
      <c r="C17" s="360">
        <f>DCF!D52</f>
        <v>216.6</v>
      </c>
      <c r="D17" s="360">
        <f>C17</f>
        <v>216.6</v>
      </c>
      <c r="E17" s="360">
        <f t="shared" ref="E17:G17" si="2">D17</f>
        <v>216.6</v>
      </c>
      <c r="F17" s="360">
        <f t="shared" si="2"/>
        <v>216.6</v>
      </c>
      <c r="G17" s="360">
        <f t="shared" si="2"/>
        <v>216.6</v>
      </c>
      <c r="J17" s="355"/>
      <c r="W17" s="357" t="s">
        <v>405</v>
      </c>
      <c r="X17" s="371">
        <v>17020</v>
      </c>
    </row>
    <row r="18" spans="2:24" x14ac:dyDescent="0.15">
      <c r="B18" s="229" t="s">
        <v>281</v>
      </c>
      <c r="C18" s="229">
        <f>'Three Statement Model'!G55</f>
        <v>1241</v>
      </c>
      <c r="D18" s="229">
        <f>'Three Statement Model'!H55</f>
        <v>927</v>
      </c>
      <c r="E18" s="229">
        <f>'Three Statement Model'!I55</f>
        <v>1135.9508918943561</v>
      </c>
      <c r="F18" s="229">
        <f>'Three Statement Model'!J55</f>
        <v>1033.1412485232356</v>
      </c>
      <c r="G18" s="229">
        <f>'Three Statement Model'!K55</f>
        <v>1199.0688546251681</v>
      </c>
      <c r="J18" s="355"/>
      <c r="W18" s="357" t="s">
        <v>408</v>
      </c>
      <c r="X18" s="229">
        <v>216.6</v>
      </c>
    </row>
    <row r="19" spans="2:24" x14ac:dyDescent="0.15">
      <c r="J19" s="355"/>
      <c r="W19" s="357" t="s">
        <v>407</v>
      </c>
      <c r="X19" s="229">
        <f ca="1">AVERAGE(_xlfn.ANCHORARRAY(K32))</f>
        <v>2964.6064745222911</v>
      </c>
    </row>
    <row r="20" spans="2:24" x14ac:dyDescent="0.15">
      <c r="W20" s="357" t="s">
        <v>406</v>
      </c>
      <c r="X20" s="370">
        <v>5.7</v>
      </c>
    </row>
    <row r="21" spans="2:24" x14ac:dyDescent="0.15">
      <c r="J21" s="355"/>
    </row>
    <row r="22" spans="2:24" x14ac:dyDescent="0.15">
      <c r="J22" s="355"/>
    </row>
    <row r="23" spans="2:24" x14ac:dyDescent="0.15">
      <c r="J23" s="355"/>
    </row>
    <row r="24" spans="2:24" x14ac:dyDescent="0.15">
      <c r="J24" s="355"/>
    </row>
    <row r="25" spans="2:24" x14ac:dyDescent="0.15">
      <c r="J25" s="355"/>
    </row>
    <row r="26" spans="2:24" ht="18" x14ac:dyDescent="0.2">
      <c r="J26" s="355"/>
      <c r="N26" s="372" t="s">
        <v>410</v>
      </c>
      <c r="O26" s="293"/>
      <c r="Q26" s="372" t="s">
        <v>412</v>
      </c>
      <c r="R26" s="293"/>
    </row>
    <row r="27" spans="2:24" x14ac:dyDescent="0.15">
      <c r="J27" s="355"/>
      <c r="N27" s="229" t="s">
        <v>409</v>
      </c>
      <c r="O27" s="333">
        <f>DCF!D41</f>
        <v>1.4999999999999999E-2</v>
      </c>
      <c r="Q27" s="229" t="s">
        <v>413</v>
      </c>
      <c r="R27" s="370">
        <f>DCF!D61</f>
        <v>6.6974647684218152</v>
      </c>
    </row>
    <row r="28" spans="2:24" ht="16" x14ac:dyDescent="0.2">
      <c r="J28" s="355"/>
      <c r="N28" s="209" t="s">
        <v>266</v>
      </c>
      <c r="O28" s="231">
        <f>DCF!D47</f>
        <v>19024.482405784664</v>
      </c>
      <c r="Q28" s="209" t="s">
        <v>266</v>
      </c>
      <c r="R28" s="231">
        <f>DCF!D66</f>
        <v>18543.254578280783</v>
      </c>
    </row>
    <row r="29" spans="2:24" ht="16" x14ac:dyDescent="0.2">
      <c r="J29" s="355"/>
      <c r="N29" s="209" t="s">
        <v>268</v>
      </c>
      <c r="O29" s="231">
        <f>DCF!D50</f>
        <v>19458.482405784664</v>
      </c>
      <c r="Q29" s="209" t="s">
        <v>268</v>
      </c>
      <c r="R29" s="231">
        <f>DCF!D69</f>
        <v>18977.254578280783</v>
      </c>
    </row>
    <row r="30" spans="2:24" ht="16" x14ac:dyDescent="0.2">
      <c r="J30" s="355"/>
      <c r="N30" s="236" t="s">
        <v>411</v>
      </c>
      <c r="O30" s="373">
        <f>DCF!D54</f>
        <v>89.836022187371483</v>
      </c>
      <c r="Q30" s="236" t="s">
        <v>411</v>
      </c>
      <c r="R30" s="373">
        <f>DCF!D73</f>
        <v>87.614287065008227</v>
      </c>
    </row>
    <row r="31" spans="2:24" ht="5" customHeight="1" thickBot="1" x14ac:dyDescent="0.25">
      <c r="N31" s="209"/>
      <c r="O31" s="231"/>
    </row>
    <row r="32" spans="2:24" ht="17" thickBot="1" x14ac:dyDescent="0.25">
      <c r="I32" s="229" cm="1" vm="1">
        <f t="array" aca="1" ref="I32:J1287" ca="1">_xlfn.STOCKHISTORY(I7,I3,I5,0,0,)</f>
        <v>44162</v>
      </c>
      <c r="J32" s="355" vm="2">
        <f ca="1"/>
        <v>112.63</v>
      </c>
      <c r="K32" s="229" cm="1">
        <f t="array" aca="1" ref="K32:K1287" ca="1">_xlfn.STOCKHISTORY(I7,I3,I5,0,0,5)/1000</f>
        <v>3241.3310000000001</v>
      </c>
      <c r="N32" s="377">
        <f>AVERAGE(O30,R30)</f>
        <v>88.725154626189862</v>
      </c>
      <c r="O32" s="374"/>
      <c r="P32" s="375"/>
      <c r="Q32" s="375"/>
      <c r="R32" s="376"/>
    </row>
    <row r="33" spans="9:11" x14ac:dyDescent="0.15">
      <c r="I33" s="229" vm="3">
        <f ca="1"/>
        <v>44165</v>
      </c>
      <c r="J33" s="355" vm="4">
        <f ca="1"/>
        <v>108.8</v>
      </c>
      <c r="K33" s="229">
        <f ca="1"/>
        <v>6421.9780000000001</v>
      </c>
    </row>
    <row r="34" spans="9:11" x14ac:dyDescent="0.15">
      <c r="I34" s="229" vm="5">
        <f ca="1"/>
        <v>44166</v>
      </c>
      <c r="J34" s="355" vm="6">
        <f ca="1"/>
        <v>108.86</v>
      </c>
      <c r="K34" s="229">
        <f ca="1"/>
        <v>5335.39</v>
      </c>
    </row>
    <row r="35" spans="9:11" x14ac:dyDescent="0.15">
      <c r="I35" s="229" vm="7">
        <f ca="1"/>
        <v>44167</v>
      </c>
      <c r="J35" s="355" vm="8">
        <f ca="1"/>
        <v>107.47</v>
      </c>
      <c r="K35" s="229">
        <f ca="1"/>
        <v>3384.7570000000001</v>
      </c>
    </row>
    <row r="36" spans="9:11" x14ac:dyDescent="0.15">
      <c r="I36" s="229" vm="9">
        <f ca="1"/>
        <v>44168</v>
      </c>
      <c r="J36" s="355" vm="10">
        <f ca="1"/>
        <v>106.54</v>
      </c>
      <c r="K36" s="229">
        <f ca="1"/>
        <v>4566.9790000000003</v>
      </c>
    </row>
    <row r="37" spans="9:11" x14ac:dyDescent="0.15">
      <c r="I37" s="229" vm="11">
        <f ca="1"/>
        <v>44169</v>
      </c>
      <c r="J37" s="355" vm="12">
        <f ca="1"/>
        <v>105.57</v>
      </c>
      <c r="K37" s="229">
        <f ca="1"/>
        <v>3649.424</v>
      </c>
    </row>
    <row r="38" spans="9:11" x14ac:dyDescent="0.15">
      <c r="I38" s="229" vm="13">
        <f ca="1"/>
        <v>44172</v>
      </c>
      <c r="J38" s="355" vm="14">
        <f ca="1"/>
        <v>102.73</v>
      </c>
      <c r="K38" s="229">
        <f ca="1"/>
        <v>5506.91</v>
      </c>
    </row>
    <row r="39" spans="9:11" x14ac:dyDescent="0.15">
      <c r="I39" s="229" vm="15">
        <f ca="1"/>
        <v>44173</v>
      </c>
      <c r="J39" s="355" vm="16">
        <f ca="1"/>
        <v>102.99</v>
      </c>
      <c r="K39" s="229">
        <f ca="1"/>
        <v>2974.7950000000001</v>
      </c>
    </row>
    <row r="40" spans="9:11" x14ac:dyDescent="0.15">
      <c r="I40" s="229" vm="17">
        <f ca="1"/>
        <v>44174</v>
      </c>
      <c r="J40" s="355" vm="18">
        <f ca="1"/>
        <v>104.76</v>
      </c>
      <c r="K40" s="229">
        <f ca="1"/>
        <v>4754.7110000000002</v>
      </c>
    </row>
    <row r="41" spans="9:11" x14ac:dyDescent="0.15">
      <c r="I41" s="229" vm="19">
        <f ca="1"/>
        <v>44175</v>
      </c>
      <c r="J41" s="355" vm="20">
        <f ca="1"/>
        <v>103.03</v>
      </c>
      <c r="K41" s="229">
        <f ca="1"/>
        <v>4406.6260000000002</v>
      </c>
    </row>
    <row r="42" spans="9:11" x14ac:dyDescent="0.15">
      <c r="I42" s="229" vm="21">
        <f ca="1"/>
        <v>44176</v>
      </c>
      <c r="J42" s="355" vm="22">
        <f ca="1"/>
        <v>100.6</v>
      </c>
      <c r="K42" s="229">
        <f ca="1"/>
        <v>4003.6619999999998</v>
      </c>
    </row>
    <row r="43" spans="9:11" x14ac:dyDescent="0.15">
      <c r="I43" s="229" vm="23">
        <f ca="1"/>
        <v>44179</v>
      </c>
      <c r="J43" s="355" vm="24">
        <f ca="1"/>
        <v>101.28</v>
      </c>
      <c r="K43" s="229">
        <f ca="1"/>
        <v>3926.1840000000002</v>
      </c>
    </row>
    <row r="44" spans="9:11" x14ac:dyDescent="0.15">
      <c r="I44" s="229" vm="25">
        <f ca="1"/>
        <v>44180</v>
      </c>
      <c r="J44" s="355" vm="16">
        <f ca="1"/>
        <v>102.99</v>
      </c>
      <c r="K44" s="229">
        <f ca="1"/>
        <v>3310.0129999999999</v>
      </c>
    </row>
    <row r="45" spans="9:11" x14ac:dyDescent="0.15">
      <c r="I45" s="229" vm="26">
        <f ca="1"/>
        <v>44181</v>
      </c>
      <c r="J45" s="355" vm="27">
        <f ca="1"/>
        <v>103.5</v>
      </c>
      <c r="K45" s="229">
        <f ca="1"/>
        <v>3125.5720000000001</v>
      </c>
    </row>
    <row r="46" spans="9:11" x14ac:dyDescent="0.15">
      <c r="I46" s="229" vm="28">
        <f ca="1"/>
        <v>44182</v>
      </c>
      <c r="J46" s="355" vm="29">
        <f ca="1"/>
        <v>102.34</v>
      </c>
      <c r="K46" s="229">
        <f ca="1"/>
        <v>3040.17</v>
      </c>
    </row>
    <row r="47" spans="9:11" x14ac:dyDescent="0.15">
      <c r="I47" s="229" vm="30">
        <f ca="1"/>
        <v>44183</v>
      </c>
      <c r="J47" s="355" vm="31">
        <f ca="1"/>
        <v>101.95</v>
      </c>
      <c r="K47" s="229">
        <f ca="1"/>
        <v>4856.8320000000003</v>
      </c>
    </row>
    <row r="48" spans="9:11" x14ac:dyDescent="0.15">
      <c r="I48" s="229" vm="32">
        <f ca="1"/>
        <v>44186</v>
      </c>
      <c r="J48" s="355" vm="33">
        <f ca="1"/>
        <v>103.3</v>
      </c>
      <c r="K48" s="229">
        <f ca="1"/>
        <v>2991.8530000000001</v>
      </c>
    </row>
    <row r="49" spans="9:11" x14ac:dyDescent="0.15">
      <c r="I49" s="229" vm="34">
        <f ca="1"/>
        <v>44187</v>
      </c>
      <c r="J49" s="355" vm="35">
        <f ca="1"/>
        <v>104.13</v>
      </c>
      <c r="K49" s="229">
        <f ca="1"/>
        <v>3517.4110000000001</v>
      </c>
    </row>
    <row r="50" spans="9:11" x14ac:dyDescent="0.15">
      <c r="I50" s="229" vm="36">
        <f ca="1"/>
        <v>44188</v>
      </c>
      <c r="J50" s="355" vm="29">
        <f ca="1"/>
        <v>102.34</v>
      </c>
      <c r="K50" s="229">
        <f ca="1"/>
        <v>2304.5320000000002</v>
      </c>
    </row>
    <row r="51" spans="9:11" x14ac:dyDescent="0.15">
      <c r="I51" s="229" vm="37">
        <f ca="1"/>
        <v>44189</v>
      </c>
      <c r="J51" s="355" vm="38">
        <f ca="1"/>
        <v>102.55</v>
      </c>
      <c r="K51" s="229">
        <f ca="1"/>
        <v>996.7</v>
      </c>
    </row>
    <row r="52" spans="9:11" x14ac:dyDescent="0.15">
      <c r="I52" s="229" vm="39">
        <f ca="1"/>
        <v>44193</v>
      </c>
      <c r="J52" s="355" vm="40">
        <f ca="1"/>
        <v>102.58</v>
      </c>
      <c r="K52" s="229">
        <f ca="1"/>
        <v>2598.5210000000002</v>
      </c>
    </row>
    <row r="53" spans="9:11" x14ac:dyDescent="0.15">
      <c r="I53" s="229" vm="41">
        <f ca="1"/>
        <v>44194</v>
      </c>
      <c r="J53" s="355" vm="42">
        <f ca="1"/>
        <v>100.76</v>
      </c>
      <c r="K53" s="229">
        <f ca="1"/>
        <v>2201.0839999999998</v>
      </c>
    </row>
    <row r="54" spans="9:11" x14ac:dyDescent="0.15">
      <c r="I54" s="229" vm="43">
        <f ca="1"/>
        <v>44195</v>
      </c>
      <c r="J54" s="355" vm="44">
        <f ca="1"/>
        <v>101.38</v>
      </c>
      <c r="K54" s="229">
        <f ca="1"/>
        <v>1634.037</v>
      </c>
    </row>
    <row r="55" spans="9:11" x14ac:dyDescent="0.15">
      <c r="I55" s="229" vm="45">
        <f ca="1"/>
        <v>44196</v>
      </c>
      <c r="J55" s="355" vm="46">
        <f ca="1"/>
        <v>99.79</v>
      </c>
      <c r="K55" s="229">
        <f ca="1"/>
        <v>2147.248</v>
      </c>
    </row>
    <row r="56" spans="9:11" x14ac:dyDescent="0.15">
      <c r="I56" s="229" vm="47">
        <f ca="1"/>
        <v>44200</v>
      </c>
      <c r="J56" s="355" vm="48">
        <f ca="1"/>
        <v>100.49</v>
      </c>
      <c r="K56" s="229">
        <f ca="1"/>
        <v>3612.41</v>
      </c>
    </row>
    <row r="57" spans="9:11" x14ac:dyDescent="0.15">
      <c r="I57" s="229" vm="49">
        <f ca="1"/>
        <v>44201</v>
      </c>
      <c r="J57" s="355" vm="50">
        <f ca="1"/>
        <v>101</v>
      </c>
      <c r="K57" s="229">
        <f ca="1"/>
        <v>2396.3870000000002</v>
      </c>
    </row>
    <row r="58" spans="9:11" x14ac:dyDescent="0.15">
      <c r="I58" s="229" vm="51">
        <f ca="1"/>
        <v>44202</v>
      </c>
      <c r="J58" s="355" vm="52">
        <f ca="1"/>
        <v>105.91</v>
      </c>
      <c r="K58" s="229">
        <f ca="1"/>
        <v>4662.82</v>
      </c>
    </row>
    <row r="59" spans="9:11" x14ac:dyDescent="0.15">
      <c r="I59" s="229" vm="53">
        <f ca="1"/>
        <v>44203</v>
      </c>
      <c r="J59" s="355" vm="54">
        <f ca="1"/>
        <v>107.71</v>
      </c>
      <c r="K59" s="229">
        <f ca="1"/>
        <v>3643.88</v>
      </c>
    </row>
    <row r="60" spans="9:11" x14ac:dyDescent="0.15">
      <c r="I60" s="229" vm="55">
        <f ca="1"/>
        <v>44204</v>
      </c>
      <c r="J60" s="355" vm="56">
        <f ca="1"/>
        <v>107.57</v>
      </c>
      <c r="K60" s="229">
        <f ca="1"/>
        <v>3536.556</v>
      </c>
    </row>
    <row r="61" spans="9:11" x14ac:dyDescent="0.15">
      <c r="I61" s="229" vm="57">
        <f ca="1"/>
        <v>44207</v>
      </c>
      <c r="J61" s="355" vm="58">
        <f ca="1"/>
        <v>110.78</v>
      </c>
      <c r="K61" s="229">
        <f ca="1"/>
        <v>3425.9850000000001</v>
      </c>
    </row>
    <row r="62" spans="9:11" x14ac:dyDescent="0.15">
      <c r="I62" s="229" vm="59">
        <f ca="1"/>
        <v>44208</v>
      </c>
      <c r="J62" s="355" vm="60">
        <f ca="1"/>
        <v>114.71</v>
      </c>
      <c r="K62" s="229">
        <f ca="1"/>
        <v>4575.4769999999999</v>
      </c>
    </row>
    <row r="63" spans="9:11" x14ac:dyDescent="0.15">
      <c r="I63" s="229" vm="61">
        <f ca="1"/>
        <v>44209</v>
      </c>
      <c r="J63" s="355" vm="62">
        <f ca="1"/>
        <v>113.22</v>
      </c>
      <c r="K63" s="229">
        <f ca="1"/>
        <v>2986.8409999999999</v>
      </c>
    </row>
    <row r="64" spans="9:11" x14ac:dyDescent="0.15">
      <c r="I64" s="229" vm="63">
        <f ca="1"/>
        <v>44210</v>
      </c>
      <c r="J64" s="355" vm="64">
        <f ca="1"/>
        <v>113.92</v>
      </c>
      <c r="K64" s="229">
        <f ca="1"/>
        <v>1966.336</v>
      </c>
    </row>
    <row r="65" spans="9:11" x14ac:dyDescent="0.15">
      <c r="I65" s="229" vm="65">
        <f ca="1"/>
        <v>44211</v>
      </c>
      <c r="J65" s="355" vm="66">
        <f ca="1"/>
        <v>114</v>
      </c>
      <c r="K65" s="229">
        <f ca="1"/>
        <v>3123.2860000000001</v>
      </c>
    </row>
    <row r="66" spans="9:11" x14ac:dyDescent="0.15">
      <c r="I66" s="229" vm="67">
        <f ca="1"/>
        <v>44215</v>
      </c>
      <c r="J66" s="355" vm="68">
        <f ca="1"/>
        <v>111.62</v>
      </c>
      <c r="K66" s="229">
        <f ca="1"/>
        <v>2630.748</v>
      </c>
    </row>
    <row r="67" spans="9:11" x14ac:dyDescent="0.15">
      <c r="I67" s="229" vm="69">
        <f ca="1"/>
        <v>44216</v>
      </c>
      <c r="J67" s="355" vm="70">
        <f ca="1"/>
        <v>112.23</v>
      </c>
      <c r="K67" s="229">
        <f ca="1"/>
        <v>1929.671</v>
      </c>
    </row>
    <row r="68" spans="9:11" x14ac:dyDescent="0.15">
      <c r="I68" s="229" vm="71">
        <f ca="1"/>
        <v>44217</v>
      </c>
      <c r="J68" s="355" vm="72">
        <f ca="1"/>
        <v>114.5</v>
      </c>
      <c r="K68" s="229">
        <f ca="1"/>
        <v>2599.8029999999999</v>
      </c>
    </row>
    <row r="69" spans="9:11" x14ac:dyDescent="0.15">
      <c r="I69" s="229" vm="73">
        <f ca="1"/>
        <v>44218</v>
      </c>
      <c r="J69" s="355" vm="74">
        <f ca="1"/>
        <v>114.93</v>
      </c>
      <c r="K69" s="229">
        <f ca="1"/>
        <v>1619.7090000000001</v>
      </c>
    </row>
    <row r="70" spans="9:11" x14ac:dyDescent="0.15">
      <c r="I70" s="229" vm="75">
        <f ca="1"/>
        <v>44221</v>
      </c>
      <c r="J70" s="355" vm="76">
        <f ca="1"/>
        <v>113.74</v>
      </c>
      <c r="K70" s="229">
        <f ca="1"/>
        <v>2250.11</v>
      </c>
    </row>
    <row r="71" spans="9:11" x14ac:dyDescent="0.15">
      <c r="I71" s="229" vm="77">
        <f ca="1"/>
        <v>44222</v>
      </c>
      <c r="J71" s="355" vm="78">
        <f ca="1"/>
        <v>114.7</v>
      </c>
      <c r="K71" s="229">
        <f ca="1"/>
        <v>2140.6260000000002</v>
      </c>
    </row>
    <row r="72" spans="9:11" x14ac:dyDescent="0.15">
      <c r="I72" s="229" vm="79">
        <f ca="1"/>
        <v>44223</v>
      </c>
      <c r="J72" s="355" vm="80">
        <f ca="1"/>
        <v>113.57</v>
      </c>
      <c r="K72" s="229">
        <f ca="1"/>
        <v>2445.8609999999999</v>
      </c>
    </row>
    <row r="73" spans="9:11" x14ac:dyDescent="0.15">
      <c r="I73" s="229" vm="81">
        <f ca="1"/>
        <v>44224</v>
      </c>
      <c r="J73" s="355" vm="82">
        <f ca="1"/>
        <v>112.31</v>
      </c>
      <c r="K73" s="229">
        <f ca="1"/>
        <v>2429.8960000000002</v>
      </c>
    </row>
    <row r="74" spans="9:11" x14ac:dyDescent="0.15">
      <c r="I74" s="229" vm="83">
        <f ca="1"/>
        <v>44225</v>
      </c>
      <c r="J74" s="355" vm="84">
        <f ca="1"/>
        <v>108.82</v>
      </c>
      <c r="K74" s="229">
        <f ca="1"/>
        <v>2481.444</v>
      </c>
    </row>
    <row r="75" spans="9:11" x14ac:dyDescent="0.15">
      <c r="I75" s="229" vm="85">
        <f ca="1"/>
        <v>44228</v>
      </c>
      <c r="J75" s="355" vm="86">
        <f ca="1"/>
        <v>107.69</v>
      </c>
      <c r="K75" s="229">
        <f ca="1"/>
        <v>2706.8760000000002</v>
      </c>
    </row>
    <row r="76" spans="9:11" x14ac:dyDescent="0.15">
      <c r="I76" s="229" vm="87">
        <f ca="1"/>
        <v>44229</v>
      </c>
      <c r="J76" s="355" vm="88">
        <f ca="1"/>
        <v>108.78</v>
      </c>
      <c r="K76" s="229">
        <f ca="1"/>
        <v>2530.444</v>
      </c>
    </row>
    <row r="77" spans="9:11" x14ac:dyDescent="0.15">
      <c r="I77" s="229" vm="89">
        <f ca="1"/>
        <v>44230</v>
      </c>
      <c r="J77" s="355" vm="90">
        <f ca="1"/>
        <v>110.32</v>
      </c>
      <c r="K77" s="229">
        <f ca="1"/>
        <v>1503.51</v>
      </c>
    </row>
    <row r="78" spans="9:11" x14ac:dyDescent="0.15">
      <c r="I78" s="229" vm="91">
        <f ca="1"/>
        <v>44231</v>
      </c>
      <c r="J78" s="355" vm="92">
        <f ca="1"/>
        <v>113.84</v>
      </c>
      <c r="K78" s="229">
        <f ca="1"/>
        <v>2421.96</v>
      </c>
    </row>
    <row r="79" spans="9:11" x14ac:dyDescent="0.15">
      <c r="I79" s="229" vm="93">
        <f ca="1"/>
        <v>44232</v>
      </c>
      <c r="J79" s="355" vm="94">
        <f ca="1"/>
        <v>114.53</v>
      </c>
      <c r="K79" s="229">
        <f ca="1"/>
        <v>1632.9369999999999</v>
      </c>
    </row>
    <row r="80" spans="9:11" x14ac:dyDescent="0.15">
      <c r="I80" s="229" vm="95">
        <f ca="1"/>
        <v>44235</v>
      </c>
      <c r="J80" s="355" vm="96">
        <f ca="1"/>
        <v>117.9</v>
      </c>
      <c r="K80" s="229">
        <f ca="1"/>
        <v>1715.0930000000001</v>
      </c>
    </row>
    <row r="81" spans="9:11" x14ac:dyDescent="0.15">
      <c r="I81" s="229" vm="97">
        <f ca="1"/>
        <v>44236</v>
      </c>
      <c r="J81" s="355" vm="98">
        <f ca="1"/>
        <v>118.46</v>
      </c>
      <c r="K81" s="229">
        <f ca="1"/>
        <v>1528.2059999999999</v>
      </c>
    </row>
    <row r="82" spans="9:11" x14ac:dyDescent="0.15">
      <c r="I82" s="229" vm="99">
        <f ca="1"/>
        <v>44237</v>
      </c>
      <c r="J82" s="355" vm="100">
        <f ca="1"/>
        <v>118.81</v>
      </c>
      <c r="K82" s="229">
        <f ca="1"/>
        <v>1274.8879999999999</v>
      </c>
    </row>
    <row r="83" spans="9:11" x14ac:dyDescent="0.15">
      <c r="I83" s="229" vm="101">
        <f ca="1"/>
        <v>44238</v>
      </c>
      <c r="J83" s="355" vm="102">
        <f ca="1"/>
        <v>119.59</v>
      </c>
      <c r="K83" s="229">
        <f ca="1"/>
        <v>1636.075</v>
      </c>
    </row>
    <row r="84" spans="9:11" x14ac:dyDescent="0.15">
      <c r="I84" s="229" vm="103">
        <f ca="1"/>
        <v>44239</v>
      </c>
      <c r="J84" s="355" vm="104">
        <f ca="1"/>
        <v>120.51</v>
      </c>
      <c r="K84" s="229">
        <f ca="1"/>
        <v>1858.078</v>
      </c>
    </row>
    <row r="85" spans="9:11" x14ac:dyDescent="0.15">
      <c r="I85" s="229" vm="105">
        <f ca="1"/>
        <v>44243</v>
      </c>
      <c r="J85" s="355" vm="106">
        <f ca="1"/>
        <v>120.75</v>
      </c>
      <c r="K85" s="229">
        <f ca="1"/>
        <v>1880.1849999999999</v>
      </c>
    </row>
    <row r="86" spans="9:11" x14ac:dyDescent="0.15">
      <c r="I86" s="229" vm="107">
        <f ca="1"/>
        <v>44244</v>
      </c>
      <c r="J86" s="355" vm="108">
        <f ca="1"/>
        <v>118.34</v>
      </c>
      <c r="K86" s="229">
        <f ca="1"/>
        <v>2242.0459999999998</v>
      </c>
    </row>
    <row r="87" spans="9:11" x14ac:dyDescent="0.15">
      <c r="I87" s="229" vm="109">
        <f ca="1"/>
        <v>44245</v>
      </c>
      <c r="J87" s="355" vm="110">
        <f ca="1"/>
        <v>116.76</v>
      </c>
      <c r="K87" s="229">
        <f ca="1"/>
        <v>1890.521</v>
      </c>
    </row>
    <row r="88" spans="9:11" x14ac:dyDescent="0.15">
      <c r="I88" s="229" vm="111">
        <f ca="1"/>
        <v>44246</v>
      </c>
      <c r="J88" s="355" vm="112">
        <f ca="1"/>
        <v>118</v>
      </c>
      <c r="K88" s="229">
        <f ca="1"/>
        <v>2044.45</v>
      </c>
    </row>
    <row r="89" spans="9:11" x14ac:dyDescent="0.15">
      <c r="I89" s="229" vm="113">
        <f ca="1"/>
        <v>44249</v>
      </c>
      <c r="J89" s="355" vm="114">
        <f ca="1"/>
        <v>116.73</v>
      </c>
      <c r="K89" s="229">
        <f ca="1"/>
        <v>1742.94</v>
      </c>
    </row>
    <row r="90" spans="9:11" x14ac:dyDescent="0.15">
      <c r="I90" s="229" vm="115">
        <f ca="1"/>
        <v>44250</v>
      </c>
      <c r="J90" s="355" vm="116">
        <f ca="1"/>
        <v>115.5</v>
      </c>
      <c r="K90" s="229">
        <f ca="1"/>
        <v>2198.4160000000002</v>
      </c>
    </row>
    <row r="91" spans="9:11" x14ac:dyDescent="0.15">
      <c r="I91" s="229" vm="117">
        <f ca="1"/>
        <v>44251</v>
      </c>
      <c r="J91" s="355" vm="118">
        <f ca="1"/>
        <v>113.46</v>
      </c>
      <c r="K91" s="229">
        <f ca="1"/>
        <v>3279.761</v>
      </c>
    </row>
    <row r="92" spans="9:11" x14ac:dyDescent="0.15">
      <c r="I92" s="229" vm="119">
        <f ca="1"/>
        <v>44252</v>
      </c>
      <c r="J92" s="355" vm="120">
        <f ca="1"/>
        <v>102.94</v>
      </c>
      <c r="K92" s="229">
        <f ca="1"/>
        <v>10053.655000000001</v>
      </c>
    </row>
    <row r="93" spans="9:11" x14ac:dyDescent="0.15">
      <c r="I93" s="229" vm="121">
        <f ca="1"/>
        <v>44253</v>
      </c>
      <c r="J93" s="355" vm="122">
        <f ca="1"/>
        <v>100.35</v>
      </c>
      <c r="K93" s="229">
        <f ca="1"/>
        <v>4570.0550000000003</v>
      </c>
    </row>
    <row r="94" spans="9:11" x14ac:dyDescent="0.15">
      <c r="I94" s="229" vm="123">
        <f ca="1"/>
        <v>44256</v>
      </c>
      <c r="J94" s="355" vm="124">
        <f ca="1"/>
        <v>101.69</v>
      </c>
      <c r="K94" s="229">
        <f ca="1"/>
        <v>3709.2089999999998</v>
      </c>
    </row>
    <row r="95" spans="9:11" x14ac:dyDescent="0.15">
      <c r="I95" s="229" vm="125">
        <f ca="1"/>
        <v>44257</v>
      </c>
      <c r="J95" s="355" vm="126">
        <f ca="1"/>
        <v>102.52</v>
      </c>
      <c r="K95" s="229">
        <f ca="1"/>
        <v>3011.692</v>
      </c>
    </row>
    <row r="96" spans="9:11" x14ac:dyDescent="0.15">
      <c r="I96" s="229" vm="127">
        <f ca="1"/>
        <v>44258</v>
      </c>
      <c r="J96" s="355" vm="128">
        <f ca="1"/>
        <v>100.37</v>
      </c>
      <c r="K96" s="229">
        <f ca="1"/>
        <v>2848.8339999999998</v>
      </c>
    </row>
    <row r="97" spans="9:11" x14ac:dyDescent="0.15">
      <c r="I97" s="229" vm="129">
        <f ca="1"/>
        <v>44259</v>
      </c>
      <c r="J97" s="355" vm="130">
        <f ca="1"/>
        <v>98.24</v>
      </c>
      <c r="K97" s="229">
        <f ca="1"/>
        <v>4288.7089999999998</v>
      </c>
    </row>
    <row r="98" spans="9:11" x14ac:dyDescent="0.15">
      <c r="I98" s="229" vm="131">
        <f ca="1"/>
        <v>44260</v>
      </c>
      <c r="J98" s="355" vm="132">
        <f ca="1"/>
        <v>102.85</v>
      </c>
      <c r="K98" s="229">
        <f ca="1"/>
        <v>5128.1000000000004</v>
      </c>
    </row>
    <row r="99" spans="9:11" x14ac:dyDescent="0.15">
      <c r="I99" s="229" vm="133">
        <f ca="1"/>
        <v>44263</v>
      </c>
      <c r="J99" s="355" vm="134">
        <f ca="1"/>
        <v>106.57</v>
      </c>
      <c r="K99" s="229">
        <f ca="1"/>
        <v>3830.8409999999999</v>
      </c>
    </row>
    <row r="100" spans="9:11" x14ac:dyDescent="0.15">
      <c r="I100" s="229" vm="135">
        <f ca="1"/>
        <v>44264</v>
      </c>
      <c r="J100" s="355" vm="136">
        <f ca="1"/>
        <v>105.82</v>
      </c>
      <c r="K100" s="229">
        <f ca="1"/>
        <v>3294.9960000000001</v>
      </c>
    </row>
    <row r="101" spans="9:11" x14ac:dyDescent="0.15">
      <c r="I101" s="229" vm="137">
        <f ca="1"/>
        <v>44265</v>
      </c>
      <c r="J101" s="355" vm="138">
        <f ca="1"/>
        <v>108.15</v>
      </c>
      <c r="K101" s="229">
        <f ca="1"/>
        <v>3175.77</v>
      </c>
    </row>
    <row r="102" spans="9:11" x14ac:dyDescent="0.15">
      <c r="I102" s="229" vm="139">
        <f ca="1"/>
        <v>44266</v>
      </c>
      <c r="J102" s="355" vm="140">
        <f ca="1"/>
        <v>108.58</v>
      </c>
      <c r="K102" s="229">
        <f ca="1"/>
        <v>2407.2750000000001</v>
      </c>
    </row>
    <row r="103" spans="9:11" x14ac:dyDescent="0.15">
      <c r="I103" s="229" vm="141">
        <f ca="1"/>
        <v>44267</v>
      </c>
      <c r="J103" s="355" vm="142">
        <f ca="1"/>
        <v>110.99</v>
      </c>
      <c r="K103" s="229">
        <f ca="1"/>
        <v>1963.08</v>
      </c>
    </row>
    <row r="104" spans="9:11" x14ac:dyDescent="0.15">
      <c r="I104" s="229" vm="143">
        <f ca="1"/>
        <v>44270</v>
      </c>
      <c r="J104" s="355" vm="64">
        <f ca="1"/>
        <v>113.92</v>
      </c>
      <c r="K104" s="229">
        <f ca="1"/>
        <v>3347.1880000000001</v>
      </c>
    </row>
    <row r="105" spans="9:11" x14ac:dyDescent="0.15">
      <c r="I105" s="229" vm="144">
        <f ca="1"/>
        <v>44271</v>
      </c>
      <c r="J105" s="355" vm="145">
        <f ca="1"/>
        <v>113.45</v>
      </c>
      <c r="K105" s="229">
        <f ca="1"/>
        <v>2328.194</v>
      </c>
    </row>
    <row r="106" spans="9:11" x14ac:dyDescent="0.15">
      <c r="I106" s="229" vm="146">
        <f ca="1"/>
        <v>44272</v>
      </c>
      <c r="J106" s="355" vm="147">
        <f ca="1"/>
        <v>112.25</v>
      </c>
      <c r="K106" s="229">
        <f ca="1"/>
        <v>2584.3960000000002</v>
      </c>
    </row>
    <row r="107" spans="9:11" x14ac:dyDescent="0.15">
      <c r="I107" s="229" vm="148">
        <f ca="1"/>
        <v>44273</v>
      </c>
      <c r="J107" s="355" vm="149">
        <f ca="1"/>
        <v>113.38</v>
      </c>
      <c r="K107" s="229">
        <f ca="1"/>
        <v>2906.5720000000001</v>
      </c>
    </row>
    <row r="108" spans="9:11" x14ac:dyDescent="0.15">
      <c r="I108" s="229" vm="150">
        <f ca="1"/>
        <v>44274</v>
      </c>
      <c r="J108" s="355" vm="151">
        <f ca="1"/>
        <v>118.19</v>
      </c>
      <c r="K108" s="229">
        <f ca="1"/>
        <v>9098.4459999999999</v>
      </c>
    </row>
    <row r="109" spans="9:11" x14ac:dyDescent="0.15">
      <c r="I109" s="229" vm="152">
        <f ca="1"/>
        <v>44277</v>
      </c>
      <c r="J109" s="355" vm="153">
        <f ca="1"/>
        <v>120.96</v>
      </c>
      <c r="K109" s="229">
        <f ca="1"/>
        <v>2809.8670000000002</v>
      </c>
    </row>
    <row r="110" spans="9:11" x14ac:dyDescent="0.15">
      <c r="I110" s="229" vm="154">
        <f ca="1"/>
        <v>44278</v>
      </c>
      <c r="J110" s="355" vm="100">
        <f ca="1"/>
        <v>118.81</v>
      </c>
      <c r="K110" s="229">
        <f ca="1"/>
        <v>3663.0540000000001</v>
      </c>
    </row>
    <row r="111" spans="9:11" x14ac:dyDescent="0.15">
      <c r="I111" s="229" vm="155">
        <f ca="1"/>
        <v>44279</v>
      </c>
      <c r="J111" s="355" vm="156">
        <f ca="1"/>
        <v>114.32</v>
      </c>
      <c r="K111" s="229">
        <f ca="1"/>
        <v>2883.9920000000002</v>
      </c>
    </row>
    <row r="112" spans="9:11" x14ac:dyDescent="0.15">
      <c r="I112" s="229" vm="157">
        <f ca="1"/>
        <v>44280</v>
      </c>
      <c r="J112" s="355" vm="158">
        <f ca="1"/>
        <v>116.18</v>
      </c>
      <c r="K112" s="229">
        <f ca="1"/>
        <v>2250.6869999999999</v>
      </c>
    </row>
    <row r="113" spans="9:11" x14ac:dyDescent="0.15">
      <c r="I113" s="229" vm="159">
        <f ca="1"/>
        <v>44281</v>
      </c>
      <c r="J113" s="355" vm="160">
        <f ca="1"/>
        <v>119.26</v>
      </c>
      <c r="K113" s="229">
        <f ca="1"/>
        <v>1872.8140000000001</v>
      </c>
    </row>
    <row r="114" spans="9:11" x14ac:dyDescent="0.15">
      <c r="I114" s="229" vm="161">
        <f ca="1"/>
        <v>44284</v>
      </c>
      <c r="J114" s="355" vm="162">
        <f ca="1"/>
        <v>114.8</v>
      </c>
      <c r="K114" s="229">
        <f ca="1"/>
        <v>2598.41</v>
      </c>
    </row>
    <row r="115" spans="9:11" x14ac:dyDescent="0.15">
      <c r="I115" s="229" vm="163">
        <f ca="1"/>
        <v>44285</v>
      </c>
      <c r="J115" s="355" vm="164">
        <f ca="1"/>
        <v>115.72</v>
      </c>
      <c r="K115" s="229">
        <f ca="1"/>
        <v>1934.0609999999999</v>
      </c>
    </row>
    <row r="116" spans="9:11" x14ac:dyDescent="0.15">
      <c r="I116" s="229" vm="165">
        <f ca="1"/>
        <v>44286</v>
      </c>
      <c r="J116" s="355" vm="166">
        <f ca="1"/>
        <v>114.81</v>
      </c>
      <c r="K116" s="229">
        <f ca="1"/>
        <v>1938.9880000000001</v>
      </c>
    </row>
    <row r="117" spans="9:11" x14ac:dyDescent="0.15">
      <c r="I117" s="229" vm="167">
        <f ca="1"/>
        <v>44287</v>
      </c>
      <c r="J117" s="355" vm="168">
        <f ca="1"/>
        <v>115.76</v>
      </c>
      <c r="K117" s="229">
        <f ca="1"/>
        <v>2486.52</v>
      </c>
    </row>
    <row r="118" spans="9:11" x14ac:dyDescent="0.15">
      <c r="I118" s="229" vm="169">
        <f ca="1"/>
        <v>44291</v>
      </c>
      <c r="J118" s="355" vm="170">
        <f ca="1"/>
        <v>117.99</v>
      </c>
      <c r="K118" s="229">
        <f ca="1"/>
        <v>1641.9459999999999</v>
      </c>
    </row>
    <row r="119" spans="9:11" x14ac:dyDescent="0.15">
      <c r="I119" s="229" vm="171">
        <f ca="1"/>
        <v>44292</v>
      </c>
      <c r="J119" s="355" vm="172">
        <f ca="1"/>
        <v>120.74</v>
      </c>
      <c r="K119" s="229">
        <f ca="1"/>
        <v>3604.1469999999999</v>
      </c>
    </row>
    <row r="120" spans="9:11" x14ac:dyDescent="0.15">
      <c r="I120" s="229" vm="173">
        <f ca="1"/>
        <v>44293</v>
      </c>
      <c r="J120" s="355" vm="174">
        <f ca="1"/>
        <v>120.59</v>
      </c>
      <c r="K120" s="229">
        <f ca="1"/>
        <v>2502.8270000000002</v>
      </c>
    </row>
    <row r="121" spans="9:11" x14ac:dyDescent="0.15">
      <c r="I121" s="229" vm="175">
        <f ca="1"/>
        <v>44294</v>
      </c>
      <c r="J121" s="355" vm="176">
        <f ca="1"/>
        <v>119.62</v>
      </c>
      <c r="K121" s="229">
        <f ca="1"/>
        <v>1776.7729999999999</v>
      </c>
    </row>
    <row r="122" spans="9:11" x14ac:dyDescent="0.15">
      <c r="I122" s="229" vm="177">
        <f ca="1"/>
        <v>44295</v>
      </c>
      <c r="J122" s="355" vm="178">
        <f ca="1"/>
        <v>122.48</v>
      </c>
      <c r="K122" s="229">
        <f ca="1"/>
        <v>2126.799</v>
      </c>
    </row>
    <row r="123" spans="9:11" x14ac:dyDescent="0.15">
      <c r="I123" s="229" vm="179">
        <f ca="1"/>
        <v>44298</v>
      </c>
      <c r="J123" s="355" vm="180">
        <f ca="1"/>
        <v>121.56</v>
      </c>
      <c r="K123" s="229">
        <f ca="1"/>
        <v>2390.279</v>
      </c>
    </row>
    <row r="124" spans="9:11" x14ac:dyDescent="0.15">
      <c r="I124" s="229" vm="181">
        <f ca="1"/>
        <v>44299</v>
      </c>
      <c r="J124" s="355" vm="182">
        <f ca="1"/>
        <v>120.82</v>
      </c>
      <c r="K124" s="229">
        <f ca="1"/>
        <v>2449.6170000000002</v>
      </c>
    </row>
    <row r="125" spans="9:11" x14ac:dyDescent="0.15">
      <c r="I125" s="229" vm="183">
        <f ca="1"/>
        <v>44300</v>
      </c>
      <c r="J125" s="355" vm="184">
        <f ca="1"/>
        <v>120.17</v>
      </c>
      <c r="K125" s="229">
        <f ca="1"/>
        <v>1525.6859999999999</v>
      </c>
    </row>
    <row r="126" spans="9:11" x14ac:dyDescent="0.15">
      <c r="I126" s="229" vm="185">
        <f ca="1"/>
        <v>44301</v>
      </c>
      <c r="J126" s="355" vm="186">
        <f ca="1"/>
        <v>119.3</v>
      </c>
      <c r="K126" s="229">
        <f ca="1"/>
        <v>1453.87</v>
      </c>
    </row>
    <row r="127" spans="9:11" x14ac:dyDescent="0.15">
      <c r="I127" s="229" vm="187">
        <f ca="1"/>
        <v>44302</v>
      </c>
      <c r="J127" s="355" vm="188">
        <f ca="1"/>
        <v>119.87</v>
      </c>
      <c r="K127" s="229">
        <f ca="1"/>
        <v>1845.117</v>
      </c>
    </row>
    <row r="128" spans="9:11" x14ac:dyDescent="0.15">
      <c r="I128" s="229" vm="189">
        <f ca="1"/>
        <v>44305</v>
      </c>
      <c r="J128" s="355" vm="190">
        <f ca="1"/>
        <v>118.84</v>
      </c>
      <c r="K128" s="229">
        <f ca="1"/>
        <v>2912.64</v>
      </c>
    </row>
    <row r="129" spans="9:11" x14ac:dyDescent="0.15">
      <c r="I129" s="229" vm="191">
        <f ca="1"/>
        <v>44306</v>
      </c>
      <c r="J129" s="355" vm="192">
        <f ca="1"/>
        <v>118.45</v>
      </c>
      <c r="K129" s="229">
        <f ca="1"/>
        <v>1750.384</v>
      </c>
    </row>
    <row r="130" spans="9:11" x14ac:dyDescent="0.15">
      <c r="I130" s="229" vm="193">
        <f ca="1"/>
        <v>44307</v>
      </c>
      <c r="J130" s="355" vm="194">
        <f ca="1"/>
        <v>118.97</v>
      </c>
      <c r="K130" s="229">
        <f ca="1"/>
        <v>1509.4169999999999</v>
      </c>
    </row>
    <row r="131" spans="9:11" x14ac:dyDescent="0.15">
      <c r="I131" s="229" vm="195">
        <f ca="1"/>
        <v>44308</v>
      </c>
      <c r="J131" s="355" vm="196">
        <f ca="1"/>
        <v>118.04</v>
      </c>
      <c r="K131" s="229">
        <f ca="1"/>
        <v>2405.4430000000002</v>
      </c>
    </row>
    <row r="132" spans="9:11" x14ac:dyDescent="0.15">
      <c r="I132" s="229" vm="197">
        <f ca="1"/>
        <v>44309</v>
      </c>
      <c r="J132" s="355" vm="198">
        <f ca="1"/>
        <v>117.74</v>
      </c>
      <c r="K132" s="229">
        <f ca="1"/>
        <v>1547.8030000000001</v>
      </c>
    </row>
    <row r="133" spans="9:11" x14ac:dyDescent="0.15">
      <c r="I133" s="229" vm="199">
        <f ca="1"/>
        <v>44312</v>
      </c>
      <c r="J133" s="355" vm="200">
        <f ca="1"/>
        <v>117.02</v>
      </c>
      <c r="K133" s="229">
        <f ca="1"/>
        <v>2275.7399999999998</v>
      </c>
    </row>
    <row r="134" spans="9:11" x14ac:dyDescent="0.15">
      <c r="I134" s="229" vm="201">
        <f ca="1"/>
        <v>44313</v>
      </c>
      <c r="J134" s="355" vm="202">
        <f ca="1"/>
        <v>118.35</v>
      </c>
      <c r="K134" s="229">
        <f ca="1"/>
        <v>1355.3050000000001</v>
      </c>
    </row>
    <row r="135" spans="9:11" x14ac:dyDescent="0.15">
      <c r="I135" s="229" vm="203">
        <f ca="1"/>
        <v>44314</v>
      </c>
      <c r="J135" s="355" vm="204">
        <f ca="1"/>
        <v>117.19</v>
      </c>
      <c r="K135" s="229">
        <f ca="1"/>
        <v>1190.431</v>
      </c>
    </row>
    <row r="136" spans="9:11" x14ac:dyDescent="0.15">
      <c r="I136" s="229" vm="205">
        <f ca="1"/>
        <v>44315</v>
      </c>
      <c r="J136" s="355" vm="206">
        <f ca="1"/>
        <v>118.29</v>
      </c>
      <c r="K136" s="229">
        <f ca="1"/>
        <v>1274.4100000000001</v>
      </c>
    </row>
    <row r="137" spans="9:11" x14ac:dyDescent="0.15">
      <c r="I137" s="229" vm="207">
        <f ca="1"/>
        <v>44316</v>
      </c>
      <c r="J137" s="355" vm="208">
        <f ca="1"/>
        <v>116.27</v>
      </c>
      <c r="K137" s="229">
        <f ca="1"/>
        <v>1633.8489999999999</v>
      </c>
    </row>
    <row r="138" spans="9:11" x14ac:dyDescent="0.15">
      <c r="I138" s="229" vm="209">
        <f ca="1"/>
        <v>44319</v>
      </c>
      <c r="J138" s="355" vm="210">
        <f ca="1"/>
        <v>117.47</v>
      </c>
      <c r="K138" s="229">
        <f ca="1"/>
        <v>1507.74</v>
      </c>
    </row>
    <row r="139" spans="9:11" x14ac:dyDescent="0.15">
      <c r="I139" s="229" vm="211">
        <f ca="1"/>
        <v>44320</v>
      </c>
      <c r="J139" s="355" vm="212">
        <f ca="1"/>
        <v>117.73</v>
      </c>
      <c r="K139" s="229">
        <f ca="1"/>
        <v>1330.307</v>
      </c>
    </row>
    <row r="140" spans="9:11" x14ac:dyDescent="0.15">
      <c r="I140" s="229" vm="213">
        <f ca="1"/>
        <v>44321</v>
      </c>
      <c r="J140" s="355" vm="214">
        <f ca="1"/>
        <v>116.38</v>
      </c>
      <c r="K140" s="229">
        <f ca="1"/>
        <v>1270.0239999999999</v>
      </c>
    </row>
    <row r="141" spans="9:11" x14ac:dyDescent="0.15">
      <c r="I141" s="229" vm="215">
        <f ca="1"/>
        <v>44322</v>
      </c>
      <c r="J141" s="355" vm="216">
        <f ca="1"/>
        <v>120.04</v>
      </c>
      <c r="K141" s="229">
        <f ca="1"/>
        <v>2293.5540000000001</v>
      </c>
    </row>
    <row r="142" spans="9:11" x14ac:dyDescent="0.15">
      <c r="I142" s="229" vm="217">
        <f ca="1"/>
        <v>44323</v>
      </c>
      <c r="J142" s="355" vm="218">
        <f ca="1"/>
        <v>122.34</v>
      </c>
      <c r="K142" s="229">
        <f ca="1"/>
        <v>1764.03</v>
      </c>
    </row>
    <row r="143" spans="9:11" x14ac:dyDescent="0.15">
      <c r="I143" s="229" vm="219">
        <f ca="1"/>
        <v>44326</v>
      </c>
      <c r="J143" s="355" vm="220">
        <f ca="1"/>
        <v>125.79</v>
      </c>
      <c r="K143" s="229">
        <f ca="1"/>
        <v>3980.393</v>
      </c>
    </row>
    <row r="144" spans="9:11" x14ac:dyDescent="0.15">
      <c r="I144" s="229" vm="221">
        <f ca="1"/>
        <v>44327</v>
      </c>
      <c r="J144" s="355" vm="222">
        <f ca="1"/>
        <v>121.67</v>
      </c>
      <c r="K144" s="229">
        <f ca="1"/>
        <v>2044.846</v>
      </c>
    </row>
    <row r="145" spans="9:11" x14ac:dyDescent="0.15">
      <c r="I145" s="229" vm="223">
        <f ca="1"/>
        <v>44328</v>
      </c>
      <c r="J145" s="355" vm="224">
        <f ca="1"/>
        <v>116.15</v>
      </c>
      <c r="K145" s="229">
        <f ca="1"/>
        <v>2158.221</v>
      </c>
    </row>
    <row r="146" spans="9:11" x14ac:dyDescent="0.15">
      <c r="I146" s="229" vm="225">
        <f ca="1"/>
        <v>44329</v>
      </c>
      <c r="J146" s="355" vm="226">
        <f ca="1"/>
        <v>119</v>
      </c>
      <c r="K146" s="229">
        <f ca="1"/>
        <v>1706.2619999999999</v>
      </c>
    </row>
    <row r="147" spans="9:11" x14ac:dyDescent="0.15">
      <c r="I147" s="229" vm="227">
        <f ca="1"/>
        <v>44330</v>
      </c>
      <c r="J147" s="355" vm="228">
        <f ca="1"/>
        <v>120.39</v>
      </c>
      <c r="K147" s="229">
        <f ca="1"/>
        <v>1677.329</v>
      </c>
    </row>
    <row r="148" spans="9:11" x14ac:dyDescent="0.15">
      <c r="I148" s="229" vm="229">
        <f ca="1"/>
        <v>44333</v>
      </c>
      <c r="J148" s="355" vm="230">
        <f ca="1"/>
        <v>120.11</v>
      </c>
      <c r="K148" s="229">
        <f ca="1"/>
        <v>1403.7619999999999</v>
      </c>
    </row>
    <row r="149" spans="9:11" x14ac:dyDescent="0.15">
      <c r="I149" s="229" vm="231">
        <f ca="1"/>
        <v>44334</v>
      </c>
      <c r="J149" s="355" vm="232">
        <f ca="1"/>
        <v>116.92</v>
      </c>
      <c r="K149" s="229">
        <f ca="1"/>
        <v>1982.5619999999999</v>
      </c>
    </row>
    <row r="150" spans="9:11" x14ac:dyDescent="0.15">
      <c r="I150" s="229" vm="233">
        <f ca="1"/>
        <v>44335</v>
      </c>
      <c r="J150" s="355" vm="234">
        <f ca="1"/>
        <v>113.69</v>
      </c>
      <c r="K150" s="229">
        <f ca="1"/>
        <v>2555.674</v>
      </c>
    </row>
    <row r="151" spans="9:11" x14ac:dyDescent="0.15">
      <c r="I151" s="229" vm="235">
        <f ca="1"/>
        <v>44336</v>
      </c>
      <c r="J151" s="355" vm="236">
        <f ca="1"/>
        <v>114.52</v>
      </c>
      <c r="K151" s="229">
        <f ca="1"/>
        <v>2063.8380000000002</v>
      </c>
    </row>
    <row r="152" spans="9:11" x14ac:dyDescent="0.15">
      <c r="I152" s="229" vm="237">
        <f ca="1"/>
        <v>44337</v>
      </c>
      <c r="J152" s="355" vm="74">
        <f ca="1"/>
        <v>114.93</v>
      </c>
      <c r="K152" s="229">
        <f ca="1"/>
        <v>2549.0520000000001</v>
      </c>
    </row>
    <row r="153" spans="9:11" x14ac:dyDescent="0.15">
      <c r="I153" s="229" vm="238">
        <f ca="1"/>
        <v>44340</v>
      </c>
      <c r="J153" s="355" vm="78">
        <f ca="1"/>
        <v>114.7</v>
      </c>
      <c r="K153" s="229">
        <f ca="1"/>
        <v>2145.7510000000002</v>
      </c>
    </row>
    <row r="154" spans="9:11" x14ac:dyDescent="0.15">
      <c r="I154" s="229" vm="239">
        <f ca="1"/>
        <v>44341</v>
      </c>
      <c r="J154" s="355" vm="240">
        <f ca="1"/>
        <v>114.42</v>
      </c>
      <c r="K154" s="229">
        <f ca="1"/>
        <v>1907.3320000000001</v>
      </c>
    </row>
    <row r="155" spans="9:11" x14ac:dyDescent="0.15">
      <c r="I155" s="229" vm="241">
        <f ca="1"/>
        <v>44342</v>
      </c>
      <c r="J155" s="355" vm="242">
        <f ca="1"/>
        <v>116.96</v>
      </c>
      <c r="K155" s="229">
        <f ca="1"/>
        <v>2969.3670000000002</v>
      </c>
    </row>
    <row r="156" spans="9:11" x14ac:dyDescent="0.15">
      <c r="I156" s="229" vm="243">
        <f ca="1"/>
        <v>44343</v>
      </c>
      <c r="J156" s="355" vm="244">
        <f ca="1"/>
        <v>118.14</v>
      </c>
      <c r="K156" s="229">
        <f ca="1"/>
        <v>7719.442</v>
      </c>
    </row>
    <row r="157" spans="9:11" x14ac:dyDescent="0.15">
      <c r="I157" s="229" vm="245">
        <f ca="1"/>
        <v>44344</v>
      </c>
      <c r="J157" s="355" vm="246">
        <f ca="1"/>
        <v>116.24</v>
      </c>
      <c r="K157" s="229">
        <f ca="1"/>
        <v>4573.4219999999996</v>
      </c>
    </row>
    <row r="158" spans="9:11" x14ac:dyDescent="0.15">
      <c r="I158" s="229" vm="247">
        <f ca="1"/>
        <v>44348</v>
      </c>
      <c r="J158" s="355" vm="248">
        <f ca="1"/>
        <v>114.9</v>
      </c>
      <c r="K158" s="229">
        <f ca="1"/>
        <v>2818.7570000000001</v>
      </c>
    </row>
    <row r="159" spans="9:11" x14ac:dyDescent="0.15">
      <c r="I159" s="229" vm="249">
        <f ca="1"/>
        <v>44349</v>
      </c>
      <c r="J159" s="355" vm="202">
        <f ca="1"/>
        <v>118.35</v>
      </c>
      <c r="K159" s="229">
        <f ca="1"/>
        <v>3302.8119999999999</v>
      </c>
    </row>
    <row r="160" spans="9:11" x14ac:dyDescent="0.15">
      <c r="I160" s="229" vm="250">
        <f ca="1"/>
        <v>44350</v>
      </c>
      <c r="J160" s="355" vm="251">
        <f ca="1"/>
        <v>115.56</v>
      </c>
      <c r="K160" s="229">
        <f ca="1"/>
        <v>2476.0949999999998</v>
      </c>
    </row>
    <row r="161" spans="9:11" x14ac:dyDescent="0.15">
      <c r="I161" s="229" vm="252">
        <f ca="1"/>
        <v>44351</v>
      </c>
      <c r="J161" s="355" vm="253">
        <f ca="1"/>
        <v>115.99</v>
      </c>
      <c r="K161" s="229">
        <f ca="1"/>
        <v>1641.2159999999999</v>
      </c>
    </row>
    <row r="162" spans="9:11" x14ac:dyDescent="0.15">
      <c r="I162" s="229" vm="254">
        <f ca="1"/>
        <v>44354</v>
      </c>
      <c r="J162" s="355" vm="255">
        <f ca="1"/>
        <v>117.1</v>
      </c>
      <c r="K162" s="229">
        <f ca="1"/>
        <v>1502.981</v>
      </c>
    </row>
    <row r="163" spans="9:11" x14ac:dyDescent="0.15">
      <c r="I163" s="229" vm="256">
        <f ca="1"/>
        <v>44355</v>
      </c>
      <c r="J163" s="355" vm="257">
        <f ca="1"/>
        <v>118.22</v>
      </c>
      <c r="K163" s="229">
        <f ca="1"/>
        <v>1537.433</v>
      </c>
    </row>
    <row r="164" spans="9:11" x14ac:dyDescent="0.15">
      <c r="I164" s="229" vm="258">
        <f ca="1"/>
        <v>44356</v>
      </c>
      <c r="J164" s="355" vm="259">
        <f ca="1"/>
        <v>114.99</v>
      </c>
      <c r="K164" s="229">
        <f ca="1"/>
        <v>2195.4029999999998</v>
      </c>
    </row>
    <row r="165" spans="9:11" x14ac:dyDescent="0.15">
      <c r="I165" s="229" vm="260">
        <f ca="1"/>
        <v>44357</v>
      </c>
      <c r="J165" s="355" vm="261">
        <f ca="1"/>
        <v>112.54</v>
      </c>
      <c r="K165" s="229">
        <f ca="1"/>
        <v>3373.29</v>
      </c>
    </row>
    <row r="166" spans="9:11" x14ac:dyDescent="0.15">
      <c r="I166" s="229" vm="262">
        <f ca="1"/>
        <v>44358</v>
      </c>
      <c r="J166" s="355" vm="263">
        <f ca="1"/>
        <v>114.45</v>
      </c>
      <c r="K166" s="229">
        <f ca="1"/>
        <v>2364.3580000000002</v>
      </c>
    </row>
    <row r="167" spans="9:11" x14ac:dyDescent="0.15">
      <c r="I167" s="229" vm="264">
        <f ca="1"/>
        <v>44361</v>
      </c>
      <c r="J167" s="355" vm="265">
        <f ca="1"/>
        <v>114.03</v>
      </c>
      <c r="K167" s="229">
        <f ca="1"/>
        <v>1801.1079999999999</v>
      </c>
    </row>
    <row r="168" spans="9:11" x14ac:dyDescent="0.15">
      <c r="I168" s="229" vm="266">
        <f ca="1"/>
        <v>44362</v>
      </c>
      <c r="J168" s="355" vm="267">
        <f ca="1"/>
        <v>113.26</v>
      </c>
      <c r="K168" s="229">
        <f ca="1"/>
        <v>1949.6279999999999</v>
      </c>
    </row>
    <row r="169" spans="9:11" x14ac:dyDescent="0.15">
      <c r="I169" s="229" vm="268">
        <f ca="1"/>
        <v>44363</v>
      </c>
      <c r="J169" s="355" vm="269">
        <f ca="1"/>
        <v>109.9</v>
      </c>
      <c r="K169" s="229">
        <f ca="1"/>
        <v>2944.3139999999999</v>
      </c>
    </row>
    <row r="170" spans="9:11" x14ac:dyDescent="0.15">
      <c r="I170" s="229" vm="270">
        <f ca="1"/>
        <v>44364</v>
      </c>
      <c r="J170" s="355" vm="271">
        <f ca="1"/>
        <v>109.5</v>
      </c>
      <c r="K170" s="229">
        <f ca="1"/>
        <v>2338.4720000000002</v>
      </c>
    </row>
    <row r="171" spans="9:11" x14ac:dyDescent="0.15">
      <c r="I171" s="229" vm="272">
        <f ca="1"/>
        <v>44365</v>
      </c>
      <c r="J171" s="355" vm="273">
        <f ca="1"/>
        <v>107.63</v>
      </c>
      <c r="K171" s="229">
        <f ca="1"/>
        <v>4255.0789999999997</v>
      </c>
    </row>
    <row r="172" spans="9:11" x14ac:dyDescent="0.15">
      <c r="I172" s="229" vm="274">
        <f ca="1"/>
        <v>44368</v>
      </c>
      <c r="J172" s="355" vm="275">
        <f ca="1"/>
        <v>108.68</v>
      </c>
      <c r="K172" s="229">
        <f ca="1"/>
        <v>2020.3510000000001</v>
      </c>
    </row>
    <row r="173" spans="9:11" x14ac:dyDescent="0.15">
      <c r="I173" s="229" vm="276">
        <f ca="1"/>
        <v>44369</v>
      </c>
      <c r="J173" s="355" vm="277">
        <f ca="1"/>
        <v>111.04</v>
      </c>
      <c r="K173" s="229">
        <f ca="1"/>
        <v>2477.7840000000001</v>
      </c>
    </row>
    <row r="174" spans="9:11" x14ac:dyDescent="0.15">
      <c r="I174" s="229" vm="278">
        <f ca="1"/>
        <v>44370</v>
      </c>
      <c r="J174" s="355" vm="279">
        <f ca="1"/>
        <v>111.25</v>
      </c>
      <c r="K174" s="229">
        <f ca="1"/>
        <v>1554.5609999999999</v>
      </c>
    </row>
    <row r="175" spans="9:11" x14ac:dyDescent="0.15">
      <c r="I175" s="229" vm="280">
        <f ca="1"/>
        <v>44371</v>
      </c>
      <c r="J175" s="355" vm="281">
        <f ca="1"/>
        <v>111.38</v>
      </c>
      <c r="K175" s="229">
        <f ca="1"/>
        <v>1660.066</v>
      </c>
    </row>
    <row r="176" spans="9:11" x14ac:dyDescent="0.15">
      <c r="I176" s="229" vm="282">
        <f ca="1"/>
        <v>44372</v>
      </c>
      <c r="J176" s="355" vm="283">
        <f ca="1"/>
        <v>113.05</v>
      </c>
      <c r="K176" s="229">
        <f ca="1"/>
        <v>2592.6529999999998</v>
      </c>
    </row>
    <row r="177" spans="9:11" x14ac:dyDescent="0.15">
      <c r="I177" s="229" vm="284">
        <f ca="1"/>
        <v>44375</v>
      </c>
      <c r="J177" s="355" vm="285">
        <f ca="1"/>
        <v>114.83</v>
      </c>
      <c r="K177" s="229">
        <f ca="1"/>
        <v>1942.96</v>
      </c>
    </row>
    <row r="178" spans="9:11" x14ac:dyDescent="0.15">
      <c r="I178" s="229" vm="286">
        <f ca="1"/>
        <v>44376</v>
      </c>
      <c r="J178" s="355" vm="287">
        <f ca="1"/>
        <v>114.97</v>
      </c>
      <c r="K178" s="229">
        <f ca="1"/>
        <v>1890.779</v>
      </c>
    </row>
    <row r="179" spans="9:11" x14ac:dyDescent="0.15">
      <c r="I179" s="229" vm="288">
        <f ca="1"/>
        <v>44377</v>
      </c>
      <c r="J179" s="355" vm="289">
        <f ca="1"/>
        <v>114.98</v>
      </c>
      <c r="K179" s="229">
        <f ca="1"/>
        <v>1879.2</v>
      </c>
    </row>
    <row r="180" spans="9:11" x14ac:dyDescent="0.15">
      <c r="I180" s="229" vm="290">
        <f ca="1"/>
        <v>44378</v>
      </c>
      <c r="J180" s="355" vm="291">
        <f ca="1"/>
        <v>116.37</v>
      </c>
      <c r="K180" s="229">
        <f ca="1"/>
        <v>1554.5409999999999</v>
      </c>
    </row>
    <row r="181" spans="9:11" x14ac:dyDescent="0.15">
      <c r="I181" s="229" vm="292">
        <f ca="1"/>
        <v>44379</v>
      </c>
      <c r="J181" s="355" vm="293">
        <f ca="1"/>
        <v>115.65</v>
      </c>
      <c r="K181" s="229">
        <f ca="1"/>
        <v>1634.55</v>
      </c>
    </row>
    <row r="182" spans="9:11" x14ac:dyDescent="0.15">
      <c r="I182" s="229" vm="294">
        <f ca="1"/>
        <v>44383</v>
      </c>
      <c r="J182" s="355" vm="295">
        <f ca="1"/>
        <v>110.55</v>
      </c>
      <c r="K182" s="229">
        <f ca="1"/>
        <v>2952.2190000000001</v>
      </c>
    </row>
    <row r="183" spans="9:11" x14ac:dyDescent="0.15">
      <c r="I183" s="229" vm="296">
        <f ca="1"/>
        <v>44384</v>
      </c>
      <c r="J183" s="355" vm="297">
        <f ca="1"/>
        <v>109.75</v>
      </c>
      <c r="K183" s="229">
        <f ca="1"/>
        <v>2079.127</v>
      </c>
    </row>
    <row r="184" spans="9:11" x14ac:dyDescent="0.15">
      <c r="I184" s="229" vm="298">
        <f ca="1"/>
        <v>44385</v>
      </c>
      <c r="J184" s="355" vm="299">
        <f ca="1"/>
        <v>108.16</v>
      </c>
      <c r="K184" s="229">
        <f ca="1"/>
        <v>2010.4590000000001</v>
      </c>
    </row>
    <row r="185" spans="9:11" x14ac:dyDescent="0.15">
      <c r="I185" s="229" vm="300">
        <f ca="1"/>
        <v>44386</v>
      </c>
      <c r="J185" s="355" vm="301">
        <f ca="1"/>
        <v>110.86</v>
      </c>
      <c r="K185" s="229">
        <f ca="1"/>
        <v>2096.759</v>
      </c>
    </row>
    <row r="186" spans="9:11" x14ac:dyDescent="0.15">
      <c r="I186" s="229" vm="302">
        <f ca="1"/>
        <v>44389</v>
      </c>
      <c r="J186" s="355" vm="279">
        <f ca="1"/>
        <v>111.25</v>
      </c>
      <c r="K186" s="229">
        <f ca="1"/>
        <v>1704.077</v>
      </c>
    </row>
    <row r="187" spans="9:11" x14ac:dyDescent="0.15">
      <c r="I187" s="229" vm="303">
        <f ca="1"/>
        <v>44390</v>
      </c>
      <c r="J187" s="355" vm="304">
        <f ca="1"/>
        <v>109.87</v>
      </c>
      <c r="K187" s="229">
        <f ca="1"/>
        <v>2306.9580000000001</v>
      </c>
    </row>
    <row r="188" spans="9:11" x14ac:dyDescent="0.15">
      <c r="I188" s="229" vm="305">
        <f ca="1"/>
        <v>44391</v>
      </c>
      <c r="J188" s="355" vm="306">
        <f ca="1"/>
        <v>109.91</v>
      </c>
      <c r="K188" s="229">
        <f ca="1"/>
        <v>1334.1120000000001</v>
      </c>
    </row>
    <row r="189" spans="9:11" x14ac:dyDescent="0.15">
      <c r="I189" s="229" vm="307">
        <f ca="1"/>
        <v>44392</v>
      </c>
      <c r="J189" s="355" vm="308">
        <f ca="1"/>
        <v>112</v>
      </c>
      <c r="K189" s="229">
        <f ca="1"/>
        <v>2742.1610000000001</v>
      </c>
    </row>
    <row r="190" spans="9:11" x14ac:dyDescent="0.15">
      <c r="I190" s="229" vm="309">
        <f ca="1"/>
        <v>44393</v>
      </c>
      <c r="J190" s="355" vm="310">
        <f ca="1"/>
        <v>110.59</v>
      </c>
      <c r="K190" s="229">
        <f ca="1"/>
        <v>1844.356</v>
      </c>
    </row>
    <row r="191" spans="9:11" x14ac:dyDescent="0.15">
      <c r="I191" s="229" vm="311">
        <f ca="1"/>
        <v>44396</v>
      </c>
      <c r="J191" s="355" vm="312">
        <f ca="1"/>
        <v>108.48</v>
      </c>
      <c r="K191" s="229">
        <f ca="1"/>
        <v>2527.9450000000002</v>
      </c>
    </row>
    <row r="192" spans="9:11" x14ac:dyDescent="0.15">
      <c r="I192" s="229" vm="313">
        <f ca="1"/>
        <v>44397</v>
      </c>
      <c r="J192" s="355" vm="314">
        <f ca="1"/>
        <v>110.61</v>
      </c>
      <c r="K192" s="229">
        <f ca="1"/>
        <v>1784.2260000000001</v>
      </c>
    </row>
    <row r="193" spans="9:11" x14ac:dyDescent="0.15">
      <c r="I193" s="229" vm="315">
        <f ca="1"/>
        <v>44398</v>
      </c>
      <c r="J193" s="355" vm="58">
        <f ca="1"/>
        <v>110.78</v>
      </c>
      <c r="K193" s="229">
        <f ca="1"/>
        <v>1659.874</v>
      </c>
    </row>
    <row r="194" spans="9:11" x14ac:dyDescent="0.15">
      <c r="I194" s="229" vm="316">
        <f ca="1"/>
        <v>44399</v>
      </c>
      <c r="J194" s="355" vm="317">
        <f ca="1"/>
        <v>109.98</v>
      </c>
      <c r="K194" s="229">
        <f ca="1"/>
        <v>1819.944</v>
      </c>
    </row>
    <row r="195" spans="9:11" x14ac:dyDescent="0.15">
      <c r="I195" s="229" vm="318">
        <f ca="1"/>
        <v>44400</v>
      </c>
      <c r="J195" s="355" vm="319">
        <f ca="1"/>
        <v>113.28</v>
      </c>
      <c r="K195" s="229">
        <f ca="1"/>
        <v>1620.079</v>
      </c>
    </row>
    <row r="196" spans="9:11" x14ac:dyDescent="0.15">
      <c r="I196" s="229" vm="320">
        <f ca="1"/>
        <v>44403</v>
      </c>
      <c r="J196" s="355" vm="285">
        <f ca="1"/>
        <v>114.83</v>
      </c>
      <c r="K196" s="229">
        <f ca="1"/>
        <v>1767.492</v>
      </c>
    </row>
    <row r="197" spans="9:11" x14ac:dyDescent="0.15">
      <c r="I197" s="229" vm="321">
        <f ca="1"/>
        <v>44404</v>
      </c>
      <c r="J197" s="355" vm="322">
        <f ca="1"/>
        <v>114.36</v>
      </c>
      <c r="K197" s="229">
        <f ca="1"/>
        <v>1423.2449999999999</v>
      </c>
    </row>
    <row r="198" spans="9:11" x14ac:dyDescent="0.15">
      <c r="I198" s="229" vm="323">
        <f ca="1"/>
        <v>44405</v>
      </c>
      <c r="J198" s="355" vm="324">
        <f ca="1"/>
        <v>113.06</v>
      </c>
      <c r="K198" s="229">
        <f ca="1"/>
        <v>1404.3969999999999</v>
      </c>
    </row>
    <row r="199" spans="9:11" x14ac:dyDescent="0.15">
      <c r="I199" s="229" vm="325">
        <f ca="1"/>
        <v>44406</v>
      </c>
      <c r="J199" s="355" vm="326">
        <f ca="1"/>
        <v>114.26</v>
      </c>
      <c r="K199" s="229">
        <f ca="1"/>
        <v>1386.704</v>
      </c>
    </row>
    <row r="200" spans="9:11" x14ac:dyDescent="0.15">
      <c r="I200" s="229" vm="327">
        <f ca="1"/>
        <v>44407</v>
      </c>
      <c r="J200" s="355" vm="328">
        <f ca="1"/>
        <v>112.35</v>
      </c>
      <c r="K200" s="229">
        <f ca="1"/>
        <v>1752.991</v>
      </c>
    </row>
    <row r="201" spans="9:11" x14ac:dyDescent="0.15">
      <c r="I201" s="229" vm="329">
        <f ca="1"/>
        <v>44410</v>
      </c>
      <c r="J201" s="355" vm="330">
        <f ca="1"/>
        <v>112.49</v>
      </c>
      <c r="K201" s="229">
        <f ca="1"/>
        <v>1302.7629999999999</v>
      </c>
    </row>
    <row r="202" spans="9:11" x14ac:dyDescent="0.15">
      <c r="I202" s="229" vm="331">
        <f ca="1"/>
        <v>44411</v>
      </c>
      <c r="J202" s="355" vm="332">
        <f ca="1"/>
        <v>114.65</v>
      </c>
      <c r="K202" s="229">
        <f ca="1"/>
        <v>1265.655</v>
      </c>
    </row>
    <row r="203" spans="9:11" x14ac:dyDescent="0.15">
      <c r="I203" s="229" vm="333">
        <f ca="1"/>
        <v>44412</v>
      </c>
      <c r="J203" s="355" vm="334">
        <f ca="1"/>
        <v>113.27</v>
      </c>
      <c r="K203" s="229">
        <f ca="1"/>
        <v>1134.2529999999999</v>
      </c>
    </row>
    <row r="204" spans="9:11" x14ac:dyDescent="0.15">
      <c r="I204" s="229" vm="335">
        <f ca="1"/>
        <v>44413</v>
      </c>
      <c r="J204" s="355" vm="336">
        <f ca="1"/>
        <v>115.37</v>
      </c>
      <c r="K204" s="229">
        <f ca="1"/>
        <v>1907.251</v>
      </c>
    </row>
    <row r="205" spans="9:11" x14ac:dyDescent="0.15">
      <c r="I205" s="229" vm="337">
        <f ca="1"/>
        <v>44414</v>
      </c>
      <c r="J205" s="355" vm="338">
        <f ca="1"/>
        <v>114.84</v>
      </c>
      <c r="K205" s="229">
        <f ca="1"/>
        <v>1699.6089999999999</v>
      </c>
    </row>
    <row r="206" spans="9:11" x14ac:dyDescent="0.15">
      <c r="I206" s="229" vm="339">
        <f ca="1"/>
        <v>44417</v>
      </c>
      <c r="J206" s="355" vm="261">
        <f ca="1"/>
        <v>112.54</v>
      </c>
      <c r="K206" s="229">
        <f ca="1"/>
        <v>1346.934</v>
      </c>
    </row>
    <row r="207" spans="9:11" x14ac:dyDescent="0.15">
      <c r="I207" s="229" vm="340">
        <f ca="1"/>
        <v>44418</v>
      </c>
      <c r="J207" s="355" vm="341">
        <f ca="1"/>
        <v>115.02</v>
      </c>
      <c r="K207" s="229">
        <f ca="1"/>
        <v>1315.6</v>
      </c>
    </row>
    <row r="208" spans="9:11" x14ac:dyDescent="0.15">
      <c r="I208" s="229" vm="342">
        <f ca="1"/>
        <v>44419</v>
      </c>
      <c r="J208" s="355" vm="343">
        <f ca="1"/>
        <v>118.06</v>
      </c>
      <c r="K208" s="229">
        <f ca="1"/>
        <v>2565.5610000000001</v>
      </c>
    </row>
    <row r="209" spans="9:11" x14ac:dyDescent="0.15">
      <c r="I209" s="229" vm="344">
        <f ca="1"/>
        <v>44420</v>
      </c>
      <c r="J209" s="355" vm="345">
        <f ca="1"/>
        <v>118.13</v>
      </c>
      <c r="K209" s="229">
        <f ca="1"/>
        <v>1248.6199999999999</v>
      </c>
    </row>
    <row r="210" spans="9:11" x14ac:dyDescent="0.15">
      <c r="I210" s="229" vm="346">
        <f ca="1"/>
        <v>44421</v>
      </c>
      <c r="J210" s="355" vm="347">
        <f ca="1"/>
        <v>113.78</v>
      </c>
      <c r="K210" s="229">
        <f ca="1"/>
        <v>2293.4229999999998</v>
      </c>
    </row>
    <row r="211" spans="9:11" x14ac:dyDescent="0.15">
      <c r="I211" s="229" vm="348">
        <f ca="1"/>
        <v>44424</v>
      </c>
      <c r="J211" s="355" vm="349">
        <f ca="1"/>
        <v>115.36</v>
      </c>
      <c r="K211" s="229">
        <f ca="1"/>
        <v>1833.0840000000001</v>
      </c>
    </row>
    <row r="212" spans="9:11" x14ac:dyDescent="0.15">
      <c r="I212" s="229" vm="350">
        <f ca="1"/>
        <v>44425</v>
      </c>
      <c r="J212" s="355" vm="351">
        <f ca="1"/>
        <v>110.75</v>
      </c>
      <c r="K212" s="229">
        <f ca="1"/>
        <v>2212.558</v>
      </c>
    </row>
    <row r="213" spans="9:11" x14ac:dyDescent="0.15">
      <c r="I213" s="229" vm="352">
        <f ca="1"/>
        <v>44426</v>
      </c>
      <c r="J213" s="355" vm="353">
        <f ca="1"/>
        <v>110.1</v>
      </c>
      <c r="K213" s="229">
        <f ca="1"/>
        <v>2079.348</v>
      </c>
    </row>
    <row r="214" spans="9:11" x14ac:dyDescent="0.15">
      <c r="I214" s="229" vm="354">
        <f ca="1"/>
        <v>44427</v>
      </c>
      <c r="J214" s="355" vm="355">
        <f ca="1"/>
        <v>109.76</v>
      </c>
      <c r="K214" s="229">
        <f ca="1"/>
        <v>1954.9269999999999</v>
      </c>
    </row>
    <row r="215" spans="9:11" x14ac:dyDescent="0.15">
      <c r="I215" s="229" vm="356">
        <f ca="1"/>
        <v>44428</v>
      </c>
      <c r="J215" s="355" vm="2">
        <f ca="1"/>
        <v>112.63</v>
      </c>
      <c r="K215" s="229">
        <f ca="1"/>
        <v>2131.1170000000002</v>
      </c>
    </row>
    <row r="216" spans="9:11" x14ac:dyDescent="0.15">
      <c r="I216" s="229" vm="357">
        <f ca="1"/>
        <v>44431</v>
      </c>
      <c r="J216" s="355" vm="358">
        <f ca="1"/>
        <v>112.16</v>
      </c>
      <c r="K216" s="229">
        <f ca="1"/>
        <v>3630.7759999999998</v>
      </c>
    </row>
    <row r="217" spans="9:11" x14ac:dyDescent="0.15">
      <c r="I217" s="229" vm="359">
        <f ca="1"/>
        <v>44432</v>
      </c>
      <c r="J217" s="355" vm="360">
        <f ca="1"/>
        <v>121.49</v>
      </c>
      <c r="K217" s="229">
        <f ca="1"/>
        <v>11896.879000000001</v>
      </c>
    </row>
    <row r="218" spans="9:11" x14ac:dyDescent="0.15">
      <c r="I218" s="229" vm="361">
        <f ca="1"/>
        <v>44433</v>
      </c>
      <c r="J218" s="355" vm="362">
        <f ca="1"/>
        <v>121.89</v>
      </c>
      <c r="K218" s="229">
        <f ca="1"/>
        <v>3685.3330000000001</v>
      </c>
    </row>
    <row r="219" spans="9:11" x14ac:dyDescent="0.15">
      <c r="I219" s="229" vm="363">
        <f ca="1"/>
        <v>44434</v>
      </c>
      <c r="J219" s="355" vm="364">
        <f ca="1"/>
        <v>118.09</v>
      </c>
      <c r="K219" s="229">
        <f ca="1"/>
        <v>2700.2060000000001</v>
      </c>
    </row>
    <row r="220" spans="9:11" x14ac:dyDescent="0.15">
      <c r="I220" s="229" vm="365">
        <f ca="1"/>
        <v>44435</v>
      </c>
      <c r="J220" s="355" vm="366">
        <f ca="1"/>
        <v>117.5</v>
      </c>
      <c r="K220" s="229">
        <f ca="1"/>
        <v>2013.2090000000001</v>
      </c>
    </row>
    <row r="221" spans="9:11" x14ac:dyDescent="0.15">
      <c r="I221" s="229" vm="367">
        <f ca="1"/>
        <v>44438</v>
      </c>
      <c r="J221" s="355" vm="202">
        <f ca="1"/>
        <v>118.35</v>
      </c>
      <c r="K221" s="229">
        <f ca="1"/>
        <v>1722.81</v>
      </c>
    </row>
    <row r="222" spans="9:11" x14ac:dyDescent="0.15">
      <c r="I222" s="229" vm="368">
        <f ca="1"/>
        <v>44439</v>
      </c>
      <c r="J222" s="355" vm="369">
        <f ca="1"/>
        <v>116.51</v>
      </c>
      <c r="K222" s="229">
        <f ca="1"/>
        <v>2877.2510000000002</v>
      </c>
    </row>
    <row r="223" spans="9:11" x14ac:dyDescent="0.15">
      <c r="I223" s="229" vm="370">
        <f ca="1"/>
        <v>44440</v>
      </c>
      <c r="J223" s="355" vm="371">
        <f ca="1"/>
        <v>116.78</v>
      </c>
      <c r="K223" s="229">
        <f ca="1"/>
        <v>2709.5059999999999</v>
      </c>
    </row>
    <row r="224" spans="9:11" x14ac:dyDescent="0.15">
      <c r="I224" s="229" vm="372">
        <f ca="1"/>
        <v>44441</v>
      </c>
      <c r="J224" s="355" vm="373">
        <f ca="1"/>
        <v>116.26</v>
      </c>
      <c r="K224" s="229">
        <f ca="1"/>
        <v>1788.0909999999999</v>
      </c>
    </row>
    <row r="225" spans="9:11" x14ac:dyDescent="0.15">
      <c r="I225" s="229" vm="374">
        <f ca="1"/>
        <v>44442</v>
      </c>
      <c r="J225" s="355" vm="375">
        <f ca="1"/>
        <v>114.02</v>
      </c>
      <c r="K225" s="229">
        <f ca="1"/>
        <v>1762.6130000000001</v>
      </c>
    </row>
    <row r="226" spans="9:11" x14ac:dyDescent="0.15">
      <c r="I226" s="229" vm="376">
        <f ca="1"/>
        <v>44446</v>
      </c>
      <c r="J226" s="355" vm="377">
        <f ca="1"/>
        <v>111.5</v>
      </c>
      <c r="K226" s="229">
        <f ca="1"/>
        <v>2426.4899999999998</v>
      </c>
    </row>
    <row r="227" spans="9:11" x14ac:dyDescent="0.15">
      <c r="I227" s="229" vm="378">
        <f ca="1"/>
        <v>44447</v>
      </c>
      <c r="J227" s="355" vm="142">
        <f ca="1"/>
        <v>110.99</v>
      </c>
      <c r="K227" s="229">
        <f ca="1"/>
        <v>2558.7649999999999</v>
      </c>
    </row>
    <row r="228" spans="9:11" x14ac:dyDescent="0.15">
      <c r="I228" s="229" vm="379">
        <f ca="1"/>
        <v>44448</v>
      </c>
      <c r="J228" s="355" vm="380">
        <f ca="1"/>
        <v>112.39</v>
      </c>
      <c r="K228" s="229">
        <f ca="1"/>
        <v>2211.8690000000001</v>
      </c>
    </row>
    <row r="229" spans="9:11" x14ac:dyDescent="0.15">
      <c r="I229" s="229" vm="381">
        <f ca="1"/>
        <v>44449</v>
      </c>
      <c r="J229" s="355" vm="382">
        <f ca="1"/>
        <v>111.35</v>
      </c>
      <c r="K229" s="229">
        <f ca="1"/>
        <v>1728.8520000000001</v>
      </c>
    </row>
    <row r="230" spans="9:11" x14ac:dyDescent="0.15">
      <c r="I230" s="229" vm="383">
        <f ca="1"/>
        <v>44452</v>
      </c>
      <c r="J230" s="355" vm="384">
        <f ca="1"/>
        <v>112.07</v>
      </c>
      <c r="K230" s="229">
        <f ca="1"/>
        <v>1592.684</v>
      </c>
    </row>
    <row r="231" spans="9:11" x14ac:dyDescent="0.15">
      <c r="I231" s="229" vm="385">
        <f ca="1"/>
        <v>44453</v>
      </c>
      <c r="J231" s="355" vm="386">
        <f ca="1"/>
        <v>110.17</v>
      </c>
      <c r="K231" s="229">
        <f ca="1"/>
        <v>1564.81</v>
      </c>
    </row>
    <row r="232" spans="9:11" x14ac:dyDescent="0.15">
      <c r="I232" s="229" vm="387">
        <f ca="1"/>
        <v>44454</v>
      </c>
      <c r="J232" s="355" vm="388">
        <f ca="1"/>
        <v>109.27</v>
      </c>
      <c r="K232" s="229">
        <f ca="1"/>
        <v>2068.826</v>
      </c>
    </row>
    <row r="233" spans="9:11" x14ac:dyDescent="0.15">
      <c r="I233" s="229" vm="389">
        <f ca="1"/>
        <v>44455</v>
      </c>
      <c r="J233" s="355" vm="390">
        <f ca="1"/>
        <v>109.56</v>
      </c>
      <c r="K233" s="229">
        <f ca="1"/>
        <v>1511.146</v>
      </c>
    </row>
    <row r="234" spans="9:11" x14ac:dyDescent="0.15">
      <c r="I234" s="229" vm="391">
        <f ca="1"/>
        <v>44456</v>
      </c>
      <c r="J234" s="355" vm="392">
        <f ca="1"/>
        <v>109.62</v>
      </c>
      <c r="K234" s="229">
        <f ca="1"/>
        <v>2946.2</v>
      </c>
    </row>
    <row r="235" spans="9:11" x14ac:dyDescent="0.15">
      <c r="I235" s="229" vm="393">
        <f ca="1"/>
        <v>44459</v>
      </c>
      <c r="J235" s="355" vm="394">
        <f ca="1"/>
        <v>106.67</v>
      </c>
      <c r="K235" s="229">
        <f ca="1"/>
        <v>2101.6350000000002</v>
      </c>
    </row>
    <row r="236" spans="9:11" x14ac:dyDescent="0.15">
      <c r="I236" s="229" vm="395">
        <f ca="1"/>
        <v>44460</v>
      </c>
      <c r="J236" s="355" vm="396">
        <f ca="1"/>
        <v>106.89</v>
      </c>
      <c r="K236" s="229">
        <f ca="1"/>
        <v>2240.8980000000001</v>
      </c>
    </row>
    <row r="237" spans="9:11" x14ac:dyDescent="0.15">
      <c r="I237" s="229" vm="397">
        <f ca="1"/>
        <v>44461</v>
      </c>
      <c r="J237" s="355" vm="398">
        <f ca="1"/>
        <v>106.8</v>
      </c>
      <c r="K237" s="229">
        <f ca="1"/>
        <v>1500.742</v>
      </c>
    </row>
    <row r="238" spans="9:11" x14ac:dyDescent="0.15">
      <c r="I238" s="229" vm="399">
        <f ca="1"/>
        <v>44462</v>
      </c>
      <c r="J238" s="355" vm="400">
        <f ca="1"/>
        <v>106.17</v>
      </c>
      <c r="K238" s="229">
        <f ca="1"/>
        <v>2053.877</v>
      </c>
    </row>
    <row r="239" spans="9:11" x14ac:dyDescent="0.15">
      <c r="I239" s="229" vm="401">
        <f ca="1"/>
        <v>44463</v>
      </c>
      <c r="J239" s="355" vm="402">
        <f ca="1"/>
        <v>104.74</v>
      </c>
      <c r="K239" s="229">
        <f ca="1"/>
        <v>3377.7510000000002</v>
      </c>
    </row>
    <row r="240" spans="9:11" x14ac:dyDescent="0.15">
      <c r="I240" s="229" vm="403">
        <f ca="1"/>
        <v>44466</v>
      </c>
      <c r="J240" s="355" vm="404">
        <f ca="1"/>
        <v>110.18</v>
      </c>
      <c r="K240" s="229">
        <f ca="1"/>
        <v>4675.0219999999999</v>
      </c>
    </row>
    <row r="241" spans="9:11" x14ac:dyDescent="0.15">
      <c r="I241" s="229" vm="405">
        <f ca="1"/>
        <v>44467</v>
      </c>
      <c r="J241" s="355" vm="406">
        <f ca="1"/>
        <v>109.39</v>
      </c>
      <c r="K241" s="229">
        <f ca="1"/>
        <v>2933.7930000000001</v>
      </c>
    </row>
    <row r="242" spans="9:11" x14ac:dyDescent="0.15">
      <c r="I242" s="229" vm="407">
        <f ca="1"/>
        <v>44468</v>
      </c>
      <c r="J242" s="355" vm="408">
        <f ca="1"/>
        <v>109.43</v>
      </c>
      <c r="K242" s="229">
        <f ca="1"/>
        <v>1771.1379999999999</v>
      </c>
    </row>
    <row r="243" spans="9:11" x14ac:dyDescent="0.15">
      <c r="I243" s="229" vm="409">
        <f ca="1"/>
        <v>44469</v>
      </c>
      <c r="J243" s="355" vm="410">
        <f ca="1"/>
        <v>105.71</v>
      </c>
      <c r="K243" s="229">
        <f ca="1"/>
        <v>3692.9360000000001</v>
      </c>
    </row>
    <row r="244" spans="9:11" x14ac:dyDescent="0.15">
      <c r="I244" s="229" vm="411">
        <f ca="1"/>
        <v>44470</v>
      </c>
      <c r="J244" s="355" vm="412">
        <f ca="1"/>
        <v>105.31</v>
      </c>
      <c r="K244" s="229">
        <f ca="1"/>
        <v>2134.12</v>
      </c>
    </row>
    <row r="245" spans="9:11" x14ac:dyDescent="0.15">
      <c r="I245" s="229" vm="413">
        <f ca="1"/>
        <v>44473</v>
      </c>
      <c r="J245" s="355" vm="414">
        <f ca="1"/>
        <v>105.49</v>
      </c>
      <c r="K245" s="229">
        <f ca="1"/>
        <v>1739.0250000000001</v>
      </c>
    </row>
    <row r="246" spans="9:11" x14ac:dyDescent="0.15">
      <c r="I246" s="229" vm="415">
        <f ca="1"/>
        <v>44474</v>
      </c>
      <c r="J246" s="355" vm="416">
        <f ca="1"/>
        <v>106.37</v>
      </c>
      <c r="K246" s="229">
        <f ca="1"/>
        <v>2050.116</v>
      </c>
    </row>
    <row r="247" spans="9:11" x14ac:dyDescent="0.15">
      <c r="I247" s="229" vm="417">
        <f ca="1"/>
        <v>44475</v>
      </c>
      <c r="J247" s="355" vm="418">
        <f ca="1"/>
        <v>105.77</v>
      </c>
      <c r="K247" s="229">
        <f ca="1"/>
        <v>1808.9549999999999</v>
      </c>
    </row>
    <row r="248" spans="9:11" x14ac:dyDescent="0.15">
      <c r="I248" s="229" vm="419">
        <f ca="1"/>
        <v>44476</v>
      </c>
      <c r="J248" s="355" vm="420">
        <f ca="1"/>
        <v>107.59</v>
      </c>
      <c r="K248" s="229">
        <f ca="1"/>
        <v>2188.1689999999999</v>
      </c>
    </row>
    <row r="249" spans="9:11" x14ac:dyDescent="0.15">
      <c r="I249" s="229" vm="421">
        <f ca="1"/>
        <v>44477</v>
      </c>
      <c r="J249" s="355" vm="422">
        <f ca="1"/>
        <v>107.25</v>
      </c>
      <c r="K249" s="229">
        <f ca="1"/>
        <v>1729.191</v>
      </c>
    </row>
    <row r="250" spans="9:11" x14ac:dyDescent="0.15">
      <c r="I250" s="229" vm="423">
        <f ca="1"/>
        <v>44480</v>
      </c>
      <c r="J250" s="355" vm="424">
        <f ca="1"/>
        <v>108.88</v>
      </c>
      <c r="K250" s="229">
        <f ca="1"/>
        <v>1790.4839999999999</v>
      </c>
    </row>
    <row r="251" spans="9:11" x14ac:dyDescent="0.15">
      <c r="I251" s="229" vm="425">
        <f ca="1"/>
        <v>44481</v>
      </c>
      <c r="J251" s="355" vm="426">
        <f ca="1"/>
        <v>109.32</v>
      </c>
      <c r="K251" s="229">
        <f ca="1"/>
        <v>1604.9639999999999</v>
      </c>
    </row>
    <row r="252" spans="9:11" x14ac:dyDescent="0.15">
      <c r="I252" s="229" vm="427">
        <f ca="1"/>
        <v>44482</v>
      </c>
      <c r="J252" s="355" vm="58">
        <f ca="1"/>
        <v>110.78</v>
      </c>
      <c r="K252" s="229">
        <f ca="1"/>
        <v>2069.1640000000002</v>
      </c>
    </row>
    <row r="253" spans="9:11" x14ac:dyDescent="0.15">
      <c r="I253" s="229" vm="428">
        <f ca="1"/>
        <v>44483</v>
      </c>
      <c r="J253" s="355" vm="429">
        <f ca="1"/>
        <v>112.66</v>
      </c>
      <c r="K253" s="229">
        <f ca="1"/>
        <v>2140.63</v>
      </c>
    </row>
    <row r="254" spans="9:11" x14ac:dyDescent="0.15">
      <c r="I254" s="229" vm="430">
        <f ca="1"/>
        <v>44484</v>
      </c>
      <c r="J254" s="355" vm="431">
        <f ca="1"/>
        <v>113.64</v>
      </c>
      <c r="K254" s="229">
        <f ca="1"/>
        <v>2133.5439999999999</v>
      </c>
    </row>
    <row r="255" spans="9:11" x14ac:dyDescent="0.15">
      <c r="I255" s="229" vm="432">
        <f ca="1"/>
        <v>44487</v>
      </c>
      <c r="J255" s="355" vm="433">
        <f ca="1"/>
        <v>115.61</v>
      </c>
      <c r="K255" s="229">
        <f ca="1"/>
        <v>2392.933</v>
      </c>
    </row>
    <row r="256" spans="9:11" x14ac:dyDescent="0.15">
      <c r="I256" s="229" vm="434">
        <f ca="1"/>
        <v>44488</v>
      </c>
      <c r="J256" s="355" vm="435">
        <f ca="1"/>
        <v>113.94</v>
      </c>
      <c r="K256" s="229">
        <f ca="1"/>
        <v>2087.8470000000002</v>
      </c>
    </row>
    <row r="257" spans="9:11" x14ac:dyDescent="0.15">
      <c r="I257" s="229" vm="436">
        <f ca="1"/>
        <v>44489</v>
      </c>
      <c r="J257" s="355" vm="94">
        <f ca="1"/>
        <v>114.53</v>
      </c>
      <c r="K257" s="229">
        <f ca="1"/>
        <v>1588.751</v>
      </c>
    </row>
    <row r="258" spans="9:11" x14ac:dyDescent="0.15">
      <c r="I258" s="229" vm="437">
        <f ca="1"/>
        <v>44490</v>
      </c>
      <c r="J258" s="355" vm="438">
        <f ca="1"/>
        <v>117.6</v>
      </c>
      <c r="K258" s="229">
        <f ca="1"/>
        <v>1756.0519999999999</v>
      </c>
    </row>
    <row r="259" spans="9:11" x14ac:dyDescent="0.15">
      <c r="I259" s="229" vm="439">
        <f ca="1"/>
        <v>44491</v>
      </c>
      <c r="J259" s="355" vm="440">
        <f ca="1"/>
        <v>118.39</v>
      </c>
      <c r="K259" s="229">
        <f ca="1"/>
        <v>1736.1849999999999</v>
      </c>
    </row>
    <row r="260" spans="9:11" x14ac:dyDescent="0.15">
      <c r="I260" s="229" vm="441">
        <f ca="1"/>
        <v>44494</v>
      </c>
      <c r="J260" s="355" vm="442">
        <f ca="1"/>
        <v>120.48</v>
      </c>
      <c r="K260" s="229">
        <f ca="1"/>
        <v>2225.9920000000002</v>
      </c>
    </row>
    <row r="261" spans="9:11" x14ac:dyDescent="0.15">
      <c r="I261" s="229" vm="443">
        <f ca="1"/>
        <v>44495</v>
      </c>
      <c r="J261" s="355" vm="444">
        <f ca="1"/>
        <v>121.23</v>
      </c>
      <c r="K261" s="229">
        <f ca="1"/>
        <v>2605.7739999999999</v>
      </c>
    </row>
    <row r="262" spans="9:11" x14ac:dyDescent="0.15">
      <c r="I262" s="229" vm="445">
        <f ca="1"/>
        <v>44496</v>
      </c>
      <c r="J262" s="355" vm="446">
        <f ca="1"/>
        <v>118.75</v>
      </c>
      <c r="K262" s="229">
        <f ca="1"/>
        <v>2172.9879999999998</v>
      </c>
    </row>
    <row r="263" spans="9:11" x14ac:dyDescent="0.15">
      <c r="I263" s="229" vm="447">
        <f ca="1"/>
        <v>44497</v>
      </c>
      <c r="J263" s="355" vm="448">
        <f ca="1"/>
        <v>121.12</v>
      </c>
      <c r="K263" s="229">
        <f ca="1"/>
        <v>1646.3</v>
      </c>
    </row>
    <row r="264" spans="9:11" x14ac:dyDescent="0.15">
      <c r="I264" s="229" vm="449">
        <f ca="1"/>
        <v>44498</v>
      </c>
      <c r="J264" s="355" vm="450">
        <f ca="1"/>
        <v>122.24</v>
      </c>
      <c r="K264" s="229">
        <f ca="1"/>
        <v>2283.7730000000001</v>
      </c>
    </row>
    <row r="265" spans="9:11" x14ac:dyDescent="0.15">
      <c r="I265" s="229" vm="451">
        <f ca="1"/>
        <v>44501</v>
      </c>
      <c r="J265" s="355" vm="452">
        <f ca="1"/>
        <v>123.91</v>
      </c>
      <c r="K265" s="229">
        <f ca="1"/>
        <v>1901.377</v>
      </c>
    </row>
    <row r="266" spans="9:11" x14ac:dyDescent="0.15">
      <c r="I266" s="229" vm="453">
        <f ca="1"/>
        <v>44502</v>
      </c>
      <c r="J266" s="355" vm="454">
        <f ca="1"/>
        <v>123.83</v>
      </c>
      <c r="K266" s="229">
        <f ca="1"/>
        <v>1794.2929999999999</v>
      </c>
    </row>
    <row r="267" spans="9:11" x14ac:dyDescent="0.15">
      <c r="I267" s="229" vm="455">
        <f ca="1"/>
        <v>44503</v>
      </c>
      <c r="J267" s="355" vm="456">
        <f ca="1"/>
        <v>125.1</v>
      </c>
      <c r="K267" s="229">
        <f ca="1"/>
        <v>2224.933</v>
      </c>
    </row>
    <row r="268" spans="9:11" x14ac:dyDescent="0.15">
      <c r="I268" s="229" vm="457">
        <f ca="1"/>
        <v>44504</v>
      </c>
      <c r="J268" s="355" vm="458">
        <f ca="1"/>
        <v>128.61000000000001</v>
      </c>
      <c r="K268" s="229">
        <f ca="1"/>
        <v>2952.51</v>
      </c>
    </row>
    <row r="269" spans="9:11" x14ac:dyDescent="0.15">
      <c r="I269" s="229" vm="459">
        <f ca="1"/>
        <v>44505</v>
      </c>
      <c r="J269" s="355" vm="460">
        <f ca="1"/>
        <v>129.07</v>
      </c>
      <c r="K269" s="229">
        <f ca="1"/>
        <v>2217.39</v>
      </c>
    </row>
    <row r="270" spans="9:11" x14ac:dyDescent="0.15">
      <c r="I270" s="229" vm="461">
        <f ca="1"/>
        <v>44508</v>
      </c>
      <c r="J270" s="355" vm="462">
        <f ca="1"/>
        <v>130.09</v>
      </c>
      <c r="K270" s="229">
        <f ca="1"/>
        <v>2595.1979999999999</v>
      </c>
    </row>
    <row r="271" spans="9:11" x14ac:dyDescent="0.15">
      <c r="I271" s="229" vm="463">
        <f ca="1"/>
        <v>44509</v>
      </c>
      <c r="J271" s="355" vm="464">
        <f ca="1"/>
        <v>132.94</v>
      </c>
      <c r="K271" s="229">
        <f ca="1"/>
        <v>2025.453</v>
      </c>
    </row>
    <row r="272" spans="9:11" x14ac:dyDescent="0.15">
      <c r="I272" s="229" vm="465">
        <f ca="1"/>
        <v>44510</v>
      </c>
      <c r="J272" s="355" vm="466">
        <f ca="1"/>
        <v>131.25</v>
      </c>
      <c r="K272" s="229">
        <f ca="1"/>
        <v>1924.623</v>
      </c>
    </row>
    <row r="273" spans="9:11" x14ac:dyDescent="0.15">
      <c r="I273" s="229" vm="467">
        <f ca="1"/>
        <v>44511</v>
      </c>
      <c r="J273" s="355" vm="468">
        <f ca="1"/>
        <v>132.9</v>
      </c>
      <c r="K273" s="229">
        <f ca="1"/>
        <v>1843.348</v>
      </c>
    </row>
    <row r="274" spans="9:11" x14ac:dyDescent="0.15">
      <c r="I274" s="229" vm="469">
        <f ca="1"/>
        <v>44512</v>
      </c>
      <c r="J274" s="355" vm="470">
        <f ca="1"/>
        <v>135.63</v>
      </c>
      <c r="K274" s="229">
        <f ca="1"/>
        <v>2313.5309999999999</v>
      </c>
    </row>
    <row r="275" spans="9:11" x14ac:dyDescent="0.15">
      <c r="I275" s="229" vm="471">
        <f ca="1"/>
        <v>44515</v>
      </c>
      <c r="J275" s="355" vm="472">
        <f ca="1"/>
        <v>132.36000000000001</v>
      </c>
      <c r="K275" s="229">
        <f ca="1"/>
        <v>2681.913</v>
      </c>
    </row>
    <row r="276" spans="9:11" x14ac:dyDescent="0.15">
      <c r="I276" s="229" vm="473">
        <f ca="1"/>
        <v>44516</v>
      </c>
      <c r="J276" s="355" vm="474">
        <f ca="1"/>
        <v>134.93</v>
      </c>
      <c r="K276" s="229">
        <f ca="1"/>
        <v>2232.0329999999999</v>
      </c>
    </row>
    <row r="277" spans="9:11" x14ac:dyDescent="0.15">
      <c r="I277" s="229" vm="475">
        <f ca="1"/>
        <v>44517</v>
      </c>
      <c r="J277" s="355" vm="476">
        <f ca="1"/>
        <v>132.86000000000001</v>
      </c>
      <c r="K277" s="229">
        <f ca="1"/>
        <v>1928.4590000000001</v>
      </c>
    </row>
    <row r="278" spans="9:11" x14ac:dyDescent="0.15">
      <c r="I278" s="229" vm="477">
        <f ca="1"/>
        <v>44518</v>
      </c>
      <c r="J278" s="355" vm="478">
        <f ca="1"/>
        <v>135.61000000000001</v>
      </c>
      <c r="K278" s="229">
        <f ca="1"/>
        <v>2357.7539999999999</v>
      </c>
    </row>
    <row r="279" spans="9:11" x14ac:dyDescent="0.15">
      <c r="I279" s="229" vm="479">
        <f ca="1"/>
        <v>44519</v>
      </c>
      <c r="J279" s="355" vm="480">
        <f ca="1"/>
        <v>136.13</v>
      </c>
      <c r="K279" s="229">
        <f ca="1"/>
        <v>1955.6410000000001</v>
      </c>
    </row>
    <row r="280" spans="9:11" x14ac:dyDescent="0.15">
      <c r="I280" s="229" vm="481">
        <f ca="1"/>
        <v>44522</v>
      </c>
      <c r="J280" s="355" vm="482">
        <f ca="1"/>
        <v>138</v>
      </c>
      <c r="K280" s="229">
        <f ca="1"/>
        <v>5417.6090000000004</v>
      </c>
    </row>
    <row r="281" spans="9:11" x14ac:dyDescent="0.15">
      <c r="I281" s="229" vm="483">
        <f ca="1"/>
        <v>44523</v>
      </c>
      <c r="J281" s="355" vm="484">
        <f ca="1"/>
        <v>121.01</v>
      </c>
      <c r="K281" s="229">
        <f ca="1"/>
        <v>15941.013000000001</v>
      </c>
    </row>
    <row r="282" spans="9:11" x14ac:dyDescent="0.15">
      <c r="I282" s="229" vm="485">
        <f ca="1"/>
        <v>44524</v>
      </c>
      <c r="J282" s="355" vm="486">
        <f ca="1"/>
        <v>116.69</v>
      </c>
      <c r="K282" s="229">
        <f ca="1"/>
        <v>5990.0119999999997</v>
      </c>
    </row>
    <row r="283" spans="9:11" x14ac:dyDescent="0.15">
      <c r="I283" s="229" vm="487">
        <f ca="1"/>
        <v>44526</v>
      </c>
      <c r="J283" s="355" vm="488">
        <f ca="1"/>
        <v>114.77</v>
      </c>
      <c r="K283" s="229">
        <f ca="1"/>
        <v>2345.9690000000001</v>
      </c>
    </row>
    <row r="284" spans="9:11" x14ac:dyDescent="0.15">
      <c r="I284" s="229" vm="489">
        <f ca="1"/>
        <v>44529</v>
      </c>
      <c r="J284" s="355" vm="490">
        <f ca="1"/>
        <v>110.95</v>
      </c>
      <c r="K284" s="229">
        <f ca="1"/>
        <v>4595.7280000000001</v>
      </c>
    </row>
    <row r="285" spans="9:11" x14ac:dyDescent="0.15">
      <c r="I285" s="229" vm="491">
        <f ca="1"/>
        <v>44530</v>
      </c>
      <c r="J285" s="355" vm="492">
        <f ca="1"/>
        <v>106.86</v>
      </c>
      <c r="K285" s="229">
        <f ca="1"/>
        <v>5747.8559999999998</v>
      </c>
    </row>
    <row r="286" spans="9:11" x14ac:dyDescent="0.15">
      <c r="I286" s="229" vm="493">
        <f ca="1"/>
        <v>44531</v>
      </c>
      <c r="J286" s="355" vm="494">
        <f ca="1"/>
        <v>102.25</v>
      </c>
      <c r="K286" s="229">
        <f ca="1"/>
        <v>4550.2370000000001</v>
      </c>
    </row>
    <row r="287" spans="9:11" x14ac:dyDescent="0.15">
      <c r="I287" s="229" vm="495">
        <f ca="1"/>
        <v>44532</v>
      </c>
      <c r="J287" s="355" vm="496">
        <f ca="1"/>
        <v>103.92</v>
      </c>
      <c r="K287" s="229">
        <f ca="1"/>
        <v>4235.7560000000003</v>
      </c>
    </row>
    <row r="288" spans="9:11" x14ac:dyDescent="0.15">
      <c r="I288" s="229" vm="497">
        <f ca="1"/>
        <v>44533</v>
      </c>
      <c r="J288" s="355" vm="498">
        <f ca="1"/>
        <v>105.87</v>
      </c>
      <c r="K288" s="229">
        <f ca="1"/>
        <v>4048.7640000000001</v>
      </c>
    </row>
    <row r="289" spans="9:11" x14ac:dyDescent="0.15">
      <c r="I289" s="229" vm="499">
        <f ca="1"/>
        <v>44536</v>
      </c>
      <c r="J289" s="355" vm="500">
        <f ca="1"/>
        <v>104.66</v>
      </c>
      <c r="K289" s="229">
        <f ca="1"/>
        <v>4489.3850000000002</v>
      </c>
    </row>
    <row r="290" spans="9:11" x14ac:dyDescent="0.15">
      <c r="I290" s="229" vm="501">
        <f ca="1"/>
        <v>44537</v>
      </c>
      <c r="J290" s="355" vm="502">
        <f ca="1"/>
        <v>106.68</v>
      </c>
      <c r="K290" s="229">
        <f ca="1"/>
        <v>3097.4679999999998</v>
      </c>
    </row>
    <row r="291" spans="9:11" x14ac:dyDescent="0.15">
      <c r="I291" s="229" vm="503">
        <f ca="1"/>
        <v>44538</v>
      </c>
      <c r="J291" s="355" vm="504">
        <f ca="1"/>
        <v>106.93</v>
      </c>
      <c r="K291" s="229">
        <f ca="1"/>
        <v>2525.59</v>
      </c>
    </row>
    <row r="292" spans="9:11" x14ac:dyDescent="0.15">
      <c r="I292" s="229" vm="505">
        <f ca="1"/>
        <v>44539</v>
      </c>
      <c r="J292" s="355" vm="506">
        <f ca="1"/>
        <v>104.38</v>
      </c>
      <c r="K292" s="229">
        <f ca="1"/>
        <v>2934.1770000000001</v>
      </c>
    </row>
    <row r="293" spans="9:11" x14ac:dyDescent="0.15">
      <c r="I293" s="229" vm="507">
        <f ca="1"/>
        <v>44540</v>
      </c>
      <c r="J293" s="355" vm="508">
        <f ca="1"/>
        <v>103.82</v>
      </c>
      <c r="K293" s="229">
        <f ca="1"/>
        <v>3169.509</v>
      </c>
    </row>
    <row r="294" spans="9:11" x14ac:dyDescent="0.15">
      <c r="I294" s="229" vm="509">
        <f ca="1"/>
        <v>44543</v>
      </c>
      <c r="J294" s="355" vm="510">
        <f ca="1"/>
        <v>100.24</v>
      </c>
      <c r="K294" s="229">
        <f ca="1"/>
        <v>4043.4540000000002</v>
      </c>
    </row>
    <row r="295" spans="9:11" x14ac:dyDescent="0.15">
      <c r="I295" s="229" vm="511">
        <f ca="1"/>
        <v>44544</v>
      </c>
      <c r="J295" s="355" vm="512">
        <f ca="1"/>
        <v>101.37</v>
      </c>
      <c r="K295" s="229">
        <f ca="1"/>
        <v>3924.3620000000001</v>
      </c>
    </row>
    <row r="296" spans="9:11" x14ac:dyDescent="0.15">
      <c r="I296" s="229" vm="513">
        <f ca="1"/>
        <v>44545</v>
      </c>
      <c r="J296" s="355" vm="514">
        <f ca="1"/>
        <v>102.49</v>
      </c>
      <c r="K296" s="229">
        <f ca="1"/>
        <v>3237.9969999999998</v>
      </c>
    </row>
    <row r="297" spans="9:11" x14ac:dyDescent="0.15">
      <c r="I297" s="229" vm="515">
        <f ca="1"/>
        <v>44546</v>
      </c>
      <c r="J297" s="355" vm="516">
        <f ca="1"/>
        <v>100.22</v>
      </c>
      <c r="K297" s="229">
        <f ca="1"/>
        <v>3600.4549999999999</v>
      </c>
    </row>
    <row r="298" spans="9:11" x14ac:dyDescent="0.15">
      <c r="I298" s="229" vm="517">
        <f ca="1"/>
        <v>44547</v>
      </c>
      <c r="J298" s="355" vm="518">
        <f ca="1"/>
        <v>100.03</v>
      </c>
      <c r="K298" s="229">
        <f ca="1"/>
        <v>5112.5479999999998</v>
      </c>
    </row>
    <row r="299" spans="9:11" x14ac:dyDescent="0.15">
      <c r="I299" s="229" vm="519">
        <f ca="1"/>
        <v>44550</v>
      </c>
      <c r="J299" s="355" vm="520">
        <f ca="1"/>
        <v>95.77</v>
      </c>
      <c r="K299" s="229">
        <f ca="1"/>
        <v>4640.1719999999996</v>
      </c>
    </row>
    <row r="300" spans="9:11" x14ac:dyDescent="0.15">
      <c r="I300" s="229" vm="521">
        <f ca="1"/>
        <v>44551</v>
      </c>
      <c r="J300" s="355" vm="522">
        <f ca="1"/>
        <v>97.48</v>
      </c>
      <c r="K300" s="229">
        <f ca="1"/>
        <v>2887.9380000000001</v>
      </c>
    </row>
    <row r="301" spans="9:11" x14ac:dyDescent="0.15">
      <c r="I301" s="229" vm="523">
        <f ca="1"/>
        <v>44552</v>
      </c>
      <c r="J301" s="355" vm="524">
        <f ca="1"/>
        <v>97.37</v>
      </c>
      <c r="K301" s="229">
        <f ca="1"/>
        <v>2331.3980000000001</v>
      </c>
    </row>
    <row r="302" spans="9:11" x14ac:dyDescent="0.15">
      <c r="I302" s="229" vm="525">
        <f ca="1"/>
        <v>44553</v>
      </c>
      <c r="J302" s="355" vm="526">
        <f ca="1"/>
        <v>98.08</v>
      </c>
      <c r="K302" s="229">
        <f ca="1"/>
        <v>2488.2420000000002</v>
      </c>
    </row>
    <row r="303" spans="9:11" x14ac:dyDescent="0.15">
      <c r="I303" s="229" vm="527">
        <f ca="1"/>
        <v>44557</v>
      </c>
      <c r="J303" s="355" vm="528">
        <f ca="1"/>
        <v>99.08</v>
      </c>
      <c r="K303" s="229">
        <f ca="1"/>
        <v>2511.627</v>
      </c>
    </row>
    <row r="304" spans="9:11" x14ac:dyDescent="0.15">
      <c r="I304" s="229" vm="529">
        <f ca="1"/>
        <v>44558</v>
      </c>
      <c r="J304" s="355" vm="530">
        <f ca="1"/>
        <v>99.52</v>
      </c>
      <c r="K304" s="229">
        <f ca="1"/>
        <v>2148.9050000000002</v>
      </c>
    </row>
    <row r="305" spans="9:11" x14ac:dyDescent="0.15">
      <c r="I305" s="229" vm="531">
        <f ca="1"/>
        <v>44559</v>
      </c>
      <c r="J305" s="355" vm="532">
        <f ca="1"/>
        <v>100.86</v>
      </c>
      <c r="K305" s="229">
        <f ca="1"/>
        <v>2599.8710000000001</v>
      </c>
    </row>
    <row r="306" spans="9:11" x14ac:dyDescent="0.15">
      <c r="I306" s="229" vm="533">
        <f ca="1"/>
        <v>44560</v>
      </c>
      <c r="J306" s="355" vm="534">
        <f ca="1"/>
        <v>101.55</v>
      </c>
      <c r="K306" s="229">
        <f ca="1"/>
        <v>2258.3910000000001</v>
      </c>
    </row>
    <row r="307" spans="9:11" x14ac:dyDescent="0.15">
      <c r="I307" s="229" vm="535">
        <f ca="1"/>
        <v>44561</v>
      </c>
      <c r="J307" s="355" vm="536">
        <f ca="1"/>
        <v>101.6</v>
      </c>
      <c r="K307" s="229">
        <f ca="1"/>
        <v>2037.9549999999999</v>
      </c>
    </row>
    <row r="308" spans="9:11" x14ac:dyDescent="0.15">
      <c r="I308" s="229" vm="537">
        <f ca="1"/>
        <v>44564</v>
      </c>
      <c r="J308" s="355" vm="538">
        <f ca="1"/>
        <v>102.12</v>
      </c>
      <c r="K308" s="229">
        <f ca="1"/>
        <v>2829.0039999999999</v>
      </c>
    </row>
    <row r="309" spans="9:11" x14ac:dyDescent="0.15">
      <c r="I309" s="229" vm="539">
        <f ca="1"/>
        <v>44565</v>
      </c>
      <c r="J309" s="355" vm="540">
        <f ca="1"/>
        <v>105.14</v>
      </c>
      <c r="K309" s="229">
        <f ca="1"/>
        <v>4085.5279999999998</v>
      </c>
    </row>
    <row r="310" spans="9:11" x14ac:dyDescent="0.15">
      <c r="I310" s="229" vm="541">
        <f ca="1"/>
        <v>44566</v>
      </c>
      <c r="J310" s="355" vm="542">
        <f ca="1"/>
        <v>103</v>
      </c>
      <c r="K310" s="229">
        <f ca="1"/>
        <v>2818.1909999999998</v>
      </c>
    </row>
    <row r="311" spans="9:11" x14ac:dyDescent="0.15">
      <c r="I311" s="229" vm="543">
        <f ca="1"/>
        <v>44567</v>
      </c>
      <c r="J311" s="355" vm="544">
        <f ca="1"/>
        <v>102.88</v>
      </c>
      <c r="K311" s="229">
        <f ca="1"/>
        <v>3565.5189999999998</v>
      </c>
    </row>
    <row r="312" spans="9:11" x14ac:dyDescent="0.15">
      <c r="I312" s="229" vm="545">
        <f ca="1"/>
        <v>44568</v>
      </c>
      <c r="J312" s="355" vm="546">
        <f ca="1"/>
        <v>102.5</v>
      </c>
      <c r="K312" s="229">
        <f ca="1"/>
        <v>3137.1219999999998</v>
      </c>
    </row>
    <row r="313" spans="9:11" x14ac:dyDescent="0.15">
      <c r="I313" s="229" vm="547">
        <f ca="1"/>
        <v>44571</v>
      </c>
      <c r="J313" s="355" vm="548">
        <f ca="1"/>
        <v>102.75</v>
      </c>
      <c r="K313" s="229">
        <f ca="1"/>
        <v>5354.1279999999997</v>
      </c>
    </row>
    <row r="314" spans="9:11" x14ac:dyDescent="0.15">
      <c r="I314" s="229" vm="549">
        <f ca="1"/>
        <v>44572</v>
      </c>
      <c r="J314" s="355" vm="550">
        <f ca="1"/>
        <v>104.09</v>
      </c>
      <c r="K314" s="229">
        <f ca="1"/>
        <v>2524.5949999999998</v>
      </c>
    </row>
    <row r="315" spans="9:11" x14ac:dyDescent="0.15">
      <c r="I315" s="229" vm="551">
        <f ca="1"/>
        <v>44573</v>
      </c>
      <c r="J315" s="355" vm="552">
        <f ca="1"/>
        <v>102.68</v>
      </c>
      <c r="K315" s="229">
        <f ca="1"/>
        <v>3009.0070000000001</v>
      </c>
    </row>
    <row r="316" spans="9:11" x14ac:dyDescent="0.15">
      <c r="I316" s="229" vm="553">
        <f ca="1"/>
        <v>44574</v>
      </c>
      <c r="J316" s="355" vm="554">
        <f ca="1"/>
        <v>102.6</v>
      </c>
      <c r="K316" s="229">
        <f ca="1"/>
        <v>2298.0610000000001</v>
      </c>
    </row>
    <row r="317" spans="9:11" x14ac:dyDescent="0.15">
      <c r="I317" s="229" vm="555">
        <f ca="1"/>
        <v>44575</v>
      </c>
      <c r="J317" s="355" vm="556">
        <f ca="1"/>
        <v>100.04</v>
      </c>
      <c r="K317" s="229">
        <f ca="1"/>
        <v>3728.107</v>
      </c>
    </row>
    <row r="318" spans="9:11" x14ac:dyDescent="0.15">
      <c r="I318" s="229" vm="557">
        <f ca="1"/>
        <v>44579</v>
      </c>
      <c r="J318" s="355" vm="558">
        <f ca="1"/>
        <v>98.64</v>
      </c>
      <c r="K318" s="229">
        <f ca="1"/>
        <v>3696.1320000000001</v>
      </c>
    </row>
    <row r="319" spans="9:11" x14ac:dyDescent="0.15">
      <c r="I319" s="229" vm="559">
        <f ca="1"/>
        <v>44580</v>
      </c>
      <c r="J319" s="355" vm="560">
        <f ca="1"/>
        <v>99.35</v>
      </c>
      <c r="K319" s="229">
        <f ca="1"/>
        <v>2609.5509999999999</v>
      </c>
    </row>
    <row r="320" spans="9:11" x14ac:dyDescent="0.15">
      <c r="I320" s="229" vm="561">
        <f ca="1"/>
        <v>44581</v>
      </c>
      <c r="J320" s="355" vm="562">
        <f ca="1"/>
        <v>94.9</v>
      </c>
      <c r="K320" s="229">
        <f ca="1"/>
        <v>3846.069</v>
      </c>
    </row>
    <row r="321" spans="9:11" x14ac:dyDescent="0.15">
      <c r="I321" s="229" vm="563">
        <f ca="1"/>
        <v>44582</v>
      </c>
      <c r="J321" s="355" vm="564">
        <f ca="1"/>
        <v>96.45</v>
      </c>
      <c r="K321" s="229">
        <f ca="1"/>
        <v>3406.5340000000001</v>
      </c>
    </row>
    <row r="322" spans="9:11" x14ac:dyDescent="0.15">
      <c r="I322" s="229" vm="565">
        <f ca="1"/>
        <v>44585</v>
      </c>
      <c r="J322" s="355" vm="44">
        <f ca="1"/>
        <v>101.38</v>
      </c>
      <c r="K322" s="229">
        <f ca="1"/>
        <v>5150.3829999999998</v>
      </c>
    </row>
    <row r="323" spans="9:11" x14ac:dyDescent="0.15">
      <c r="I323" s="229" vm="566">
        <f ca="1"/>
        <v>44586</v>
      </c>
      <c r="J323" s="355" vm="567">
        <f ca="1"/>
        <v>98.03</v>
      </c>
      <c r="K323" s="229">
        <f ca="1"/>
        <v>3751.3760000000002</v>
      </c>
    </row>
    <row r="324" spans="9:11" x14ac:dyDescent="0.15">
      <c r="I324" s="229" vm="568">
        <f ca="1"/>
        <v>44587</v>
      </c>
      <c r="J324" s="355" vm="569">
        <f ca="1"/>
        <v>96.92</v>
      </c>
      <c r="K324" s="229">
        <f ca="1"/>
        <v>2787.3519999999999</v>
      </c>
    </row>
    <row r="325" spans="9:11" x14ac:dyDescent="0.15">
      <c r="I325" s="229" vm="570">
        <f ca="1"/>
        <v>44588</v>
      </c>
      <c r="J325" s="355" vm="571">
        <f ca="1"/>
        <v>96.1</v>
      </c>
      <c r="K325" s="229">
        <f ca="1"/>
        <v>2213.6320000000001</v>
      </c>
    </row>
    <row r="326" spans="9:11" x14ac:dyDescent="0.15">
      <c r="I326" s="229" vm="572">
        <f ca="1"/>
        <v>44589</v>
      </c>
      <c r="J326" s="355" vm="573">
        <f ca="1"/>
        <v>97.64</v>
      </c>
      <c r="K326" s="229">
        <f ca="1"/>
        <v>1904.319</v>
      </c>
    </row>
    <row r="327" spans="9:11" x14ac:dyDescent="0.15">
      <c r="I327" s="229" vm="574">
        <f ca="1"/>
        <v>44592</v>
      </c>
      <c r="J327" s="355" vm="575">
        <f ca="1"/>
        <v>99.28</v>
      </c>
      <c r="K327" s="229">
        <f ca="1"/>
        <v>2362.451</v>
      </c>
    </row>
    <row r="328" spans="9:11" x14ac:dyDescent="0.15">
      <c r="I328" s="229" vm="576">
        <f ca="1"/>
        <v>44593</v>
      </c>
      <c r="J328" s="355" vm="577">
        <f ca="1"/>
        <v>100.45</v>
      </c>
      <c r="K328" s="229">
        <f ca="1"/>
        <v>1763.6949999999999</v>
      </c>
    </row>
    <row r="329" spans="9:11" x14ac:dyDescent="0.15">
      <c r="I329" s="229" vm="578">
        <f ca="1"/>
        <v>44594</v>
      </c>
      <c r="J329" s="355" vm="579">
        <f ca="1"/>
        <v>99.05</v>
      </c>
      <c r="K329" s="229">
        <f ca="1"/>
        <v>2408.002</v>
      </c>
    </row>
    <row r="330" spans="9:11" x14ac:dyDescent="0.15">
      <c r="I330" s="229" vm="580">
        <f ca="1"/>
        <v>44595</v>
      </c>
      <c r="J330" s="355" vm="581">
        <f ca="1"/>
        <v>97.1</v>
      </c>
      <c r="K330" s="229">
        <f ca="1"/>
        <v>1878.5540000000001</v>
      </c>
    </row>
    <row r="331" spans="9:11" x14ac:dyDescent="0.15">
      <c r="I331" s="229" vm="582">
        <f ca="1"/>
        <v>44596</v>
      </c>
      <c r="J331" s="355" vm="583">
        <f ca="1"/>
        <v>96.83</v>
      </c>
      <c r="K331" s="229">
        <f ca="1"/>
        <v>2132.92</v>
      </c>
    </row>
    <row r="332" spans="9:11" x14ac:dyDescent="0.15">
      <c r="I332" s="229" vm="584">
        <f ca="1"/>
        <v>44599</v>
      </c>
      <c r="J332" s="355" vm="585">
        <f ca="1"/>
        <v>97.58</v>
      </c>
      <c r="K332" s="229">
        <f ca="1"/>
        <v>1474.02</v>
      </c>
    </row>
    <row r="333" spans="9:11" x14ac:dyDescent="0.15">
      <c r="I333" s="229" vm="586">
        <f ca="1"/>
        <v>44600</v>
      </c>
      <c r="J333" s="355" vm="587">
        <f ca="1"/>
        <v>99.46</v>
      </c>
      <c r="K333" s="229">
        <f ca="1"/>
        <v>1780.9770000000001</v>
      </c>
    </row>
    <row r="334" spans="9:11" x14ac:dyDescent="0.15">
      <c r="I334" s="229" vm="588">
        <f ca="1"/>
        <v>44601</v>
      </c>
      <c r="J334" s="355" vm="589">
        <f ca="1"/>
        <v>102.22</v>
      </c>
      <c r="K334" s="229">
        <f ca="1"/>
        <v>1761.884</v>
      </c>
    </row>
    <row r="335" spans="9:11" x14ac:dyDescent="0.15">
      <c r="I335" s="229" vm="590">
        <f ca="1"/>
        <v>44602</v>
      </c>
      <c r="J335" s="355" vm="591">
        <f ca="1"/>
        <v>100.47</v>
      </c>
      <c r="K335" s="229">
        <f ca="1"/>
        <v>2283.2660000000001</v>
      </c>
    </row>
    <row r="336" spans="9:11" x14ac:dyDescent="0.15">
      <c r="I336" s="229" vm="592">
        <f ca="1"/>
        <v>44603</v>
      </c>
      <c r="J336" s="355" vm="593">
        <f ca="1"/>
        <v>100.57</v>
      </c>
      <c r="K336" s="229">
        <f ca="1"/>
        <v>3466.953</v>
      </c>
    </row>
    <row r="337" spans="9:11" x14ac:dyDescent="0.15">
      <c r="I337" s="229" vm="594">
        <f ca="1"/>
        <v>44606</v>
      </c>
      <c r="J337" s="355" vm="595">
        <f ca="1"/>
        <v>100.64</v>
      </c>
      <c r="K337" s="229">
        <f ca="1"/>
        <v>2315.2869999999998</v>
      </c>
    </row>
    <row r="338" spans="9:11" x14ac:dyDescent="0.15">
      <c r="I338" s="229" vm="596">
        <f ca="1"/>
        <v>44607</v>
      </c>
      <c r="J338" s="355" vm="597">
        <f ca="1"/>
        <v>102.19</v>
      </c>
      <c r="K338" s="229">
        <f ca="1"/>
        <v>1660.134</v>
      </c>
    </row>
    <row r="339" spans="9:11" x14ac:dyDescent="0.15">
      <c r="I339" s="229" vm="598">
        <f ca="1"/>
        <v>44608</v>
      </c>
      <c r="J339" s="355" vm="599">
        <f ca="1"/>
        <v>99.63</v>
      </c>
      <c r="K339" s="229">
        <f ca="1"/>
        <v>2288.9520000000002</v>
      </c>
    </row>
    <row r="340" spans="9:11" x14ac:dyDescent="0.15">
      <c r="I340" s="229" vm="600">
        <f ca="1"/>
        <v>44609</v>
      </c>
      <c r="J340" s="355" vm="601">
        <f ca="1"/>
        <v>98.63</v>
      </c>
      <c r="K340" s="229">
        <f ca="1"/>
        <v>1408.0920000000001</v>
      </c>
    </row>
    <row r="341" spans="9:11" x14ac:dyDescent="0.15">
      <c r="I341" s="229" vm="602">
        <f ca="1"/>
        <v>44610</v>
      </c>
      <c r="J341" s="355" vm="603">
        <f ca="1"/>
        <v>97.71</v>
      </c>
      <c r="K341" s="229">
        <f ca="1"/>
        <v>1853.0920000000001</v>
      </c>
    </row>
    <row r="342" spans="9:11" x14ac:dyDescent="0.15">
      <c r="I342" s="229" vm="604">
        <f ca="1"/>
        <v>44614</v>
      </c>
      <c r="J342" s="355" vm="605">
        <f ca="1"/>
        <v>90.55</v>
      </c>
      <c r="K342" s="229">
        <f ca="1"/>
        <v>5404.71</v>
      </c>
    </row>
    <row r="343" spans="9:11" x14ac:dyDescent="0.15">
      <c r="I343" s="229" vm="606">
        <f ca="1"/>
        <v>44615</v>
      </c>
      <c r="J343" s="355" vm="607">
        <f ca="1"/>
        <v>88.63</v>
      </c>
      <c r="K343" s="229">
        <f ca="1"/>
        <v>3588.9879999999998</v>
      </c>
    </row>
    <row r="344" spans="9:11" x14ac:dyDescent="0.15">
      <c r="I344" s="229" vm="608">
        <f ca="1"/>
        <v>44616</v>
      </c>
      <c r="J344" s="355" vm="609">
        <f ca="1"/>
        <v>91.58</v>
      </c>
      <c r="K344" s="229">
        <f ca="1"/>
        <v>2908.7289999999998</v>
      </c>
    </row>
    <row r="345" spans="9:11" x14ac:dyDescent="0.15">
      <c r="I345" s="229" vm="610">
        <f ca="1"/>
        <v>44617</v>
      </c>
      <c r="J345" s="355" vm="611">
        <f ca="1"/>
        <v>95.83</v>
      </c>
      <c r="K345" s="229">
        <f ca="1"/>
        <v>2929.3850000000002</v>
      </c>
    </row>
    <row r="346" spans="9:11" x14ac:dyDescent="0.15">
      <c r="I346" s="229" vm="612">
        <f ca="1"/>
        <v>44620</v>
      </c>
      <c r="J346" s="355" vm="613">
        <f ca="1"/>
        <v>96.64</v>
      </c>
      <c r="K346" s="229">
        <f ca="1"/>
        <v>3390.5549999999998</v>
      </c>
    </row>
    <row r="347" spans="9:11" x14ac:dyDescent="0.15">
      <c r="I347" s="229" vm="614">
        <f ca="1"/>
        <v>44621</v>
      </c>
      <c r="J347" s="355" vm="615">
        <f ca="1"/>
        <v>97.18</v>
      </c>
      <c r="K347" s="229">
        <f ca="1"/>
        <v>2629.0929999999998</v>
      </c>
    </row>
    <row r="348" spans="9:11" x14ac:dyDescent="0.15">
      <c r="I348" s="229" vm="616">
        <f ca="1"/>
        <v>44622</v>
      </c>
      <c r="J348" s="355" vm="617">
        <f ca="1"/>
        <v>100.84</v>
      </c>
      <c r="K348" s="229">
        <f ca="1"/>
        <v>6182.6760000000004</v>
      </c>
    </row>
    <row r="349" spans="9:11" x14ac:dyDescent="0.15">
      <c r="I349" s="229" vm="618">
        <f ca="1"/>
        <v>44623</v>
      </c>
      <c r="J349" s="355" vm="619">
        <f ca="1"/>
        <v>110.14</v>
      </c>
      <c r="K349" s="229">
        <f ca="1"/>
        <v>18352.706999999999</v>
      </c>
    </row>
    <row r="350" spans="9:11" x14ac:dyDescent="0.15">
      <c r="I350" s="229" vm="620">
        <f ca="1"/>
        <v>44624</v>
      </c>
      <c r="J350" s="355" vm="621">
        <f ca="1"/>
        <v>106.1</v>
      </c>
      <c r="K350" s="229">
        <f ca="1"/>
        <v>7700.7089999999998</v>
      </c>
    </row>
    <row r="351" spans="9:11" x14ac:dyDescent="0.15">
      <c r="I351" s="229" vm="622">
        <f ca="1"/>
        <v>44627</v>
      </c>
      <c r="J351" s="355" vm="623">
        <f ca="1"/>
        <v>104.71</v>
      </c>
      <c r="K351" s="229">
        <f ca="1"/>
        <v>4679.5349999999999</v>
      </c>
    </row>
    <row r="352" spans="9:11" x14ac:dyDescent="0.15">
      <c r="I352" s="229" vm="624">
        <f ca="1"/>
        <v>44628</v>
      </c>
      <c r="J352" s="355" vm="625">
        <f ca="1"/>
        <v>101.13</v>
      </c>
      <c r="K352" s="229">
        <f ca="1"/>
        <v>3764.319</v>
      </c>
    </row>
    <row r="353" spans="9:11" x14ac:dyDescent="0.15">
      <c r="I353" s="229" vm="626">
        <f ca="1"/>
        <v>44629</v>
      </c>
      <c r="J353" s="355" vm="627">
        <f ca="1"/>
        <v>101.74</v>
      </c>
      <c r="K353" s="229">
        <f ca="1"/>
        <v>2980.681</v>
      </c>
    </row>
    <row r="354" spans="9:11" x14ac:dyDescent="0.15">
      <c r="I354" s="229" vm="628">
        <f ca="1"/>
        <v>44630</v>
      </c>
      <c r="J354" s="355" vm="629">
        <f ca="1"/>
        <v>98.66</v>
      </c>
      <c r="K354" s="229">
        <f ca="1"/>
        <v>2966.5830000000001</v>
      </c>
    </row>
    <row r="355" spans="9:11" x14ac:dyDescent="0.15">
      <c r="I355" s="229" vm="630">
        <f ca="1"/>
        <v>44631</v>
      </c>
      <c r="J355" s="355" vm="631">
        <f ca="1"/>
        <v>94.59</v>
      </c>
      <c r="K355" s="229">
        <f ca="1"/>
        <v>3159.0639999999999</v>
      </c>
    </row>
    <row r="356" spans="9:11" x14ac:dyDescent="0.15">
      <c r="I356" s="229" vm="632">
        <f ca="1"/>
        <v>44634</v>
      </c>
      <c r="J356" s="355" vm="633">
        <f ca="1"/>
        <v>94.64</v>
      </c>
      <c r="K356" s="229">
        <f ca="1"/>
        <v>2350.4119999999998</v>
      </c>
    </row>
    <row r="357" spans="9:11" x14ac:dyDescent="0.15">
      <c r="I357" s="229" vm="634">
        <f ca="1"/>
        <v>44635</v>
      </c>
      <c r="J357" s="355" vm="635">
        <f ca="1"/>
        <v>99.06</v>
      </c>
      <c r="K357" s="229">
        <f ca="1"/>
        <v>2971.4830000000002</v>
      </c>
    </row>
    <row r="358" spans="9:11" x14ac:dyDescent="0.15">
      <c r="I358" s="229" vm="636">
        <f ca="1"/>
        <v>44636</v>
      </c>
      <c r="J358" s="355" vm="637">
        <f ca="1"/>
        <v>98.84</v>
      </c>
      <c r="K358" s="229">
        <f ca="1"/>
        <v>2438.7109999999998</v>
      </c>
    </row>
    <row r="359" spans="9:11" x14ac:dyDescent="0.15">
      <c r="I359" s="229" vm="638">
        <f ca="1"/>
        <v>44637</v>
      </c>
      <c r="J359" s="355" vm="639">
        <f ca="1"/>
        <v>99.29</v>
      </c>
      <c r="K359" s="229">
        <f ca="1"/>
        <v>1990.575</v>
      </c>
    </row>
    <row r="360" spans="9:11" x14ac:dyDescent="0.15">
      <c r="I360" s="229" vm="640">
        <f ca="1"/>
        <v>44638</v>
      </c>
      <c r="J360" s="355" vm="641">
        <f ca="1"/>
        <v>101.84</v>
      </c>
      <c r="K360" s="229">
        <f ca="1"/>
        <v>4606.2420000000002</v>
      </c>
    </row>
    <row r="361" spans="9:11" x14ac:dyDescent="0.15">
      <c r="I361" s="229" vm="642">
        <f ca="1"/>
        <v>44641</v>
      </c>
      <c r="J361" s="355" vm="643">
        <f ca="1"/>
        <v>99.04</v>
      </c>
      <c r="K361" s="229">
        <f ca="1"/>
        <v>2393.3739999999998</v>
      </c>
    </row>
    <row r="362" spans="9:11" x14ac:dyDescent="0.15">
      <c r="I362" s="229" vm="644">
        <f ca="1"/>
        <v>44642</v>
      </c>
      <c r="J362" s="355" vm="645">
        <f ca="1"/>
        <v>99.3</v>
      </c>
      <c r="K362" s="229">
        <f ca="1"/>
        <v>2957.0369999999998</v>
      </c>
    </row>
    <row r="363" spans="9:11" x14ac:dyDescent="0.15">
      <c r="I363" s="229" vm="646">
        <f ca="1"/>
        <v>44643</v>
      </c>
      <c r="J363" s="355" vm="647">
        <f ca="1"/>
        <v>96.59</v>
      </c>
      <c r="K363" s="229">
        <f ca="1"/>
        <v>1747.576</v>
      </c>
    </row>
    <row r="364" spans="9:11" x14ac:dyDescent="0.15">
      <c r="I364" s="229" vm="648">
        <f ca="1"/>
        <v>44644</v>
      </c>
      <c r="J364" s="355" vm="649">
        <f ca="1"/>
        <v>96.71</v>
      </c>
      <c r="K364" s="229">
        <f ca="1"/>
        <v>1849.0650000000001</v>
      </c>
    </row>
    <row r="365" spans="9:11" x14ac:dyDescent="0.15">
      <c r="I365" s="229" vm="650">
        <f ca="1"/>
        <v>44645</v>
      </c>
      <c r="J365" s="355" vm="651">
        <f ca="1"/>
        <v>96.3</v>
      </c>
      <c r="K365" s="229">
        <f ca="1"/>
        <v>1679.729</v>
      </c>
    </row>
    <row r="366" spans="9:11" x14ac:dyDescent="0.15">
      <c r="I366" s="229" vm="652">
        <f ca="1"/>
        <v>44648</v>
      </c>
      <c r="J366" s="355" vm="653">
        <f ca="1"/>
        <v>96.73</v>
      </c>
      <c r="K366" s="229">
        <f ca="1"/>
        <v>2027.0840000000001</v>
      </c>
    </row>
    <row r="367" spans="9:11" x14ac:dyDescent="0.15">
      <c r="I367" s="229" vm="654">
        <f ca="1"/>
        <v>44649</v>
      </c>
      <c r="J367" s="355" vm="655">
        <f ca="1"/>
        <v>100.75</v>
      </c>
      <c r="K367" s="229">
        <f ca="1"/>
        <v>2565.442</v>
      </c>
    </row>
    <row r="368" spans="9:11" x14ac:dyDescent="0.15">
      <c r="I368" s="229" vm="656">
        <f ca="1"/>
        <v>44650</v>
      </c>
      <c r="J368" s="355" vm="657">
        <f ca="1"/>
        <v>96.43</v>
      </c>
      <c r="K368" s="229">
        <f ca="1"/>
        <v>2160.9180000000001</v>
      </c>
    </row>
    <row r="369" spans="9:11" x14ac:dyDescent="0.15">
      <c r="I369" s="229" vm="658">
        <f ca="1"/>
        <v>44651</v>
      </c>
      <c r="J369" s="355" vm="659">
        <f ca="1"/>
        <v>90.9</v>
      </c>
      <c r="K369" s="229">
        <f ca="1"/>
        <v>5580.8389999999999</v>
      </c>
    </row>
    <row r="370" spans="9:11" x14ac:dyDescent="0.15">
      <c r="I370" s="229" vm="660">
        <f ca="1"/>
        <v>44652</v>
      </c>
      <c r="J370" s="355" vm="661">
        <f ca="1"/>
        <v>90.38</v>
      </c>
      <c r="K370" s="229">
        <f ca="1"/>
        <v>2939.654</v>
      </c>
    </row>
    <row r="371" spans="9:11" x14ac:dyDescent="0.15">
      <c r="I371" s="229" vm="662">
        <f ca="1"/>
        <v>44655</v>
      </c>
      <c r="J371" s="355" vm="663">
        <f ca="1"/>
        <v>94.34</v>
      </c>
      <c r="K371" s="229">
        <f ca="1"/>
        <v>2633.7289999999998</v>
      </c>
    </row>
    <row r="372" spans="9:11" x14ac:dyDescent="0.15">
      <c r="I372" s="229" vm="664">
        <f ca="1"/>
        <v>44656</v>
      </c>
      <c r="J372" s="355" vm="665">
        <f ca="1"/>
        <v>92.52</v>
      </c>
      <c r="K372" s="229">
        <f ca="1"/>
        <v>2381.6669999999999</v>
      </c>
    </row>
    <row r="373" spans="9:11" x14ac:dyDescent="0.15">
      <c r="I373" s="229" vm="666">
        <f ca="1"/>
        <v>44657</v>
      </c>
      <c r="J373" s="355" vm="667">
        <f ca="1"/>
        <v>91.06</v>
      </c>
      <c r="K373" s="229">
        <f ca="1"/>
        <v>2647.8040000000001</v>
      </c>
    </row>
    <row r="374" spans="9:11" x14ac:dyDescent="0.15">
      <c r="I374" s="229" vm="668">
        <f ca="1"/>
        <v>44658</v>
      </c>
      <c r="J374" s="355" vm="669">
        <f ca="1"/>
        <v>92.07</v>
      </c>
      <c r="K374" s="229">
        <f ca="1"/>
        <v>2398.0940000000001</v>
      </c>
    </row>
    <row r="375" spans="9:11" x14ac:dyDescent="0.15">
      <c r="I375" s="229" vm="670">
        <f ca="1"/>
        <v>44659</v>
      </c>
      <c r="J375" s="355" vm="671">
        <f ca="1"/>
        <v>93.36</v>
      </c>
      <c r="K375" s="229">
        <f ca="1"/>
        <v>3967.2730000000001</v>
      </c>
    </row>
    <row r="376" spans="9:11" x14ac:dyDescent="0.15">
      <c r="I376" s="229" vm="672">
        <f ca="1"/>
        <v>44662</v>
      </c>
      <c r="J376" s="355" vm="673">
        <f ca="1"/>
        <v>94.16</v>
      </c>
      <c r="K376" s="229">
        <f ca="1"/>
        <v>1988.14</v>
      </c>
    </row>
    <row r="377" spans="9:11" x14ac:dyDescent="0.15">
      <c r="I377" s="229" vm="674">
        <f ca="1"/>
        <v>44663</v>
      </c>
      <c r="J377" s="355" vm="675">
        <f ca="1"/>
        <v>93.23</v>
      </c>
      <c r="K377" s="229">
        <f ca="1"/>
        <v>3146.7779999999998</v>
      </c>
    </row>
    <row r="378" spans="9:11" x14ac:dyDescent="0.15">
      <c r="I378" s="229" vm="676">
        <f ca="1"/>
        <v>44664</v>
      </c>
      <c r="J378" s="355" vm="677">
        <f ca="1"/>
        <v>95.23</v>
      </c>
      <c r="K378" s="229">
        <f ca="1"/>
        <v>1874.1990000000001</v>
      </c>
    </row>
    <row r="379" spans="9:11" x14ac:dyDescent="0.15">
      <c r="I379" s="229" vm="678">
        <f ca="1"/>
        <v>44665</v>
      </c>
      <c r="J379" s="355" vm="679">
        <f ca="1"/>
        <v>93.84</v>
      </c>
      <c r="K379" s="229">
        <f ca="1"/>
        <v>2019.5519999999999</v>
      </c>
    </row>
    <row r="380" spans="9:11" x14ac:dyDescent="0.15">
      <c r="I380" s="229" vm="680">
        <f ca="1"/>
        <v>44669</v>
      </c>
      <c r="J380" s="355" vm="681">
        <f ca="1"/>
        <v>93.48</v>
      </c>
      <c r="K380" s="229">
        <f ca="1"/>
        <v>1628.04</v>
      </c>
    </row>
    <row r="381" spans="9:11" x14ac:dyDescent="0.15">
      <c r="I381" s="229" vm="682">
        <f ca="1"/>
        <v>44670</v>
      </c>
      <c r="J381" s="355" vm="683">
        <f ca="1"/>
        <v>95.57</v>
      </c>
      <c r="K381" s="229">
        <f ca="1"/>
        <v>1809.3520000000001</v>
      </c>
    </row>
    <row r="382" spans="9:11" x14ac:dyDescent="0.15">
      <c r="I382" s="229" vm="684">
        <f ca="1"/>
        <v>44671</v>
      </c>
      <c r="J382" s="355" vm="685">
        <f ca="1"/>
        <v>94.4</v>
      </c>
      <c r="K382" s="229">
        <f ca="1"/>
        <v>1340.2840000000001</v>
      </c>
    </row>
    <row r="383" spans="9:11" x14ac:dyDescent="0.15">
      <c r="I383" s="229" vm="686">
        <f ca="1"/>
        <v>44672</v>
      </c>
      <c r="J383" s="355" vm="687">
        <f ca="1"/>
        <v>93.64</v>
      </c>
      <c r="K383" s="229">
        <f ca="1"/>
        <v>1643.123</v>
      </c>
    </row>
    <row r="384" spans="9:11" x14ac:dyDescent="0.15">
      <c r="I384" s="229" vm="688">
        <f ca="1"/>
        <v>44673</v>
      </c>
      <c r="J384" s="355" vm="689">
        <f ca="1"/>
        <v>91.28</v>
      </c>
      <c r="K384" s="229">
        <f ca="1"/>
        <v>1956.037</v>
      </c>
    </row>
    <row r="385" spans="9:11" x14ac:dyDescent="0.15">
      <c r="I385" s="229" vm="690">
        <f ca="1"/>
        <v>44676</v>
      </c>
      <c r="J385" s="355" vm="691">
        <f ca="1"/>
        <v>93.07</v>
      </c>
      <c r="K385" s="229">
        <f ca="1"/>
        <v>1648.7260000000001</v>
      </c>
    </row>
    <row r="386" spans="9:11" x14ac:dyDescent="0.15">
      <c r="I386" s="229" vm="692">
        <f ca="1"/>
        <v>44677</v>
      </c>
      <c r="J386" s="355" vm="693">
        <f ca="1"/>
        <v>92.83</v>
      </c>
      <c r="K386" s="229">
        <f ca="1"/>
        <v>2719.3409999999999</v>
      </c>
    </row>
    <row r="387" spans="9:11" x14ac:dyDescent="0.15">
      <c r="I387" s="229" vm="694">
        <f ca="1"/>
        <v>44678</v>
      </c>
      <c r="J387" s="355" vm="695">
        <f ca="1"/>
        <v>93.03</v>
      </c>
      <c r="K387" s="229">
        <f ca="1"/>
        <v>2296.1489999999999</v>
      </c>
    </row>
    <row r="388" spans="9:11" x14ac:dyDescent="0.15">
      <c r="I388" s="229" vm="696">
        <f ca="1"/>
        <v>44679</v>
      </c>
      <c r="J388" s="355" vm="697">
        <f ca="1"/>
        <v>93.58</v>
      </c>
      <c r="K388" s="229">
        <f ca="1"/>
        <v>1442.0719999999999</v>
      </c>
    </row>
    <row r="389" spans="9:11" x14ac:dyDescent="0.15">
      <c r="I389" s="229" vm="698">
        <f ca="1"/>
        <v>44680</v>
      </c>
      <c r="J389" s="355" vm="699">
        <f ca="1"/>
        <v>89.93</v>
      </c>
      <c r="K389" s="229">
        <f ca="1"/>
        <v>2125.96</v>
      </c>
    </row>
    <row r="390" spans="9:11" x14ac:dyDescent="0.15">
      <c r="I390" s="229" vm="700">
        <f ca="1"/>
        <v>44683</v>
      </c>
      <c r="J390" s="355" vm="701">
        <f ca="1"/>
        <v>93.81</v>
      </c>
      <c r="K390" s="229">
        <f ca="1"/>
        <v>2066.7939999999999</v>
      </c>
    </row>
    <row r="391" spans="9:11" x14ac:dyDescent="0.15">
      <c r="I391" s="229" vm="702">
        <f ca="1"/>
        <v>44684</v>
      </c>
      <c r="J391" s="355" vm="703">
        <f ca="1"/>
        <v>94.65</v>
      </c>
      <c r="K391" s="229">
        <f ca="1"/>
        <v>2029.453</v>
      </c>
    </row>
    <row r="392" spans="9:11" x14ac:dyDescent="0.15">
      <c r="I392" s="229" vm="704">
        <f ca="1"/>
        <v>44685</v>
      </c>
      <c r="J392" s="355" vm="705">
        <f ca="1"/>
        <v>97.79</v>
      </c>
      <c r="K392" s="229">
        <f ca="1"/>
        <v>2336.431</v>
      </c>
    </row>
    <row r="393" spans="9:11" x14ac:dyDescent="0.15">
      <c r="I393" s="229" vm="706">
        <f ca="1"/>
        <v>44686</v>
      </c>
      <c r="J393" s="355" vm="707">
        <f ca="1"/>
        <v>92.21</v>
      </c>
      <c r="K393" s="229">
        <f ca="1"/>
        <v>2258.8150000000001</v>
      </c>
    </row>
    <row r="394" spans="9:11" x14ac:dyDescent="0.15">
      <c r="I394" s="229" vm="708">
        <f ca="1"/>
        <v>44687</v>
      </c>
      <c r="J394" s="355" vm="709">
        <f ca="1"/>
        <v>91.41</v>
      </c>
      <c r="K394" s="229">
        <f ca="1"/>
        <v>1977.0050000000001</v>
      </c>
    </row>
    <row r="395" spans="9:11" x14ac:dyDescent="0.15">
      <c r="I395" s="229" vm="710">
        <f ca="1"/>
        <v>44690</v>
      </c>
      <c r="J395" s="355" vm="711">
        <f ca="1"/>
        <v>91.08</v>
      </c>
      <c r="K395" s="229">
        <f ca="1"/>
        <v>2681.5439999999999</v>
      </c>
    </row>
    <row r="396" spans="9:11" x14ac:dyDescent="0.15">
      <c r="I396" s="229" vm="712">
        <f ca="1"/>
        <v>44691</v>
      </c>
      <c r="J396" s="355" vm="713">
        <f ca="1"/>
        <v>88.74</v>
      </c>
      <c r="K396" s="229">
        <f ca="1"/>
        <v>2847.614</v>
      </c>
    </row>
    <row r="397" spans="9:11" x14ac:dyDescent="0.15">
      <c r="I397" s="229" vm="714">
        <f ca="1"/>
        <v>44692</v>
      </c>
      <c r="J397" s="355" vm="715">
        <f ca="1"/>
        <v>83.79</v>
      </c>
      <c r="K397" s="229">
        <f ca="1"/>
        <v>3045.4050000000002</v>
      </c>
    </row>
    <row r="398" spans="9:11" x14ac:dyDescent="0.15">
      <c r="I398" s="229" vm="716">
        <f ca="1"/>
        <v>44693</v>
      </c>
      <c r="J398" s="355" vm="717">
        <f ca="1"/>
        <v>87.36</v>
      </c>
      <c r="K398" s="229">
        <f ca="1"/>
        <v>3235.7510000000002</v>
      </c>
    </row>
    <row r="399" spans="9:11" x14ac:dyDescent="0.15">
      <c r="I399" s="229" vm="718">
        <f ca="1"/>
        <v>44694</v>
      </c>
      <c r="J399" s="355" vm="719">
        <f ca="1"/>
        <v>86.36</v>
      </c>
      <c r="K399" s="229">
        <f ca="1"/>
        <v>3076.335</v>
      </c>
    </row>
    <row r="400" spans="9:11" x14ac:dyDescent="0.15">
      <c r="I400" s="229" vm="720">
        <f ca="1"/>
        <v>44697</v>
      </c>
      <c r="J400" s="355" vm="721">
        <f ca="1"/>
        <v>84.77</v>
      </c>
      <c r="K400" s="229">
        <f ca="1"/>
        <v>3024.6210000000001</v>
      </c>
    </row>
    <row r="401" spans="9:11" x14ac:dyDescent="0.15">
      <c r="I401" s="229" vm="722">
        <f ca="1"/>
        <v>44698</v>
      </c>
      <c r="J401" s="355" vm="723">
        <f ca="1"/>
        <v>84.5</v>
      </c>
      <c r="K401" s="229">
        <f ca="1"/>
        <v>4333.07</v>
      </c>
    </row>
    <row r="402" spans="9:11" x14ac:dyDescent="0.15">
      <c r="I402" s="229" vm="724">
        <f ca="1"/>
        <v>44699</v>
      </c>
      <c r="J402" s="355" vm="725">
        <f ca="1"/>
        <v>75.62</v>
      </c>
      <c r="K402" s="229">
        <f ca="1"/>
        <v>9388.9760000000006</v>
      </c>
    </row>
    <row r="403" spans="9:11" x14ac:dyDescent="0.15">
      <c r="I403" s="229" vm="726">
        <f ca="1"/>
        <v>44700</v>
      </c>
      <c r="J403" s="355" vm="727">
        <f ca="1"/>
        <v>73.319999999999993</v>
      </c>
      <c r="K403" s="229">
        <f ca="1"/>
        <v>5333.31</v>
      </c>
    </row>
    <row r="404" spans="9:11" x14ac:dyDescent="0.15">
      <c r="I404" s="229" vm="728">
        <f ca="1"/>
        <v>44701</v>
      </c>
      <c r="J404" s="355" vm="729">
        <f ca="1"/>
        <v>72.36</v>
      </c>
      <c r="K404" s="229">
        <f ca="1"/>
        <v>4858.6059999999998</v>
      </c>
    </row>
    <row r="405" spans="9:11" x14ac:dyDescent="0.15">
      <c r="I405" s="229" vm="730">
        <f ca="1"/>
        <v>44704</v>
      </c>
      <c r="J405" s="355" vm="731">
        <f ca="1"/>
        <v>72.59</v>
      </c>
      <c r="K405" s="229">
        <f ca="1"/>
        <v>7655.0309999999999</v>
      </c>
    </row>
    <row r="406" spans="9:11" x14ac:dyDescent="0.15">
      <c r="I406" s="229" vm="732">
        <f ca="1"/>
        <v>44705</v>
      </c>
      <c r="J406" s="355" vm="733">
        <f ca="1"/>
        <v>73.47</v>
      </c>
      <c r="K406" s="229">
        <f ca="1"/>
        <v>14827.775</v>
      </c>
    </row>
    <row r="407" spans="9:11" x14ac:dyDescent="0.15">
      <c r="I407" s="229" vm="734">
        <f ca="1"/>
        <v>44706</v>
      </c>
      <c r="J407" s="355" vm="735">
        <f ca="1"/>
        <v>80.06</v>
      </c>
      <c r="K407" s="229">
        <f ca="1"/>
        <v>10136.608</v>
      </c>
    </row>
    <row r="408" spans="9:11" x14ac:dyDescent="0.15">
      <c r="I408" s="229" vm="736">
        <f ca="1"/>
        <v>44707</v>
      </c>
      <c r="J408" s="355" vm="737">
        <f ca="1"/>
        <v>82.05</v>
      </c>
      <c r="K408" s="229">
        <f ca="1"/>
        <v>4552.3</v>
      </c>
    </row>
    <row r="409" spans="9:11" x14ac:dyDescent="0.15">
      <c r="I409" s="229" vm="738">
        <f ca="1"/>
        <v>44708</v>
      </c>
      <c r="J409" s="355" vm="739">
        <f ca="1"/>
        <v>83.99</v>
      </c>
      <c r="K409" s="229">
        <f ca="1"/>
        <v>3316.7159999999999</v>
      </c>
    </row>
    <row r="410" spans="9:11" x14ac:dyDescent="0.15">
      <c r="I410" s="229" vm="740">
        <f ca="1"/>
        <v>44712</v>
      </c>
      <c r="J410" s="355" vm="741">
        <f ca="1"/>
        <v>82.06</v>
      </c>
      <c r="K410" s="229">
        <f ca="1"/>
        <v>4922.9629999999997</v>
      </c>
    </row>
    <row r="411" spans="9:11" x14ac:dyDescent="0.15">
      <c r="I411" s="229" vm="742">
        <f ca="1"/>
        <v>44713</v>
      </c>
      <c r="J411" s="355" vm="743">
        <f ca="1"/>
        <v>80.08</v>
      </c>
      <c r="K411" s="229">
        <f ca="1"/>
        <v>3363.7869999999998</v>
      </c>
    </row>
    <row r="412" spans="9:11" x14ac:dyDescent="0.15">
      <c r="I412" s="229" vm="744">
        <f ca="1"/>
        <v>44714</v>
      </c>
      <c r="J412" s="355" vm="745">
        <f ca="1"/>
        <v>81.260000000000005</v>
      </c>
      <c r="K412" s="229">
        <f ca="1"/>
        <v>2228.3539999999998</v>
      </c>
    </row>
    <row r="413" spans="9:11" x14ac:dyDescent="0.15">
      <c r="I413" s="229" vm="746">
        <f ca="1"/>
        <v>44715</v>
      </c>
      <c r="J413" s="355" vm="747">
        <f ca="1"/>
        <v>80.39</v>
      </c>
      <c r="K413" s="229">
        <f ca="1"/>
        <v>2295.953</v>
      </c>
    </row>
    <row r="414" spans="9:11" x14ac:dyDescent="0.15">
      <c r="I414" s="229" vm="748">
        <f ca="1"/>
        <v>44718</v>
      </c>
      <c r="J414" s="355" vm="749">
        <f ca="1"/>
        <v>79.27</v>
      </c>
      <c r="K414" s="229">
        <f ca="1"/>
        <v>2568.5880000000002</v>
      </c>
    </row>
    <row r="415" spans="9:11" x14ac:dyDescent="0.15">
      <c r="I415" s="229" vm="750">
        <f ca="1"/>
        <v>44719</v>
      </c>
      <c r="J415" s="355" vm="751">
        <f ca="1"/>
        <v>78.349999999999994</v>
      </c>
      <c r="K415" s="229">
        <f ca="1"/>
        <v>3447.085</v>
      </c>
    </row>
    <row r="416" spans="9:11" x14ac:dyDescent="0.15">
      <c r="I416" s="229" vm="752">
        <f ca="1"/>
        <v>44720</v>
      </c>
      <c r="J416" s="355" vm="753">
        <f ca="1"/>
        <v>77.12</v>
      </c>
      <c r="K416" s="229">
        <f ca="1"/>
        <v>2775.4360000000001</v>
      </c>
    </row>
    <row r="417" spans="9:11" x14ac:dyDescent="0.15">
      <c r="I417" s="229" vm="754">
        <f ca="1"/>
        <v>44721</v>
      </c>
      <c r="J417" s="355" vm="755">
        <f ca="1"/>
        <v>74.930000000000007</v>
      </c>
      <c r="K417" s="229">
        <f ca="1"/>
        <v>3138.75</v>
      </c>
    </row>
    <row r="418" spans="9:11" x14ac:dyDescent="0.15">
      <c r="I418" s="229" vm="756">
        <f ca="1"/>
        <v>44722</v>
      </c>
      <c r="J418" s="355" vm="757">
        <f ca="1"/>
        <v>72.599999999999994</v>
      </c>
      <c r="K418" s="229">
        <f ca="1"/>
        <v>3738.8649999999998</v>
      </c>
    </row>
    <row r="419" spans="9:11" x14ac:dyDescent="0.15">
      <c r="I419" s="229" vm="758">
        <f ca="1"/>
        <v>44725</v>
      </c>
      <c r="J419" s="355" vm="759">
        <f ca="1"/>
        <v>69.45</v>
      </c>
      <c r="K419" s="229">
        <f ca="1"/>
        <v>4405.2160000000003</v>
      </c>
    </row>
    <row r="420" spans="9:11" x14ac:dyDescent="0.15">
      <c r="I420" s="229" vm="760">
        <f ca="1"/>
        <v>44726</v>
      </c>
      <c r="J420" s="355" vm="761">
        <f ca="1"/>
        <v>70.59</v>
      </c>
      <c r="K420" s="229">
        <f ca="1"/>
        <v>4571.6459999999997</v>
      </c>
    </row>
    <row r="421" spans="9:11" x14ac:dyDescent="0.15">
      <c r="I421" s="229" vm="762">
        <f ca="1"/>
        <v>44727</v>
      </c>
      <c r="J421" s="355" vm="763">
        <f ca="1"/>
        <v>71.760000000000005</v>
      </c>
      <c r="K421" s="229">
        <f ca="1"/>
        <v>3347.7570000000001</v>
      </c>
    </row>
    <row r="422" spans="9:11" x14ac:dyDescent="0.15">
      <c r="I422" s="229" vm="764">
        <f ca="1"/>
        <v>44728</v>
      </c>
      <c r="J422" s="355" vm="765">
        <f ca="1"/>
        <v>68.48</v>
      </c>
      <c r="K422" s="229">
        <f ca="1"/>
        <v>3848.81</v>
      </c>
    </row>
    <row r="423" spans="9:11" x14ac:dyDescent="0.15">
      <c r="I423" s="229" vm="766">
        <f ca="1"/>
        <v>44729</v>
      </c>
      <c r="J423" s="355" vm="767">
        <f ca="1"/>
        <v>70.510000000000005</v>
      </c>
      <c r="K423" s="229">
        <f ca="1"/>
        <v>8384.7189999999991</v>
      </c>
    </row>
    <row r="424" spans="9:11" x14ac:dyDescent="0.15">
      <c r="I424" s="229" vm="768">
        <f ca="1"/>
        <v>44733</v>
      </c>
      <c r="J424" s="355" vm="769">
        <f ca="1"/>
        <v>70.47</v>
      </c>
      <c r="K424" s="229">
        <f ca="1"/>
        <v>3271.6289999999999</v>
      </c>
    </row>
    <row r="425" spans="9:11" x14ac:dyDescent="0.15">
      <c r="I425" s="229" vm="770">
        <f ca="1"/>
        <v>44734</v>
      </c>
      <c r="J425" s="355" vm="771">
        <f ca="1"/>
        <v>69.88</v>
      </c>
      <c r="K425" s="229">
        <f ca="1"/>
        <v>2729.181</v>
      </c>
    </row>
    <row r="426" spans="9:11" x14ac:dyDescent="0.15">
      <c r="I426" s="229" vm="772">
        <f ca="1"/>
        <v>44735</v>
      </c>
      <c r="J426" s="355" vm="773">
        <f ca="1"/>
        <v>71.290000000000006</v>
      </c>
      <c r="K426" s="229">
        <f ca="1"/>
        <v>2421.9430000000002</v>
      </c>
    </row>
    <row r="427" spans="9:11" x14ac:dyDescent="0.15">
      <c r="I427" s="229" vm="774">
        <f ca="1"/>
        <v>44736</v>
      </c>
      <c r="J427" s="355" vm="775">
        <f ca="1"/>
        <v>74.69</v>
      </c>
      <c r="K427" s="229">
        <f ca="1"/>
        <v>5060.8779999999997</v>
      </c>
    </row>
    <row r="428" spans="9:11" x14ac:dyDescent="0.15">
      <c r="I428" s="229" vm="776">
        <f ca="1"/>
        <v>44739</v>
      </c>
      <c r="J428" s="355" vm="777">
        <f ca="1"/>
        <v>72.14</v>
      </c>
      <c r="K428" s="229">
        <f ca="1"/>
        <v>2562.4270000000001</v>
      </c>
    </row>
    <row r="429" spans="9:11" x14ac:dyDescent="0.15">
      <c r="I429" s="229" vm="778">
        <f ca="1"/>
        <v>44740</v>
      </c>
      <c r="J429" s="355" vm="779">
        <f ca="1"/>
        <v>68.849999999999994</v>
      </c>
      <c r="K429" s="229">
        <f ca="1"/>
        <v>2591.6329999999998</v>
      </c>
    </row>
    <row r="430" spans="9:11" x14ac:dyDescent="0.15">
      <c r="I430" s="229" vm="780">
        <f ca="1"/>
        <v>44741</v>
      </c>
      <c r="J430" s="355" vm="781">
        <f ca="1"/>
        <v>67.150000000000006</v>
      </c>
      <c r="K430" s="229">
        <f ca="1"/>
        <v>3337.1930000000002</v>
      </c>
    </row>
    <row r="431" spans="9:11" x14ac:dyDescent="0.15">
      <c r="I431" s="229" vm="782">
        <f ca="1"/>
        <v>44742</v>
      </c>
      <c r="J431" s="355" vm="783">
        <f ca="1"/>
        <v>65.19</v>
      </c>
      <c r="K431" s="229">
        <f ca="1"/>
        <v>3485.4789999999998</v>
      </c>
    </row>
    <row r="432" spans="9:11" x14ac:dyDescent="0.15">
      <c r="I432" s="229" vm="784">
        <f ca="1"/>
        <v>44743</v>
      </c>
      <c r="J432" s="355" vm="785">
        <f ca="1"/>
        <v>66.77</v>
      </c>
      <c r="K432" s="229">
        <f ca="1"/>
        <v>2866.4409999999998</v>
      </c>
    </row>
    <row r="433" spans="9:11" x14ac:dyDescent="0.15">
      <c r="I433" s="229" vm="786">
        <f ca="1"/>
        <v>44747</v>
      </c>
      <c r="J433" s="355" vm="787">
        <f ca="1"/>
        <v>69.98</v>
      </c>
      <c r="K433" s="229">
        <f ca="1"/>
        <v>3260.6460000000002</v>
      </c>
    </row>
    <row r="434" spans="9:11" x14ac:dyDescent="0.15">
      <c r="I434" s="229" vm="788">
        <f ca="1"/>
        <v>44748</v>
      </c>
      <c r="J434" s="355" vm="789">
        <f ca="1"/>
        <v>68.52</v>
      </c>
      <c r="K434" s="229">
        <f ca="1"/>
        <v>2645.7910000000002</v>
      </c>
    </row>
    <row r="435" spans="9:11" x14ac:dyDescent="0.15">
      <c r="I435" s="229" vm="790">
        <f ca="1"/>
        <v>44749</v>
      </c>
      <c r="J435" s="355" vm="791">
        <f ca="1"/>
        <v>70.89</v>
      </c>
      <c r="K435" s="229">
        <f ca="1"/>
        <v>2356.0810000000001</v>
      </c>
    </row>
    <row r="436" spans="9:11" x14ac:dyDescent="0.15">
      <c r="I436" s="229" vm="792">
        <f ca="1"/>
        <v>44750</v>
      </c>
      <c r="J436" s="355" vm="793">
        <f ca="1"/>
        <v>71.17</v>
      </c>
      <c r="K436" s="229">
        <f ca="1"/>
        <v>2072.2669999999998</v>
      </c>
    </row>
    <row r="437" spans="9:11" x14ac:dyDescent="0.15">
      <c r="I437" s="229" vm="794">
        <f ca="1"/>
        <v>44753</v>
      </c>
      <c r="J437" s="355" vm="795">
        <f ca="1"/>
        <v>69.91</v>
      </c>
      <c r="K437" s="229">
        <f ca="1"/>
        <v>1778.8520000000001</v>
      </c>
    </row>
    <row r="438" spans="9:11" x14ac:dyDescent="0.15">
      <c r="I438" s="229" vm="796">
        <f ca="1"/>
        <v>44754</v>
      </c>
      <c r="J438" s="355" vm="797">
        <f ca="1"/>
        <v>70.42</v>
      </c>
      <c r="K438" s="229">
        <f ca="1"/>
        <v>2268.598</v>
      </c>
    </row>
    <row r="439" spans="9:11" x14ac:dyDescent="0.15">
      <c r="I439" s="229" vm="798">
        <f ca="1"/>
        <v>44755</v>
      </c>
      <c r="J439" s="355" vm="773">
        <f ca="1"/>
        <v>71.290000000000006</v>
      </c>
      <c r="K439" s="229">
        <f ca="1"/>
        <v>2207.732</v>
      </c>
    </row>
    <row r="440" spans="9:11" x14ac:dyDescent="0.15">
      <c r="I440" s="229" vm="799">
        <f ca="1"/>
        <v>44756</v>
      </c>
      <c r="J440" s="355" vm="800">
        <f ca="1"/>
        <v>71.14</v>
      </c>
      <c r="K440" s="229">
        <f ca="1"/>
        <v>1997.3109999999999</v>
      </c>
    </row>
    <row r="441" spans="9:11" x14ac:dyDescent="0.15">
      <c r="I441" s="229" vm="801">
        <f ca="1"/>
        <v>44757</v>
      </c>
      <c r="J441" s="355" vm="802">
        <f ca="1"/>
        <v>72.47</v>
      </c>
      <c r="K441" s="229">
        <f ca="1"/>
        <v>2477.1930000000002</v>
      </c>
    </row>
    <row r="442" spans="9:11" x14ac:dyDescent="0.15">
      <c r="I442" s="229" vm="803">
        <f ca="1"/>
        <v>44760</v>
      </c>
      <c r="J442" s="355" vm="804">
        <f ca="1"/>
        <v>73.34</v>
      </c>
      <c r="K442" s="229">
        <f ca="1"/>
        <v>2545.3409999999999</v>
      </c>
    </row>
    <row r="443" spans="9:11" x14ac:dyDescent="0.15">
      <c r="I443" s="229" vm="805">
        <f ca="1"/>
        <v>44761</v>
      </c>
      <c r="J443" s="355" vm="806">
        <f ca="1"/>
        <v>75.97</v>
      </c>
      <c r="K443" s="229">
        <f ca="1"/>
        <v>2743.665</v>
      </c>
    </row>
    <row r="444" spans="9:11" x14ac:dyDescent="0.15">
      <c r="I444" s="229" vm="807">
        <f ca="1"/>
        <v>44762</v>
      </c>
      <c r="J444" s="355" vm="808">
        <f ca="1"/>
        <v>78.12</v>
      </c>
      <c r="K444" s="229">
        <f ca="1"/>
        <v>3359.0250000000001</v>
      </c>
    </row>
    <row r="445" spans="9:11" x14ac:dyDescent="0.15">
      <c r="I445" s="229" vm="809">
        <f ca="1"/>
        <v>44763</v>
      </c>
      <c r="J445" s="355" vm="810">
        <f ca="1"/>
        <v>78.2</v>
      </c>
      <c r="K445" s="229">
        <f ca="1"/>
        <v>2338.7220000000002</v>
      </c>
    </row>
    <row r="446" spans="9:11" x14ac:dyDescent="0.15">
      <c r="I446" s="229" vm="811">
        <f ca="1"/>
        <v>44764</v>
      </c>
      <c r="J446" s="355" vm="812">
        <f ca="1"/>
        <v>76.8</v>
      </c>
      <c r="K446" s="229">
        <f ca="1"/>
        <v>2959.2469999999998</v>
      </c>
    </row>
    <row r="447" spans="9:11" x14ac:dyDescent="0.15">
      <c r="I447" s="229" vm="813">
        <f ca="1"/>
        <v>44767</v>
      </c>
      <c r="J447" s="355" vm="814">
        <f ca="1"/>
        <v>75.84</v>
      </c>
      <c r="K447" s="229">
        <f ca="1"/>
        <v>2214.9479999999999</v>
      </c>
    </row>
    <row r="448" spans="9:11" x14ac:dyDescent="0.15">
      <c r="I448" s="229" vm="815">
        <f ca="1"/>
        <v>44768</v>
      </c>
      <c r="J448" s="355" vm="816">
        <f ca="1"/>
        <v>72.010000000000005</v>
      </c>
      <c r="K448" s="229">
        <f ca="1"/>
        <v>3297.1590000000001</v>
      </c>
    </row>
    <row r="449" spans="9:11" x14ac:dyDescent="0.15">
      <c r="I449" s="229" vm="817">
        <f ca="1"/>
        <v>44769</v>
      </c>
      <c r="J449" s="355" vm="818">
        <f ca="1"/>
        <v>74.489999999999995</v>
      </c>
      <c r="K449" s="229">
        <f ca="1"/>
        <v>2476.2689999999998</v>
      </c>
    </row>
    <row r="450" spans="9:11" x14ac:dyDescent="0.15">
      <c r="I450" s="229" vm="819">
        <f ca="1"/>
        <v>44770</v>
      </c>
      <c r="J450" s="355" vm="820">
        <f ca="1"/>
        <v>77.989999999999995</v>
      </c>
      <c r="K450" s="229">
        <f ca="1"/>
        <v>7888.4179999999997</v>
      </c>
    </row>
    <row r="451" spans="9:11" x14ac:dyDescent="0.15">
      <c r="I451" s="229" vm="821">
        <f ca="1"/>
        <v>44771</v>
      </c>
      <c r="J451" s="355" vm="822">
        <f ca="1"/>
        <v>76.989999999999995</v>
      </c>
      <c r="K451" s="229">
        <f ca="1"/>
        <v>5035.2839999999997</v>
      </c>
    </row>
    <row r="452" spans="9:11" x14ac:dyDescent="0.15">
      <c r="I452" s="229" vm="823">
        <f ca="1"/>
        <v>44774</v>
      </c>
      <c r="J452" s="355" vm="824">
        <f ca="1"/>
        <v>76.98</v>
      </c>
      <c r="K452" s="229">
        <f ca="1"/>
        <v>2640.9549999999999</v>
      </c>
    </row>
    <row r="453" spans="9:11" x14ac:dyDescent="0.15">
      <c r="I453" s="229" vm="825">
        <f ca="1"/>
        <v>44775</v>
      </c>
      <c r="J453" s="355" vm="826">
        <f ca="1"/>
        <v>74.61</v>
      </c>
      <c r="K453" s="229">
        <f ca="1"/>
        <v>2367.248</v>
      </c>
    </row>
    <row r="454" spans="9:11" x14ac:dyDescent="0.15">
      <c r="I454" s="229" vm="827">
        <f ca="1"/>
        <v>44776</v>
      </c>
      <c r="J454" s="355" vm="828">
        <f ca="1"/>
        <v>75.69</v>
      </c>
      <c r="K454" s="229">
        <f ca="1"/>
        <v>3085.2809999999999</v>
      </c>
    </row>
    <row r="455" spans="9:11" x14ac:dyDescent="0.15">
      <c r="I455" s="229" vm="829">
        <f ca="1"/>
        <v>44777</v>
      </c>
      <c r="J455" s="355" vm="830">
        <f ca="1"/>
        <v>76.290000000000006</v>
      </c>
      <c r="K455" s="229">
        <f ca="1"/>
        <v>2011.152</v>
      </c>
    </row>
    <row r="456" spans="9:11" x14ac:dyDescent="0.15">
      <c r="I456" s="229" vm="831">
        <f ca="1"/>
        <v>44778</v>
      </c>
      <c r="J456" s="355" vm="832">
        <f ca="1"/>
        <v>76.38</v>
      </c>
      <c r="K456" s="229">
        <f ca="1"/>
        <v>1337.3789999999999</v>
      </c>
    </row>
    <row r="457" spans="9:11" x14ac:dyDescent="0.15">
      <c r="I457" s="229" vm="833">
        <f ca="1"/>
        <v>44781</v>
      </c>
      <c r="J457" s="355" vm="834">
        <f ca="1"/>
        <v>78.540000000000006</v>
      </c>
      <c r="K457" s="229">
        <f ca="1"/>
        <v>2552.4389999999999</v>
      </c>
    </row>
    <row r="458" spans="9:11" x14ac:dyDescent="0.15">
      <c r="I458" s="229" vm="835">
        <f ca="1"/>
        <v>44782</v>
      </c>
      <c r="J458" s="355" vm="836">
        <f ca="1"/>
        <v>76.34</v>
      </c>
      <c r="K458" s="229">
        <f ca="1"/>
        <v>2145.3020000000001</v>
      </c>
    </row>
    <row r="459" spans="9:11" x14ac:dyDescent="0.15">
      <c r="I459" s="229" vm="837">
        <f ca="1"/>
        <v>44783</v>
      </c>
      <c r="J459" s="355" vm="838">
        <f ca="1"/>
        <v>78.510000000000005</v>
      </c>
      <c r="K459" s="229">
        <f ca="1"/>
        <v>2426.7979999999998</v>
      </c>
    </row>
    <row r="460" spans="9:11" x14ac:dyDescent="0.15">
      <c r="I460" s="229" vm="839">
        <f ca="1"/>
        <v>44784</v>
      </c>
      <c r="J460" s="355" vm="840">
        <f ca="1"/>
        <v>80.42</v>
      </c>
      <c r="K460" s="229">
        <f ca="1"/>
        <v>2060.2109999999998</v>
      </c>
    </row>
    <row r="461" spans="9:11" x14ac:dyDescent="0.15">
      <c r="I461" s="229" vm="841">
        <f ca="1"/>
        <v>44785</v>
      </c>
      <c r="J461" s="355" vm="842">
        <f ca="1"/>
        <v>80.3</v>
      </c>
      <c r="K461" s="229">
        <f ca="1"/>
        <v>2131.5549999999998</v>
      </c>
    </row>
    <row r="462" spans="9:11" x14ac:dyDescent="0.15">
      <c r="I462" s="229" vm="843">
        <f ca="1"/>
        <v>44788</v>
      </c>
      <c r="J462" s="355" vm="844">
        <f ca="1"/>
        <v>81.33</v>
      </c>
      <c r="K462" s="229">
        <f ca="1"/>
        <v>1872.481</v>
      </c>
    </row>
    <row r="463" spans="9:11" x14ac:dyDescent="0.15">
      <c r="I463" s="229" vm="845">
        <f ca="1"/>
        <v>44789</v>
      </c>
      <c r="J463" s="355" vm="846">
        <f ca="1"/>
        <v>84.95</v>
      </c>
      <c r="K463" s="229">
        <f ca="1"/>
        <v>3701.9090000000001</v>
      </c>
    </row>
    <row r="464" spans="9:11" x14ac:dyDescent="0.15">
      <c r="I464" s="229" vm="847">
        <f ca="1"/>
        <v>44790</v>
      </c>
      <c r="J464" s="355" vm="848">
        <f ca="1"/>
        <v>82.26</v>
      </c>
      <c r="K464" s="229">
        <f ca="1"/>
        <v>2692.585</v>
      </c>
    </row>
    <row r="465" spans="9:11" x14ac:dyDescent="0.15">
      <c r="I465" s="229" vm="849">
        <f ca="1"/>
        <v>44791</v>
      </c>
      <c r="J465" s="355" vm="850">
        <f ca="1"/>
        <v>82.42</v>
      </c>
      <c r="K465" s="229">
        <f ca="1"/>
        <v>1285.47</v>
      </c>
    </row>
    <row r="466" spans="9:11" x14ac:dyDescent="0.15">
      <c r="I466" s="229" vm="851">
        <f ca="1"/>
        <v>44792</v>
      </c>
      <c r="J466" s="355" vm="852">
        <f ca="1"/>
        <v>79.53</v>
      </c>
      <c r="K466" s="229">
        <f ca="1"/>
        <v>2700.933</v>
      </c>
    </row>
    <row r="467" spans="9:11" x14ac:dyDescent="0.15">
      <c r="I467" s="229" vm="853">
        <f ca="1"/>
        <v>44795</v>
      </c>
      <c r="J467" s="355" vm="854">
        <f ca="1"/>
        <v>77.42</v>
      </c>
      <c r="K467" s="229">
        <f ca="1"/>
        <v>2028.2529999999999</v>
      </c>
    </row>
    <row r="468" spans="9:11" x14ac:dyDescent="0.15">
      <c r="I468" s="229" vm="855">
        <f ca="1"/>
        <v>44796</v>
      </c>
      <c r="J468" s="355" vm="856">
        <f ca="1"/>
        <v>78.84</v>
      </c>
      <c r="K468" s="229">
        <f ca="1"/>
        <v>2047.877</v>
      </c>
    </row>
    <row r="469" spans="9:11" x14ac:dyDescent="0.15">
      <c r="I469" s="229" vm="857">
        <f ca="1"/>
        <v>44797</v>
      </c>
      <c r="J469" s="355" vm="858">
        <f ca="1"/>
        <v>77.63</v>
      </c>
      <c r="K469" s="229">
        <f ca="1"/>
        <v>1801.992</v>
      </c>
    </row>
    <row r="470" spans="9:11" x14ac:dyDescent="0.15">
      <c r="I470" s="229" vm="859">
        <f ca="1"/>
        <v>44798</v>
      </c>
      <c r="J470" s="355" vm="860">
        <f ca="1"/>
        <v>78.19</v>
      </c>
      <c r="K470" s="229">
        <f ca="1"/>
        <v>1678.2170000000001</v>
      </c>
    </row>
    <row r="471" spans="9:11" x14ac:dyDescent="0.15">
      <c r="I471" s="229" vm="861">
        <f ca="1"/>
        <v>44799</v>
      </c>
      <c r="J471" s="355" vm="862">
        <f ca="1"/>
        <v>74.150000000000006</v>
      </c>
      <c r="K471" s="229">
        <f ca="1"/>
        <v>2648.2759999999998</v>
      </c>
    </row>
    <row r="472" spans="9:11" x14ac:dyDescent="0.15">
      <c r="I472" s="229" vm="863">
        <f ca="1"/>
        <v>44802</v>
      </c>
      <c r="J472" s="355" vm="864">
        <f ca="1"/>
        <v>73.7</v>
      </c>
      <c r="K472" s="229">
        <f ca="1"/>
        <v>3160.7629999999999</v>
      </c>
    </row>
    <row r="473" spans="9:11" x14ac:dyDescent="0.15">
      <c r="I473" s="229" vm="865">
        <f ca="1"/>
        <v>44803</v>
      </c>
      <c r="J473" s="355" vm="866">
        <f ca="1"/>
        <v>74.89</v>
      </c>
      <c r="K473" s="229">
        <f ca="1"/>
        <v>11709.424999999999</v>
      </c>
    </row>
    <row r="474" spans="9:11" x14ac:dyDescent="0.15">
      <c r="I474" s="229" vm="867">
        <f ca="1"/>
        <v>44804</v>
      </c>
      <c r="J474" s="355" vm="868">
        <f ca="1"/>
        <v>70.69</v>
      </c>
      <c r="K474" s="229">
        <f ca="1"/>
        <v>7554.2280000000001</v>
      </c>
    </row>
    <row r="475" spans="9:11" x14ac:dyDescent="0.15">
      <c r="I475" s="229" vm="869">
        <f ca="1"/>
        <v>44805</v>
      </c>
      <c r="J475" s="355" vm="870">
        <f ca="1"/>
        <v>71.849999999999994</v>
      </c>
      <c r="K475" s="229">
        <f ca="1"/>
        <v>3369.453</v>
      </c>
    </row>
    <row r="476" spans="9:11" x14ac:dyDescent="0.15">
      <c r="I476" s="229" vm="871">
        <f ca="1"/>
        <v>44806</v>
      </c>
      <c r="J476" s="355" vm="800">
        <f ca="1"/>
        <v>71.14</v>
      </c>
      <c r="K476" s="229">
        <f ca="1"/>
        <v>2131.7429999999999</v>
      </c>
    </row>
    <row r="477" spans="9:11" x14ac:dyDescent="0.15">
      <c r="I477" s="229" vm="872">
        <f ca="1"/>
        <v>44810</v>
      </c>
      <c r="J477" s="355" vm="873">
        <f ca="1"/>
        <v>71.38</v>
      </c>
      <c r="K477" s="229">
        <f ca="1"/>
        <v>2617.54</v>
      </c>
    </row>
    <row r="478" spans="9:11" x14ac:dyDescent="0.15">
      <c r="I478" s="229" vm="874">
        <f ca="1"/>
        <v>44811</v>
      </c>
      <c r="J478" s="355" vm="875">
        <f ca="1"/>
        <v>73.239999999999995</v>
      </c>
      <c r="K478" s="229">
        <f ca="1"/>
        <v>2197.9960000000001</v>
      </c>
    </row>
    <row r="479" spans="9:11" x14ac:dyDescent="0.15">
      <c r="I479" s="229" vm="876">
        <f ca="1"/>
        <v>44812</v>
      </c>
      <c r="J479" s="355" vm="877">
        <f ca="1"/>
        <v>74.7</v>
      </c>
      <c r="K479" s="229">
        <f ca="1"/>
        <v>2228.6880000000001</v>
      </c>
    </row>
    <row r="480" spans="9:11" x14ac:dyDescent="0.15">
      <c r="I480" s="229" vm="878">
        <f ca="1"/>
        <v>44813</v>
      </c>
      <c r="J480" s="355" vm="879">
        <f ca="1"/>
        <v>76.239999999999995</v>
      </c>
      <c r="K480" s="229">
        <f ca="1"/>
        <v>2279.2860000000001</v>
      </c>
    </row>
    <row r="481" spans="9:11" x14ac:dyDescent="0.15">
      <c r="I481" s="229" vm="880">
        <f ca="1"/>
        <v>44816</v>
      </c>
      <c r="J481" s="355" vm="881">
        <f ca="1"/>
        <v>77.819999999999993</v>
      </c>
      <c r="K481" s="229">
        <f ca="1"/>
        <v>2519.8110000000001</v>
      </c>
    </row>
    <row r="482" spans="9:11" x14ac:dyDescent="0.15">
      <c r="I482" s="229" vm="882">
        <f ca="1"/>
        <v>44817</v>
      </c>
      <c r="J482" s="355" vm="883">
        <f ca="1"/>
        <v>73.69</v>
      </c>
      <c r="K482" s="229">
        <f ca="1"/>
        <v>3040.116</v>
      </c>
    </row>
    <row r="483" spans="9:11" x14ac:dyDescent="0.15">
      <c r="I483" s="229" vm="884">
        <f ca="1"/>
        <v>44818</v>
      </c>
      <c r="J483" s="355" vm="885">
        <f ca="1"/>
        <v>73.55</v>
      </c>
      <c r="K483" s="229">
        <f ca="1"/>
        <v>2306.6840000000002</v>
      </c>
    </row>
    <row r="484" spans="9:11" x14ac:dyDescent="0.15">
      <c r="I484" s="229" vm="886">
        <f ca="1"/>
        <v>44819</v>
      </c>
      <c r="J484" s="355" vm="887">
        <f ca="1"/>
        <v>72.42</v>
      </c>
      <c r="K484" s="229">
        <f ca="1"/>
        <v>3550.5830000000001</v>
      </c>
    </row>
    <row r="485" spans="9:11" x14ac:dyDescent="0.15">
      <c r="I485" s="229" vm="888">
        <f ca="1"/>
        <v>44820</v>
      </c>
      <c r="J485" s="355" vm="889">
        <f ca="1"/>
        <v>72.63</v>
      </c>
      <c r="K485" s="229">
        <f ca="1"/>
        <v>3052.9380000000001</v>
      </c>
    </row>
    <row r="486" spans="9:11" x14ac:dyDescent="0.15">
      <c r="I486" s="229" vm="890">
        <f ca="1"/>
        <v>44823</v>
      </c>
      <c r="J486" s="355" vm="891">
        <f ca="1"/>
        <v>73.97</v>
      </c>
      <c r="K486" s="229">
        <f ca="1"/>
        <v>2228.1979999999999</v>
      </c>
    </row>
    <row r="487" spans="9:11" x14ac:dyDescent="0.15">
      <c r="I487" s="229" vm="892">
        <f ca="1"/>
        <v>44824</v>
      </c>
      <c r="J487" s="355" vm="893">
        <f ca="1"/>
        <v>70.92</v>
      </c>
      <c r="K487" s="229">
        <f ca="1"/>
        <v>2099.3249999999998</v>
      </c>
    </row>
    <row r="488" spans="9:11" x14ac:dyDescent="0.15">
      <c r="I488" s="229" vm="894">
        <f ca="1"/>
        <v>44825</v>
      </c>
      <c r="J488" s="355" vm="787">
        <f ca="1"/>
        <v>69.98</v>
      </c>
      <c r="K488" s="229">
        <f ca="1"/>
        <v>1812.34</v>
      </c>
    </row>
    <row r="489" spans="9:11" x14ac:dyDescent="0.15">
      <c r="I489" s="229" vm="895">
        <f ca="1"/>
        <v>44826</v>
      </c>
      <c r="J489" s="355" vm="896">
        <f ca="1"/>
        <v>68.569999999999993</v>
      </c>
      <c r="K489" s="229">
        <f ca="1"/>
        <v>1907.2929999999999</v>
      </c>
    </row>
    <row r="490" spans="9:11" x14ac:dyDescent="0.15">
      <c r="I490" s="229" vm="897">
        <f ca="1"/>
        <v>44827</v>
      </c>
      <c r="J490" s="355" vm="898">
        <f ca="1"/>
        <v>68.78</v>
      </c>
      <c r="K490" s="229">
        <f ca="1"/>
        <v>1970.87</v>
      </c>
    </row>
    <row r="491" spans="9:11" x14ac:dyDescent="0.15">
      <c r="I491" s="229" vm="899">
        <f ca="1"/>
        <v>44830</v>
      </c>
      <c r="J491" s="355" vm="900">
        <f ca="1"/>
        <v>65.319999999999993</v>
      </c>
      <c r="K491" s="229">
        <f ca="1"/>
        <v>2993.915</v>
      </c>
    </row>
    <row r="492" spans="9:11" x14ac:dyDescent="0.15">
      <c r="I492" s="229" vm="901">
        <f ca="1"/>
        <v>44831</v>
      </c>
      <c r="J492" s="355" vm="902">
        <f ca="1"/>
        <v>65.41</v>
      </c>
      <c r="K492" s="229">
        <f ca="1"/>
        <v>2854.2420000000002</v>
      </c>
    </row>
    <row r="493" spans="9:11" x14ac:dyDescent="0.15">
      <c r="I493" s="229" vm="903">
        <f ca="1"/>
        <v>44832</v>
      </c>
      <c r="J493" s="355" vm="904">
        <f ca="1"/>
        <v>67.44</v>
      </c>
      <c r="K493" s="229">
        <f ca="1"/>
        <v>3146.22</v>
      </c>
    </row>
    <row r="494" spans="9:11" x14ac:dyDescent="0.15">
      <c r="I494" s="229" vm="905">
        <f ca="1"/>
        <v>44833</v>
      </c>
      <c r="J494" s="355" vm="906">
        <f ca="1"/>
        <v>65.08</v>
      </c>
      <c r="K494" s="229">
        <f ca="1"/>
        <v>2666.4690000000001</v>
      </c>
    </row>
    <row r="495" spans="9:11" x14ac:dyDescent="0.15">
      <c r="I495" s="229" vm="907">
        <f ca="1"/>
        <v>44834</v>
      </c>
      <c r="J495" s="355" vm="908">
        <f ca="1"/>
        <v>63.34</v>
      </c>
      <c r="K495" s="229">
        <f ca="1"/>
        <v>2909.9110000000001</v>
      </c>
    </row>
    <row r="496" spans="9:11" x14ac:dyDescent="0.15">
      <c r="I496" s="229" vm="909">
        <f ca="1"/>
        <v>44837</v>
      </c>
      <c r="J496" s="355" vm="910">
        <f ca="1"/>
        <v>63.67</v>
      </c>
      <c r="K496" s="229">
        <f ca="1"/>
        <v>3227.1680000000001</v>
      </c>
    </row>
    <row r="497" spans="9:11" x14ac:dyDescent="0.15">
      <c r="I497" s="229" vm="911">
        <f ca="1"/>
        <v>44838</v>
      </c>
      <c r="J497" s="355" vm="912">
        <f ca="1"/>
        <v>67.400000000000006</v>
      </c>
      <c r="K497" s="229">
        <f ca="1"/>
        <v>2487.944</v>
      </c>
    </row>
    <row r="498" spans="9:11" x14ac:dyDescent="0.15">
      <c r="I498" s="229" vm="913">
        <f ca="1"/>
        <v>44839</v>
      </c>
      <c r="J498" s="355" vm="914">
        <f ca="1"/>
        <v>67.900000000000006</v>
      </c>
      <c r="K498" s="229">
        <f ca="1"/>
        <v>2927.7910000000002</v>
      </c>
    </row>
    <row r="499" spans="9:11" x14ac:dyDescent="0.15">
      <c r="I499" s="229" vm="915">
        <f ca="1"/>
        <v>44840</v>
      </c>
      <c r="J499" s="355" vm="916">
        <f ca="1"/>
        <v>66.81</v>
      </c>
      <c r="K499" s="229">
        <f ca="1"/>
        <v>1772.9880000000001</v>
      </c>
    </row>
    <row r="500" spans="9:11" x14ac:dyDescent="0.15">
      <c r="I500" s="229" vm="917">
        <f ca="1"/>
        <v>44841</v>
      </c>
      <c r="J500" s="355" vm="918">
        <f ca="1"/>
        <v>64.53</v>
      </c>
      <c r="K500" s="229">
        <f ca="1"/>
        <v>1878.4369999999999</v>
      </c>
    </row>
    <row r="501" spans="9:11" x14ac:dyDescent="0.15">
      <c r="I501" s="229" vm="919">
        <f ca="1"/>
        <v>44844</v>
      </c>
      <c r="J501" s="355" vm="908">
        <f ca="1"/>
        <v>63.34</v>
      </c>
      <c r="K501" s="229">
        <f ca="1"/>
        <v>2026.2950000000001</v>
      </c>
    </row>
    <row r="502" spans="9:11" x14ac:dyDescent="0.15">
      <c r="I502" s="229" vm="920">
        <f ca="1"/>
        <v>44845</v>
      </c>
      <c r="J502" s="355" vm="921">
        <f ca="1"/>
        <v>63.85</v>
      </c>
      <c r="K502" s="229">
        <f ca="1"/>
        <v>2404.1439999999998</v>
      </c>
    </row>
    <row r="503" spans="9:11" x14ac:dyDescent="0.15">
      <c r="I503" s="229" vm="922">
        <f ca="1"/>
        <v>44846</v>
      </c>
      <c r="J503" s="355" vm="923">
        <f ca="1"/>
        <v>63.2</v>
      </c>
      <c r="K503" s="229">
        <f ca="1"/>
        <v>1662.0630000000001</v>
      </c>
    </row>
    <row r="504" spans="9:11" x14ac:dyDescent="0.15">
      <c r="I504" s="229" vm="924">
        <f ca="1"/>
        <v>44847</v>
      </c>
      <c r="J504" s="355" vm="925">
        <f ca="1"/>
        <v>64.510000000000005</v>
      </c>
      <c r="K504" s="229">
        <f ca="1"/>
        <v>2733.8670000000002</v>
      </c>
    </row>
    <row r="505" spans="9:11" x14ac:dyDescent="0.15">
      <c r="I505" s="229" vm="926">
        <f ca="1"/>
        <v>44848</v>
      </c>
      <c r="J505" s="355" vm="927">
        <f ca="1"/>
        <v>63.35</v>
      </c>
      <c r="K505" s="229">
        <f ca="1"/>
        <v>1753.914</v>
      </c>
    </row>
    <row r="506" spans="9:11" x14ac:dyDescent="0.15">
      <c r="I506" s="229" vm="928">
        <f ca="1"/>
        <v>44851</v>
      </c>
      <c r="J506" s="355" vm="929">
        <f ca="1"/>
        <v>65.59</v>
      </c>
      <c r="K506" s="229">
        <f ca="1"/>
        <v>2786.5039999999999</v>
      </c>
    </row>
    <row r="507" spans="9:11" x14ac:dyDescent="0.15">
      <c r="I507" s="229" vm="930">
        <f ca="1"/>
        <v>44852</v>
      </c>
      <c r="J507" s="355" vm="931">
        <f ca="1"/>
        <v>66.56</v>
      </c>
      <c r="K507" s="229">
        <f ca="1"/>
        <v>2320.2950000000001</v>
      </c>
    </row>
    <row r="508" spans="9:11" x14ac:dyDescent="0.15">
      <c r="I508" s="229" vm="932">
        <f ca="1"/>
        <v>44853</v>
      </c>
      <c r="J508" s="355" vm="933">
        <f ca="1"/>
        <v>63.74</v>
      </c>
      <c r="K508" s="229">
        <f ca="1"/>
        <v>3884.1979999999999</v>
      </c>
    </row>
    <row r="509" spans="9:11" x14ac:dyDescent="0.15">
      <c r="I509" s="229" vm="934">
        <f ca="1"/>
        <v>44854</v>
      </c>
      <c r="J509" s="355" vm="935">
        <f ca="1"/>
        <v>62.85</v>
      </c>
      <c r="K509" s="229">
        <f ca="1"/>
        <v>1900.722</v>
      </c>
    </row>
    <row r="510" spans="9:11" x14ac:dyDescent="0.15">
      <c r="I510" s="229" vm="936">
        <f ca="1"/>
        <v>44855</v>
      </c>
      <c r="J510" s="355" vm="937">
        <f ca="1"/>
        <v>63.77</v>
      </c>
      <c r="K510" s="229">
        <f ca="1"/>
        <v>2328.8890000000001</v>
      </c>
    </row>
    <row r="511" spans="9:11" x14ac:dyDescent="0.15">
      <c r="I511" s="229" vm="938">
        <f ca="1"/>
        <v>44858</v>
      </c>
      <c r="J511" s="355" vm="939">
        <f ca="1"/>
        <v>63.8</v>
      </c>
      <c r="K511" s="229">
        <f ca="1"/>
        <v>2813.654</v>
      </c>
    </row>
    <row r="512" spans="9:11" x14ac:dyDescent="0.15">
      <c r="I512" s="229" vm="940">
        <f ca="1"/>
        <v>44859</v>
      </c>
      <c r="J512" s="355" vm="941">
        <f ca="1"/>
        <v>65.69</v>
      </c>
      <c r="K512" s="229">
        <f ca="1"/>
        <v>2602.1260000000002</v>
      </c>
    </row>
    <row r="513" spans="9:11" x14ac:dyDescent="0.15">
      <c r="I513" s="229" vm="942">
        <f ca="1"/>
        <v>44860</v>
      </c>
      <c r="J513" s="355" vm="943">
        <f ca="1"/>
        <v>65.989999999999995</v>
      </c>
      <c r="K513" s="229">
        <f ca="1"/>
        <v>2340.6219999999998</v>
      </c>
    </row>
    <row r="514" spans="9:11" x14ac:dyDescent="0.15">
      <c r="I514" s="229" vm="944">
        <f ca="1"/>
        <v>44861</v>
      </c>
      <c r="J514" s="355" vm="945">
        <f ca="1"/>
        <v>65.84</v>
      </c>
      <c r="K514" s="229">
        <f ca="1"/>
        <v>2451.2350000000001</v>
      </c>
    </row>
    <row r="515" spans="9:11" x14ac:dyDescent="0.15">
      <c r="I515" s="229" vm="946">
        <f ca="1"/>
        <v>44862</v>
      </c>
      <c r="J515" s="355" vm="947">
        <f ca="1"/>
        <v>68.349999999999994</v>
      </c>
      <c r="K515" s="229">
        <f ca="1"/>
        <v>2344.6379999999999</v>
      </c>
    </row>
    <row r="516" spans="9:11" x14ac:dyDescent="0.15">
      <c r="I516" s="229" vm="948">
        <f ca="1"/>
        <v>44865</v>
      </c>
      <c r="J516" s="355" vm="949">
        <f ca="1"/>
        <v>68.41</v>
      </c>
      <c r="K516" s="229">
        <f ca="1"/>
        <v>4338.96</v>
      </c>
    </row>
    <row r="517" spans="9:11" x14ac:dyDescent="0.15">
      <c r="I517" s="229" vm="950">
        <f ca="1"/>
        <v>44866</v>
      </c>
      <c r="J517" s="355" vm="951">
        <f ca="1"/>
        <v>68.88</v>
      </c>
      <c r="K517" s="229">
        <f ca="1"/>
        <v>3128.009</v>
      </c>
    </row>
    <row r="518" spans="9:11" x14ac:dyDescent="0.15">
      <c r="I518" s="229" vm="952">
        <f ca="1"/>
        <v>44867</v>
      </c>
      <c r="J518" s="355" vm="953">
        <f ca="1"/>
        <v>66.010000000000005</v>
      </c>
      <c r="K518" s="229">
        <f ca="1"/>
        <v>3223.701</v>
      </c>
    </row>
    <row r="519" spans="9:11" x14ac:dyDescent="0.15">
      <c r="I519" s="229" vm="954">
        <f ca="1"/>
        <v>44868</v>
      </c>
      <c r="J519" s="355" vm="955">
        <f ca="1"/>
        <v>67.069999999999993</v>
      </c>
      <c r="K519" s="229">
        <f ca="1"/>
        <v>2604.0010000000002</v>
      </c>
    </row>
    <row r="520" spans="9:11" x14ac:dyDescent="0.15">
      <c r="I520" s="229" vm="956">
        <f ca="1"/>
        <v>44869</v>
      </c>
      <c r="J520" s="355" vm="957">
        <f ca="1"/>
        <v>68.2</v>
      </c>
      <c r="K520" s="229">
        <f ca="1"/>
        <v>2107.0149999999999</v>
      </c>
    </row>
    <row r="521" spans="9:11" x14ac:dyDescent="0.15">
      <c r="I521" s="229" vm="958">
        <f ca="1"/>
        <v>44872</v>
      </c>
      <c r="J521" s="355" vm="959">
        <f ca="1"/>
        <v>68.66</v>
      </c>
      <c r="K521" s="229">
        <f ca="1"/>
        <v>1978.5119999999999</v>
      </c>
    </row>
    <row r="522" spans="9:11" x14ac:dyDescent="0.15">
      <c r="I522" s="229" vm="960">
        <f ca="1"/>
        <v>44873</v>
      </c>
      <c r="J522" s="355" vm="961">
        <f ca="1"/>
        <v>68.819999999999993</v>
      </c>
      <c r="K522" s="229">
        <f ca="1"/>
        <v>1917.722</v>
      </c>
    </row>
    <row r="523" spans="9:11" x14ac:dyDescent="0.15">
      <c r="I523" s="229" vm="962">
        <f ca="1"/>
        <v>44874</v>
      </c>
      <c r="J523" s="355" vm="963">
        <f ca="1"/>
        <v>67.3</v>
      </c>
      <c r="K523" s="229">
        <f ca="1"/>
        <v>2138.4490000000001</v>
      </c>
    </row>
    <row r="524" spans="9:11" x14ac:dyDescent="0.15">
      <c r="I524" s="229" vm="964">
        <f ca="1"/>
        <v>44875</v>
      </c>
      <c r="J524" s="355" vm="965">
        <f ca="1"/>
        <v>72.03</v>
      </c>
      <c r="K524" s="229">
        <f ca="1"/>
        <v>2653.902</v>
      </c>
    </row>
    <row r="525" spans="9:11" x14ac:dyDescent="0.15">
      <c r="I525" s="229" vm="966">
        <f ca="1"/>
        <v>44876</v>
      </c>
      <c r="J525" s="355" vm="967">
        <f ca="1"/>
        <v>74.55</v>
      </c>
      <c r="K525" s="229">
        <f ca="1"/>
        <v>2400.5720000000001</v>
      </c>
    </row>
    <row r="526" spans="9:11" x14ac:dyDescent="0.15">
      <c r="I526" s="229" vm="968">
        <f ca="1"/>
        <v>44879</v>
      </c>
      <c r="J526" s="355" vm="969">
        <f ca="1"/>
        <v>74.260000000000005</v>
      </c>
      <c r="K526" s="229">
        <f ca="1"/>
        <v>2472.1219999999998</v>
      </c>
    </row>
    <row r="527" spans="9:11" x14ac:dyDescent="0.15">
      <c r="I527" s="229" vm="970">
        <f ca="1"/>
        <v>44880</v>
      </c>
      <c r="J527" s="355" vm="971">
        <f ca="1"/>
        <v>75.599999999999994</v>
      </c>
      <c r="K527" s="229">
        <f ca="1"/>
        <v>2277.5419999999999</v>
      </c>
    </row>
    <row r="528" spans="9:11" x14ac:dyDescent="0.15">
      <c r="I528" s="229" vm="972">
        <f ca="1"/>
        <v>44881</v>
      </c>
      <c r="J528" s="355" vm="973">
        <f ca="1"/>
        <v>69.12</v>
      </c>
      <c r="K528" s="229">
        <f ca="1"/>
        <v>4475.8540000000003</v>
      </c>
    </row>
    <row r="529" spans="9:11" x14ac:dyDescent="0.15">
      <c r="I529" s="229" vm="974">
        <f ca="1"/>
        <v>44882</v>
      </c>
      <c r="J529" s="355" vm="975">
        <f ca="1"/>
        <v>70.03</v>
      </c>
      <c r="K529" s="229">
        <f ca="1"/>
        <v>3350.8829999999998</v>
      </c>
    </row>
    <row r="530" spans="9:11" x14ac:dyDescent="0.15">
      <c r="I530" s="229" vm="976">
        <f ca="1"/>
        <v>44883</v>
      </c>
      <c r="J530" s="355" vm="977">
        <f ca="1"/>
        <v>72.05</v>
      </c>
      <c r="K530" s="229">
        <f ca="1"/>
        <v>3266.7339999999999</v>
      </c>
    </row>
    <row r="531" spans="9:11" x14ac:dyDescent="0.15">
      <c r="I531" s="229" vm="978">
        <f ca="1"/>
        <v>44886</v>
      </c>
      <c r="J531" s="355" vm="979">
        <f ca="1"/>
        <v>70.83</v>
      </c>
      <c r="K531" s="229">
        <f ca="1"/>
        <v>4034.8090000000002</v>
      </c>
    </row>
    <row r="532" spans="9:11" x14ac:dyDescent="0.15">
      <c r="I532" s="229" vm="980">
        <f ca="1"/>
        <v>44887</v>
      </c>
      <c r="J532" s="355" vm="981">
        <f ca="1"/>
        <v>79.88</v>
      </c>
      <c r="K532" s="229">
        <f ca="1"/>
        <v>17603.088</v>
      </c>
    </row>
    <row r="533" spans="9:11" x14ac:dyDescent="0.15">
      <c r="I533" s="229" vm="982">
        <f ca="1"/>
        <v>44888</v>
      </c>
      <c r="J533" s="355" vm="983">
        <f ca="1"/>
        <v>82.39</v>
      </c>
      <c r="K533" s="229">
        <f ca="1"/>
        <v>6270.95</v>
      </c>
    </row>
    <row r="534" spans="9:11" x14ac:dyDescent="0.15">
      <c r="I534" s="229" vm="984">
        <f ca="1"/>
        <v>44890</v>
      </c>
      <c r="J534" s="355" vm="985">
        <f ca="1"/>
        <v>81.23</v>
      </c>
      <c r="K534" s="229">
        <f ca="1"/>
        <v>2343.6309999999999</v>
      </c>
    </row>
    <row r="535" spans="9:11" x14ac:dyDescent="0.15">
      <c r="I535" s="229" vm="986">
        <f ca="1"/>
        <v>44893</v>
      </c>
      <c r="J535" s="355" vm="987">
        <f ca="1"/>
        <v>82.09</v>
      </c>
      <c r="K535" s="229">
        <f ca="1"/>
        <v>4056.672</v>
      </c>
    </row>
    <row r="536" spans="9:11" x14ac:dyDescent="0.15">
      <c r="I536" s="229" vm="988">
        <f ca="1"/>
        <v>44894</v>
      </c>
      <c r="J536" s="355" vm="989">
        <f ca="1"/>
        <v>84.16</v>
      </c>
      <c r="K536" s="229">
        <f ca="1"/>
        <v>4073.59</v>
      </c>
    </row>
    <row r="537" spans="9:11" x14ac:dyDescent="0.15">
      <c r="I537" s="229" vm="990">
        <f ca="1"/>
        <v>44895</v>
      </c>
      <c r="J537" s="355" vm="991">
        <f ca="1"/>
        <v>85.3</v>
      </c>
      <c r="K537" s="229">
        <f ca="1"/>
        <v>6200.9759999999997</v>
      </c>
    </row>
    <row r="538" spans="9:11" x14ac:dyDescent="0.15">
      <c r="I538" s="229" vm="992">
        <f ca="1"/>
        <v>44896</v>
      </c>
      <c r="J538" s="355" vm="993">
        <f ca="1"/>
        <v>86.47</v>
      </c>
      <c r="K538" s="229">
        <f ca="1"/>
        <v>3357.7109999999998</v>
      </c>
    </row>
    <row r="539" spans="9:11" x14ac:dyDescent="0.15">
      <c r="I539" s="229" vm="994">
        <f ca="1"/>
        <v>44897</v>
      </c>
      <c r="J539" s="355" vm="995">
        <f ca="1"/>
        <v>86.6</v>
      </c>
      <c r="K539" s="229">
        <f ca="1"/>
        <v>2693.2669999999998</v>
      </c>
    </row>
    <row r="540" spans="9:11" x14ac:dyDescent="0.15">
      <c r="I540" s="229" vm="996">
        <f ca="1"/>
        <v>44900</v>
      </c>
      <c r="J540" s="355" vm="997">
        <f ca="1"/>
        <v>84.32</v>
      </c>
      <c r="K540" s="229">
        <f ca="1"/>
        <v>3812.2539999999999</v>
      </c>
    </row>
    <row r="541" spans="9:11" x14ac:dyDescent="0.15">
      <c r="I541" s="229" vm="998">
        <f ca="1"/>
        <v>44901</v>
      </c>
      <c r="J541" s="355" vm="999">
        <f ca="1"/>
        <v>83.28</v>
      </c>
      <c r="K541" s="229">
        <f ca="1"/>
        <v>3617.471</v>
      </c>
    </row>
    <row r="542" spans="9:11" x14ac:dyDescent="0.15">
      <c r="I542" s="229" vm="1000">
        <f ca="1"/>
        <v>44902</v>
      </c>
      <c r="J542" s="355" vm="1001">
        <f ca="1"/>
        <v>81.37</v>
      </c>
      <c r="K542" s="229">
        <f ca="1"/>
        <v>3710.0619999999999</v>
      </c>
    </row>
    <row r="543" spans="9:11" x14ac:dyDescent="0.15">
      <c r="I543" s="229" vm="1002">
        <f ca="1"/>
        <v>44903</v>
      </c>
      <c r="J543" s="355" vm="1003">
        <f ca="1"/>
        <v>83.4</v>
      </c>
      <c r="K543" s="229">
        <f ca="1"/>
        <v>3105.9070000000002</v>
      </c>
    </row>
    <row r="544" spans="9:11" x14ac:dyDescent="0.15">
      <c r="I544" s="229" vm="1004">
        <f ca="1"/>
        <v>44904</v>
      </c>
      <c r="J544" s="355" vm="1005">
        <f ca="1"/>
        <v>81.81</v>
      </c>
      <c r="K544" s="229">
        <f ca="1"/>
        <v>2443.0949999999998</v>
      </c>
    </row>
    <row r="545" spans="9:11" x14ac:dyDescent="0.15">
      <c r="I545" s="229" vm="1006">
        <f ca="1"/>
        <v>44907</v>
      </c>
      <c r="J545" s="355" vm="1007">
        <f ca="1"/>
        <v>82.47</v>
      </c>
      <c r="K545" s="229">
        <f ca="1"/>
        <v>2801.076</v>
      </c>
    </row>
    <row r="546" spans="9:11" x14ac:dyDescent="0.15">
      <c r="I546" s="229" vm="1008">
        <f ca="1"/>
        <v>44908</v>
      </c>
      <c r="J546" s="355" vm="1009">
        <f ca="1"/>
        <v>84.07</v>
      </c>
      <c r="K546" s="229">
        <f ca="1"/>
        <v>3229.654</v>
      </c>
    </row>
    <row r="547" spans="9:11" x14ac:dyDescent="0.15">
      <c r="I547" s="229" vm="1010">
        <f ca="1"/>
        <v>44909</v>
      </c>
      <c r="J547" s="355" vm="1011">
        <f ca="1"/>
        <v>80.819999999999993</v>
      </c>
      <c r="K547" s="229">
        <f ca="1"/>
        <v>4318.3040000000001</v>
      </c>
    </row>
    <row r="548" spans="9:11" x14ac:dyDescent="0.15">
      <c r="I548" s="229" vm="1012">
        <f ca="1"/>
        <v>44910</v>
      </c>
      <c r="J548" s="355" vm="1013">
        <f ca="1"/>
        <v>80.78</v>
      </c>
      <c r="K548" s="229">
        <f ca="1"/>
        <v>3623.33</v>
      </c>
    </row>
    <row r="549" spans="9:11" x14ac:dyDescent="0.15">
      <c r="I549" s="229" vm="1014">
        <f ca="1"/>
        <v>44911</v>
      </c>
      <c r="J549" s="355" vm="1015">
        <f ca="1"/>
        <v>79.48</v>
      </c>
      <c r="K549" s="229">
        <f ca="1"/>
        <v>4094.817</v>
      </c>
    </row>
    <row r="550" spans="9:11" x14ac:dyDescent="0.15">
      <c r="I550" s="229" vm="1016">
        <f ca="1"/>
        <v>44914</v>
      </c>
      <c r="J550" s="355" vm="1017">
        <f ca="1"/>
        <v>79.8</v>
      </c>
      <c r="K550" s="229">
        <f ca="1"/>
        <v>2312.2179999999998</v>
      </c>
    </row>
    <row r="551" spans="9:11" x14ac:dyDescent="0.15">
      <c r="I551" s="229" vm="1018">
        <f ca="1"/>
        <v>44915</v>
      </c>
      <c r="J551" s="355" vm="1019">
        <f ca="1"/>
        <v>79.239999999999995</v>
      </c>
      <c r="K551" s="229">
        <f ca="1"/>
        <v>2322.663</v>
      </c>
    </row>
    <row r="552" spans="9:11" x14ac:dyDescent="0.15">
      <c r="I552" s="229" vm="1020">
        <f ca="1"/>
        <v>44916</v>
      </c>
      <c r="J552" s="355" vm="1021">
        <f ca="1"/>
        <v>80.63</v>
      </c>
      <c r="K552" s="229">
        <f ca="1"/>
        <v>1811.002</v>
      </c>
    </row>
    <row r="553" spans="9:11" x14ac:dyDescent="0.15">
      <c r="I553" s="229" vm="1022">
        <f ca="1"/>
        <v>44917</v>
      </c>
      <c r="J553" s="355" vm="1023">
        <f ca="1"/>
        <v>80.459999999999994</v>
      </c>
      <c r="K553" s="229">
        <f ca="1"/>
        <v>2067.8820000000001</v>
      </c>
    </row>
    <row r="554" spans="9:11" x14ac:dyDescent="0.15">
      <c r="I554" s="229" vm="1024">
        <f ca="1"/>
        <v>44918</v>
      </c>
      <c r="J554" s="355" vm="1025">
        <f ca="1"/>
        <v>81.349999999999994</v>
      </c>
      <c r="K554" s="229">
        <f ca="1"/>
        <v>1422.319</v>
      </c>
    </row>
    <row r="555" spans="9:11" x14ac:dyDescent="0.15">
      <c r="I555" s="229" vm="1026">
        <f ca="1"/>
        <v>44922</v>
      </c>
      <c r="J555" s="355" vm="1027">
        <f ca="1"/>
        <v>81.86</v>
      </c>
      <c r="K555" s="229">
        <f ca="1"/>
        <v>1560.106</v>
      </c>
    </row>
    <row r="556" spans="9:11" x14ac:dyDescent="0.15">
      <c r="I556" s="229" vm="1028">
        <f ca="1"/>
        <v>44923</v>
      </c>
      <c r="J556" s="355" vm="1029">
        <f ca="1"/>
        <v>80.17</v>
      </c>
      <c r="K556" s="229">
        <f ca="1"/>
        <v>1694.7840000000001</v>
      </c>
    </row>
    <row r="557" spans="9:11" x14ac:dyDescent="0.15">
      <c r="I557" s="229" vm="1030">
        <f ca="1"/>
        <v>44924</v>
      </c>
      <c r="J557" s="355" vm="1031">
        <f ca="1"/>
        <v>81.239999999999995</v>
      </c>
      <c r="K557" s="229">
        <f ca="1"/>
        <v>1606.721</v>
      </c>
    </row>
    <row r="558" spans="9:11" x14ac:dyDescent="0.15">
      <c r="I558" s="229" vm="1032">
        <f ca="1"/>
        <v>44925</v>
      </c>
      <c r="J558" s="355" vm="1033">
        <f ca="1"/>
        <v>80.209999999999994</v>
      </c>
      <c r="K558" s="229">
        <f ca="1"/>
        <v>1397.1569999999999</v>
      </c>
    </row>
    <row r="559" spans="9:11" x14ac:dyDescent="0.15">
      <c r="I559" s="229" vm="1034">
        <f ca="1"/>
        <v>44929</v>
      </c>
      <c r="J559" s="355" vm="1035">
        <f ca="1"/>
        <v>80.41</v>
      </c>
      <c r="K559" s="229">
        <f ca="1"/>
        <v>2542.1570000000002</v>
      </c>
    </row>
    <row r="560" spans="9:11" x14ac:dyDescent="0.15">
      <c r="I560" s="229" vm="1036">
        <f ca="1"/>
        <v>44930</v>
      </c>
      <c r="J560" s="355" vm="1037">
        <f ca="1"/>
        <v>81.94</v>
      </c>
      <c r="K560" s="229">
        <f ca="1"/>
        <v>1937.3240000000001</v>
      </c>
    </row>
    <row r="561" spans="9:11" x14ac:dyDescent="0.15">
      <c r="I561" s="229" vm="1038">
        <f ca="1"/>
        <v>44931</v>
      </c>
      <c r="J561" s="355" vm="1039">
        <f ca="1"/>
        <v>81.510000000000005</v>
      </c>
      <c r="K561" s="229">
        <f ca="1"/>
        <v>2122.3629999999998</v>
      </c>
    </row>
    <row r="562" spans="9:11" x14ac:dyDescent="0.15">
      <c r="I562" s="229" vm="1040">
        <f ca="1"/>
        <v>44932</v>
      </c>
      <c r="J562" s="355" vm="1041">
        <f ca="1"/>
        <v>83.04</v>
      </c>
      <c r="K562" s="229">
        <f ca="1"/>
        <v>1706.325</v>
      </c>
    </row>
    <row r="563" spans="9:11" x14ac:dyDescent="0.15">
      <c r="I563" s="229" vm="1042">
        <f ca="1"/>
        <v>44935</v>
      </c>
      <c r="J563" s="355" vm="741">
        <f ca="1"/>
        <v>82.06</v>
      </c>
      <c r="K563" s="229">
        <f ca="1"/>
        <v>1796.5340000000001</v>
      </c>
    </row>
    <row r="564" spans="9:11" x14ac:dyDescent="0.15">
      <c r="I564" s="229" vm="1043">
        <f ca="1"/>
        <v>44936</v>
      </c>
      <c r="J564" s="355" vm="1044">
        <f ca="1"/>
        <v>84.27</v>
      </c>
      <c r="K564" s="229">
        <f ca="1"/>
        <v>1555.011</v>
      </c>
    </row>
    <row r="565" spans="9:11" x14ac:dyDescent="0.15">
      <c r="I565" s="229" vm="1045">
        <f ca="1"/>
        <v>44937</v>
      </c>
      <c r="J565" s="355" vm="1046">
        <f ca="1"/>
        <v>85.85</v>
      </c>
      <c r="K565" s="229">
        <f ca="1"/>
        <v>2899.027</v>
      </c>
    </row>
    <row r="566" spans="9:11" x14ac:dyDescent="0.15">
      <c r="I566" s="229" vm="1047">
        <f ca="1"/>
        <v>44938</v>
      </c>
      <c r="J566" s="355" vm="1048">
        <f ca="1"/>
        <v>86.4</v>
      </c>
      <c r="K566" s="229">
        <f ca="1"/>
        <v>2584.248</v>
      </c>
    </row>
    <row r="567" spans="9:11" x14ac:dyDescent="0.15">
      <c r="I567" s="229" vm="1049">
        <f ca="1"/>
        <v>44939</v>
      </c>
      <c r="J567" s="355" vm="1050">
        <f ca="1"/>
        <v>85.78</v>
      </c>
      <c r="K567" s="229">
        <f ca="1"/>
        <v>1739.039</v>
      </c>
    </row>
    <row r="568" spans="9:11" x14ac:dyDescent="0.15">
      <c r="I568" s="229" vm="1051">
        <f ca="1"/>
        <v>44943</v>
      </c>
      <c r="J568" s="355" vm="1052">
        <f ca="1"/>
        <v>84.42</v>
      </c>
      <c r="K568" s="229">
        <f ca="1"/>
        <v>2092.9029999999998</v>
      </c>
    </row>
    <row r="569" spans="9:11" x14ac:dyDescent="0.15">
      <c r="I569" s="229" vm="1053">
        <f ca="1"/>
        <v>44944</v>
      </c>
      <c r="J569" s="355" vm="1054">
        <f ca="1"/>
        <v>82.96</v>
      </c>
      <c r="K569" s="229">
        <f ca="1"/>
        <v>2172.7350000000001</v>
      </c>
    </row>
    <row r="570" spans="9:11" x14ac:dyDescent="0.15">
      <c r="I570" s="229" vm="1055">
        <f ca="1"/>
        <v>44945</v>
      </c>
      <c r="J570" s="355" vm="1056">
        <f ca="1"/>
        <v>81.52</v>
      </c>
      <c r="K570" s="229">
        <f ca="1"/>
        <v>1880.923</v>
      </c>
    </row>
    <row r="571" spans="9:11" x14ac:dyDescent="0.15">
      <c r="I571" s="229" vm="1057">
        <f ca="1"/>
        <v>44946</v>
      </c>
      <c r="J571" s="355" vm="1058">
        <f ca="1"/>
        <v>82.67</v>
      </c>
      <c r="K571" s="229">
        <f ca="1"/>
        <v>2417.2570000000001</v>
      </c>
    </row>
    <row r="572" spans="9:11" x14ac:dyDescent="0.15">
      <c r="I572" s="229" vm="1059">
        <f ca="1"/>
        <v>44949</v>
      </c>
      <c r="J572" s="355" vm="1060">
        <f ca="1"/>
        <v>84.24</v>
      </c>
      <c r="K572" s="229">
        <f ca="1"/>
        <v>2266.5459999999998</v>
      </c>
    </row>
    <row r="573" spans="9:11" x14ac:dyDescent="0.15">
      <c r="I573" s="229" vm="1061">
        <f ca="1"/>
        <v>44950</v>
      </c>
      <c r="J573" s="355" vm="1062">
        <f ca="1"/>
        <v>83.63</v>
      </c>
      <c r="K573" s="229">
        <f ca="1"/>
        <v>2050.6350000000002</v>
      </c>
    </row>
    <row r="574" spans="9:11" x14ac:dyDescent="0.15">
      <c r="I574" s="229" vm="1063">
        <f ca="1"/>
        <v>44951</v>
      </c>
      <c r="J574" s="355" vm="1064">
        <f ca="1"/>
        <v>84</v>
      </c>
      <c r="K574" s="229">
        <f ca="1"/>
        <v>2645.67</v>
      </c>
    </row>
    <row r="575" spans="9:11" x14ac:dyDescent="0.15">
      <c r="I575" s="229" vm="1065">
        <f ca="1"/>
        <v>44952</v>
      </c>
      <c r="J575" s="355" vm="1066">
        <f ca="1"/>
        <v>83.95</v>
      </c>
      <c r="K575" s="229">
        <f ca="1"/>
        <v>1442.7860000000001</v>
      </c>
    </row>
    <row r="576" spans="9:11" x14ac:dyDescent="0.15">
      <c r="I576" s="229" vm="1067">
        <f ca="1"/>
        <v>44953</v>
      </c>
      <c r="J576" s="355" vm="1068">
        <f ca="1"/>
        <v>85.18</v>
      </c>
      <c r="K576" s="229">
        <f ca="1"/>
        <v>1986.394</v>
      </c>
    </row>
    <row r="577" spans="9:11" x14ac:dyDescent="0.15">
      <c r="I577" s="229" vm="1069">
        <f ca="1"/>
        <v>44956</v>
      </c>
      <c r="J577" s="355" vm="1070">
        <f ca="1"/>
        <v>86.38</v>
      </c>
      <c r="K577" s="229">
        <f ca="1"/>
        <v>2462.7919999999999</v>
      </c>
    </row>
    <row r="578" spans="9:11" x14ac:dyDescent="0.15">
      <c r="I578" s="229" vm="1071">
        <f ca="1"/>
        <v>44957</v>
      </c>
      <c r="J578" s="355" vm="1072">
        <f ca="1"/>
        <v>88.72</v>
      </c>
      <c r="K578" s="229">
        <f ca="1"/>
        <v>2787.741</v>
      </c>
    </row>
    <row r="579" spans="9:11" x14ac:dyDescent="0.15">
      <c r="I579" s="229" vm="1073">
        <f ca="1"/>
        <v>44958</v>
      </c>
      <c r="J579" s="355" vm="1074">
        <f ca="1"/>
        <v>89.65</v>
      </c>
      <c r="K579" s="229">
        <f ca="1"/>
        <v>2689.7089999999998</v>
      </c>
    </row>
    <row r="580" spans="9:11" x14ac:dyDescent="0.15">
      <c r="I580" s="229" vm="1075">
        <f ca="1"/>
        <v>44959</v>
      </c>
      <c r="J580" s="355" vm="1076">
        <f ca="1"/>
        <v>91.42</v>
      </c>
      <c r="K580" s="229">
        <f ca="1"/>
        <v>2893.2640000000001</v>
      </c>
    </row>
    <row r="581" spans="9:11" x14ac:dyDescent="0.15">
      <c r="I581" s="229" vm="1077">
        <f ca="1"/>
        <v>44960</v>
      </c>
      <c r="J581" s="355" vm="1078">
        <f ca="1"/>
        <v>90.32</v>
      </c>
      <c r="K581" s="229">
        <f ca="1"/>
        <v>1428.0419999999999</v>
      </c>
    </row>
    <row r="582" spans="9:11" x14ac:dyDescent="0.15">
      <c r="I582" s="229" vm="1079">
        <f ca="1"/>
        <v>44963</v>
      </c>
      <c r="J582" s="355" vm="1080">
        <f ca="1"/>
        <v>87.97</v>
      </c>
      <c r="K582" s="229">
        <f ca="1"/>
        <v>1682.6590000000001</v>
      </c>
    </row>
    <row r="583" spans="9:11" x14ac:dyDescent="0.15">
      <c r="I583" s="229" vm="1081">
        <f ca="1"/>
        <v>44964</v>
      </c>
      <c r="J583" s="355" vm="1082">
        <f ca="1"/>
        <v>87.79</v>
      </c>
      <c r="K583" s="229">
        <f ca="1"/>
        <v>1966.7329999999999</v>
      </c>
    </row>
    <row r="584" spans="9:11" x14ac:dyDescent="0.15">
      <c r="I584" s="229" vm="1083">
        <f ca="1"/>
        <v>44965</v>
      </c>
      <c r="J584" s="355" vm="1048">
        <f ca="1"/>
        <v>86.4</v>
      </c>
      <c r="K584" s="229">
        <f ca="1"/>
        <v>1291.058</v>
      </c>
    </row>
    <row r="585" spans="9:11" x14ac:dyDescent="0.15">
      <c r="I585" s="229" vm="1084">
        <f ca="1"/>
        <v>44966</v>
      </c>
      <c r="J585" s="355" vm="1085">
        <f ca="1"/>
        <v>84.96</v>
      </c>
      <c r="K585" s="229">
        <f ca="1"/>
        <v>1273.4110000000001</v>
      </c>
    </row>
    <row r="586" spans="9:11" x14ac:dyDescent="0.15">
      <c r="I586" s="229" vm="1086">
        <f ca="1"/>
        <v>44967</v>
      </c>
      <c r="J586" s="355" vm="1087">
        <f ca="1"/>
        <v>85.52</v>
      </c>
      <c r="K586" s="229">
        <f ca="1"/>
        <v>1639.693</v>
      </c>
    </row>
    <row r="587" spans="9:11" x14ac:dyDescent="0.15">
      <c r="I587" s="229" vm="1088">
        <f ca="1"/>
        <v>44970</v>
      </c>
      <c r="J587" s="355" vm="1089">
        <f ca="1"/>
        <v>87.26</v>
      </c>
      <c r="K587" s="229">
        <f ca="1"/>
        <v>1580.0250000000001</v>
      </c>
    </row>
    <row r="588" spans="9:11" x14ac:dyDescent="0.15">
      <c r="I588" s="229" vm="1090">
        <f ca="1"/>
        <v>44971</v>
      </c>
      <c r="J588" s="355" vm="1091">
        <f ca="1"/>
        <v>88.31</v>
      </c>
      <c r="K588" s="229">
        <f ca="1"/>
        <v>2123.4520000000002</v>
      </c>
    </row>
    <row r="589" spans="9:11" x14ac:dyDescent="0.15">
      <c r="I589" s="229" vm="1092">
        <f ca="1"/>
        <v>44972</v>
      </c>
      <c r="J589" s="355" vm="1093">
        <f ca="1"/>
        <v>88.95</v>
      </c>
      <c r="K589" s="229">
        <f ca="1"/>
        <v>1908.002</v>
      </c>
    </row>
    <row r="590" spans="9:11" x14ac:dyDescent="0.15">
      <c r="I590" s="229" vm="1094">
        <f ca="1"/>
        <v>44973</v>
      </c>
      <c r="J590" s="355" vm="1095">
        <f ca="1"/>
        <v>88.2</v>
      </c>
      <c r="K590" s="229">
        <f ca="1"/>
        <v>1394.4939999999999</v>
      </c>
    </row>
    <row r="591" spans="9:11" x14ac:dyDescent="0.15">
      <c r="I591" s="229" vm="1096">
        <f ca="1"/>
        <v>44974</v>
      </c>
      <c r="J591" s="355" vm="1097">
        <f ca="1"/>
        <v>86.94</v>
      </c>
      <c r="K591" s="229">
        <f ca="1"/>
        <v>2307.366</v>
      </c>
    </row>
    <row r="592" spans="9:11" x14ac:dyDescent="0.15">
      <c r="I592" s="229" vm="1098">
        <f ca="1"/>
        <v>44978</v>
      </c>
      <c r="J592" s="355" vm="1099">
        <f ca="1"/>
        <v>83.13</v>
      </c>
      <c r="K592" s="229">
        <f ca="1"/>
        <v>1860.2539999999999</v>
      </c>
    </row>
    <row r="593" spans="9:11" x14ac:dyDescent="0.15">
      <c r="I593" s="229" vm="1100">
        <f ca="1"/>
        <v>44979</v>
      </c>
      <c r="J593" s="355" vm="1101">
        <f ca="1"/>
        <v>83.18</v>
      </c>
      <c r="K593" s="229">
        <f ca="1"/>
        <v>2905.1019999999999</v>
      </c>
    </row>
    <row r="594" spans="9:11" x14ac:dyDescent="0.15">
      <c r="I594" s="229" vm="1102">
        <f ca="1"/>
        <v>44980</v>
      </c>
      <c r="J594" s="355" vm="1103">
        <f ca="1"/>
        <v>83</v>
      </c>
      <c r="K594" s="229">
        <f ca="1"/>
        <v>1743.991</v>
      </c>
    </row>
    <row r="595" spans="9:11" x14ac:dyDescent="0.15">
      <c r="I595" s="229" vm="1104">
        <f ca="1"/>
        <v>44981</v>
      </c>
      <c r="J595" s="355" vm="1105">
        <f ca="1"/>
        <v>83.82</v>
      </c>
      <c r="K595" s="229">
        <f ca="1"/>
        <v>2461.0459999999998</v>
      </c>
    </row>
    <row r="596" spans="9:11" x14ac:dyDescent="0.15">
      <c r="I596" s="229" vm="1106">
        <f ca="1"/>
        <v>44984</v>
      </c>
      <c r="J596" s="355" vm="1107">
        <f ca="1"/>
        <v>82.63</v>
      </c>
      <c r="K596" s="229">
        <f ca="1"/>
        <v>3333.0230000000001</v>
      </c>
    </row>
    <row r="597" spans="9:11" x14ac:dyDescent="0.15">
      <c r="I597" s="229" vm="1108">
        <f ca="1"/>
        <v>44985</v>
      </c>
      <c r="J597" s="355" vm="1109">
        <f ca="1"/>
        <v>83.11</v>
      </c>
      <c r="K597" s="229">
        <f ca="1"/>
        <v>2387.5360000000001</v>
      </c>
    </row>
    <row r="598" spans="9:11" x14ac:dyDescent="0.15">
      <c r="I598" s="229" vm="1110">
        <f ca="1"/>
        <v>44986</v>
      </c>
      <c r="J598" s="355" vm="1111">
        <f ca="1"/>
        <v>82.54</v>
      </c>
      <c r="K598" s="229">
        <f ca="1"/>
        <v>3240.9960000000001</v>
      </c>
    </row>
    <row r="599" spans="9:11" x14ac:dyDescent="0.15">
      <c r="I599" s="229" vm="1112">
        <f ca="1"/>
        <v>44987</v>
      </c>
      <c r="J599" s="355" vm="1113">
        <f ca="1"/>
        <v>80.790000000000006</v>
      </c>
      <c r="K599" s="229">
        <f ca="1"/>
        <v>5525.9679999999998</v>
      </c>
    </row>
    <row r="600" spans="9:11" x14ac:dyDescent="0.15">
      <c r="I600" s="229" vm="1114">
        <f ca="1"/>
        <v>44988</v>
      </c>
      <c r="J600" s="355" vm="1115">
        <f ca="1"/>
        <v>83.26</v>
      </c>
      <c r="K600" s="229">
        <f ca="1"/>
        <v>3028.0279999999998</v>
      </c>
    </row>
    <row r="601" spans="9:11" x14ac:dyDescent="0.15">
      <c r="I601" s="229" vm="1116">
        <f ca="1"/>
        <v>44991</v>
      </c>
      <c r="J601" s="355" vm="1117">
        <f ca="1"/>
        <v>82.3</v>
      </c>
      <c r="K601" s="229">
        <f ca="1"/>
        <v>2503.875</v>
      </c>
    </row>
    <row r="602" spans="9:11" x14ac:dyDescent="0.15">
      <c r="I602" s="229" vm="1118">
        <f ca="1"/>
        <v>44992</v>
      </c>
      <c r="J602" s="355" vm="848">
        <f ca="1"/>
        <v>82.26</v>
      </c>
      <c r="K602" s="229">
        <f ca="1"/>
        <v>1889.41</v>
      </c>
    </row>
    <row r="603" spans="9:11" x14ac:dyDescent="0.15">
      <c r="I603" s="229" vm="1119">
        <f ca="1"/>
        <v>44993</v>
      </c>
      <c r="J603" s="355" vm="1120">
        <f ca="1"/>
        <v>81.150000000000006</v>
      </c>
      <c r="K603" s="229">
        <f ca="1"/>
        <v>2018.71</v>
      </c>
    </row>
    <row r="604" spans="9:11" x14ac:dyDescent="0.15">
      <c r="I604" s="229" vm="1121">
        <f ca="1"/>
        <v>44994</v>
      </c>
      <c r="J604" s="355" vm="1122">
        <f ca="1"/>
        <v>79</v>
      </c>
      <c r="K604" s="229">
        <f ca="1"/>
        <v>2051.377</v>
      </c>
    </row>
    <row r="605" spans="9:11" x14ac:dyDescent="0.15">
      <c r="I605" s="229" vm="1123">
        <f ca="1"/>
        <v>44995</v>
      </c>
      <c r="J605" s="355" vm="1124">
        <f ca="1"/>
        <v>78.61</v>
      </c>
      <c r="K605" s="229">
        <f ca="1"/>
        <v>2172.1669999999999</v>
      </c>
    </row>
    <row r="606" spans="9:11" x14ac:dyDescent="0.15">
      <c r="I606" s="229" vm="1125">
        <f ca="1"/>
        <v>44998</v>
      </c>
      <c r="J606" s="355" vm="1126">
        <f ca="1"/>
        <v>75.77</v>
      </c>
      <c r="K606" s="229">
        <f ca="1"/>
        <v>3794.7570000000001</v>
      </c>
    </row>
    <row r="607" spans="9:11" x14ac:dyDescent="0.15">
      <c r="I607" s="229" vm="1127">
        <f ca="1"/>
        <v>44999</v>
      </c>
      <c r="J607" s="355" vm="1128">
        <f ca="1"/>
        <v>74.84</v>
      </c>
      <c r="K607" s="229">
        <f ca="1"/>
        <v>3326.835</v>
      </c>
    </row>
    <row r="608" spans="9:11" x14ac:dyDescent="0.15">
      <c r="I608" s="229" vm="1129">
        <f ca="1"/>
        <v>45000</v>
      </c>
      <c r="J608" s="355" vm="1130">
        <f ca="1"/>
        <v>75.55</v>
      </c>
      <c r="K608" s="229">
        <f ca="1"/>
        <v>3135.3530000000001</v>
      </c>
    </row>
    <row r="609" spans="9:11" x14ac:dyDescent="0.15">
      <c r="I609" s="229" vm="1131">
        <f ca="1"/>
        <v>45001</v>
      </c>
      <c r="J609" s="355" vm="1132">
        <f ca="1"/>
        <v>77.09</v>
      </c>
      <c r="K609" s="229">
        <f ca="1"/>
        <v>2949.8229999999999</v>
      </c>
    </row>
    <row r="610" spans="9:11" x14ac:dyDescent="0.15">
      <c r="I610" s="229" vm="1133">
        <f ca="1"/>
        <v>45002</v>
      </c>
      <c r="J610" s="355" vm="1134">
        <f ca="1"/>
        <v>76.73</v>
      </c>
      <c r="K610" s="229">
        <f ca="1"/>
        <v>7806.0820000000003</v>
      </c>
    </row>
    <row r="611" spans="9:11" x14ac:dyDescent="0.15">
      <c r="I611" s="229" vm="1135">
        <f ca="1"/>
        <v>45005</v>
      </c>
      <c r="J611" s="355" vm="1136">
        <f ca="1"/>
        <v>78.13</v>
      </c>
      <c r="K611" s="229">
        <f ca="1"/>
        <v>3113.2849999999999</v>
      </c>
    </row>
    <row r="612" spans="9:11" x14ac:dyDescent="0.15">
      <c r="I612" s="229" vm="1137">
        <f ca="1"/>
        <v>45006</v>
      </c>
      <c r="J612" s="355" vm="1138">
        <f ca="1"/>
        <v>77.77</v>
      </c>
      <c r="K612" s="229">
        <f ca="1"/>
        <v>3634.2040000000002</v>
      </c>
    </row>
    <row r="613" spans="9:11" x14ac:dyDescent="0.15">
      <c r="I613" s="229" vm="1139">
        <f ca="1"/>
        <v>45007</v>
      </c>
      <c r="J613" s="355" vm="1140">
        <f ca="1"/>
        <v>75.94</v>
      </c>
      <c r="K613" s="229">
        <f ca="1"/>
        <v>2522.364</v>
      </c>
    </row>
    <row r="614" spans="9:11" x14ac:dyDescent="0.15">
      <c r="I614" s="229" vm="1141">
        <f ca="1"/>
        <v>45008</v>
      </c>
      <c r="J614" s="355" vm="1142">
        <f ca="1"/>
        <v>74.59</v>
      </c>
      <c r="K614" s="229">
        <f ca="1"/>
        <v>2161.0729999999999</v>
      </c>
    </row>
    <row r="615" spans="9:11" x14ac:dyDescent="0.15">
      <c r="I615" s="229" vm="1143">
        <f ca="1"/>
        <v>45009</v>
      </c>
      <c r="J615" s="355" vm="1144">
        <f ca="1"/>
        <v>74.319999999999993</v>
      </c>
      <c r="K615" s="229">
        <f ca="1"/>
        <v>1603.9960000000001</v>
      </c>
    </row>
    <row r="616" spans="9:11" x14ac:dyDescent="0.15">
      <c r="I616" s="229" vm="1145">
        <f ca="1"/>
        <v>45012</v>
      </c>
      <c r="J616" s="355" vm="1146">
        <f ca="1"/>
        <v>73.849999999999994</v>
      </c>
      <c r="K616" s="229">
        <f ca="1"/>
        <v>2021.854</v>
      </c>
    </row>
    <row r="617" spans="9:11" x14ac:dyDescent="0.15">
      <c r="I617" s="229" vm="1147">
        <f ca="1"/>
        <v>45013</v>
      </c>
      <c r="J617" s="355" vm="727">
        <f ca="1"/>
        <v>73.319999999999993</v>
      </c>
      <c r="K617" s="229">
        <f ca="1"/>
        <v>2022.2950000000001</v>
      </c>
    </row>
    <row r="618" spans="9:11" x14ac:dyDescent="0.15">
      <c r="I618" s="229" vm="1148">
        <f ca="1"/>
        <v>45014</v>
      </c>
      <c r="J618" s="355" vm="1149">
        <f ca="1"/>
        <v>74.86</v>
      </c>
      <c r="K618" s="229">
        <f ca="1"/>
        <v>2026.9690000000001</v>
      </c>
    </row>
    <row r="619" spans="9:11" x14ac:dyDescent="0.15">
      <c r="I619" s="229" vm="1150">
        <f ca="1"/>
        <v>45015</v>
      </c>
      <c r="J619" s="355" vm="1151">
        <f ca="1"/>
        <v>75.319999999999993</v>
      </c>
      <c r="K619" s="229">
        <f ca="1"/>
        <v>1588.3589999999999</v>
      </c>
    </row>
    <row r="620" spans="9:11" x14ac:dyDescent="0.15">
      <c r="I620" s="229" vm="1152">
        <f ca="1"/>
        <v>45016</v>
      </c>
      <c r="J620" s="355" vm="1153">
        <f ca="1"/>
        <v>78.27</v>
      </c>
      <c r="K620" s="229">
        <f ca="1"/>
        <v>2621.806</v>
      </c>
    </row>
    <row r="621" spans="9:11" x14ac:dyDescent="0.15">
      <c r="I621" s="229" vm="1154">
        <f ca="1"/>
        <v>45019</v>
      </c>
      <c r="J621" s="355" vm="838">
        <f ca="1"/>
        <v>78.510000000000005</v>
      </c>
      <c r="K621" s="229">
        <f ca="1"/>
        <v>2220.8249999999998</v>
      </c>
    </row>
    <row r="622" spans="9:11" x14ac:dyDescent="0.15">
      <c r="I622" s="229" vm="1155">
        <f ca="1"/>
        <v>45020</v>
      </c>
      <c r="J622" s="355" vm="1156">
        <f ca="1"/>
        <v>77.84</v>
      </c>
      <c r="K622" s="229">
        <f ca="1"/>
        <v>2178.3200000000002</v>
      </c>
    </row>
    <row r="623" spans="9:11" x14ac:dyDescent="0.15">
      <c r="I623" s="229" vm="1157">
        <f ca="1"/>
        <v>45021</v>
      </c>
      <c r="J623" s="355" vm="1158">
        <f ca="1"/>
        <v>76.28</v>
      </c>
      <c r="K623" s="229">
        <f ca="1"/>
        <v>2529.8919999999998</v>
      </c>
    </row>
    <row r="624" spans="9:11" x14ac:dyDescent="0.15">
      <c r="I624" s="229" vm="1159">
        <f ca="1"/>
        <v>45022</v>
      </c>
      <c r="J624" s="355" vm="1160">
        <f ca="1"/>
        <v>75.08</v>
      </c>
      <c r="K624" s="229">
        <f ca="1"/>
        <v>1791.26</v>
      </c>
    </row>
    <row r="625" spans="9:11" x14ac:dyDescent="0.15">
      <c r="I625" s="229" vm="1161">
        <f ca="1"/>
        <v>45026</v>
      </c>
      <c r="J625" s="355" vm="1162">
        <f ca="1"/>
        <v>74.959999999999994</v>
      </c>
      <c r="K625" s="229">
        <f ca="1"/>
        <v>2074.2020000000002</v>
      </c>
    </row>
    <row r="626" spans="9:11" x14ac:dyDescent="0.15">
      <c r="I626" s="229" vm="1163">
        <f ca="1"/>
        <v>45027</v>
      </c>
      <c r="J626" s="355" vm="1164">
        <f ca="1"/>
        <v>75.25</v>
      </c>
      <c r="K626" s="229">
        <f ca="1"/>
        <v>2334.8130000000001</v>
      </c>
    </row>
    <row r="627" spans="9:11" x14ac:dyDescent="0.15">
      <c r="I627" s="229" vm="1165">
        <f ca="1"/>
        <v>45028</v>
      </c>
      <c r="J627" s="355" vm="1166">
        <f ca="1"/>
        <v>73.17</v>
      </c>
      <c r="K627" s="229">
        <f ca="1"/>
        <v>1945.0540000000001</v>
      </c>
    </row>
    <row r="628" spans="9:11" x14ac:dyDescent="0.15">
      <c r="I628" s="229" vm="1167">
        <f ca="1"/>
        <v>45029</v>
      </c>
      <c r="J628" s="355" vm="1168">
        <f ca="1"/>
        <v>73.19</v>
      </c>
      <c r="K628" s="229">
        <f ca="1"/>
        <v>1868.998</v>
      </c>
    </row>
    <row r="629" spans="9:11" x14ac:dyDescent="0.15">
      <c r="I629" s="229" vm="1169">
        <f ca="1"/>
        <v>45030</v>
      </c>
      <c r="J629" s="355" vm="1170">
        <f ca="1"/>
        <v>73.38</v>
      </c>
      <c r="K629" s="229">
        <f ca="1"/>
        <v>1737.3209999999999</v>
      </c>
    </row>
    <row r="630" spans="9:11" x14ac:dyDescent="0.15">
      <c r="I630" s="229" vm="1171">
        <f ca="1"/>
        <v>45033</v>
      </c>
      <c r="J630" s="355" vm="1172">
        <f ca="1"/>
        <v>73.31</v>
      </c>
      <c r="K630" s="229">
        <f ca="1"/>
        <v>1541.7180000000001</v>
      </c>
    </row>
    <row r="631" spans="9:11" x14ac:dyDescent="0.15">
      <c r="I631" s="229" vm="1173">
        <f ca="1"/>
        <v>45034</v>
      </c>
      <c r="J631" s="355" vm="1174">
        <f ca="1"/>
        <v>73.98</v>
      </c>
      <c r="K631" s="229">
        <f ca="1"/>
        <v>1965.9870000000001</v>
      </c>
    </row>
    <row r="632" spans="9:11" x14ac:dyDescent="0.15">
      <c r="I632" s="229" vm="1175">
        <f ca="1"/>
        <v>45035</v>
      </c>
      <c r="J632" s="355" vm="1176">
        <f ca="1"/>
        <v>72.709999999999994</v>
      </c>
      <c r="K632" s="229">
        <f ca="1"/>
        <v>2068.0259999999998</v>
      </c>
    </row>
    <row r="633" spans="9:11" x14ac:dyDescent="0.15">
      <c r="I633" s="229" vm="1177">
        <f ca="1"/>
        <v>45036</v>
      </c>
      <c r="J633" s="355" vm="1178">
        <f ca="1"/>
        <v>72.58</v>
      </c>
      <c r="K633" s="229">
        <f ca="1"/>
        <v>1906.67</v>
      </c>
    </row>
    <row r="634" spans="9:11" x14ac:dyDescent="0.15">
      <c r="I634" s="229" vm="1179">
        <f ca="1"/>
        <v>45037</v>
      </c>
      <c r="J634" s="355" vm="1180">
        <f ca="1"/>
        <v>72.760000000000005</v>
      </c>
      <c r="K634" s="229">
        <f ca="1"/>
        <v>1686.4870000000001</v>
      </c>
    </row>
    <row r="635" spans="9:11" x14ac:dyDescent="0.15">
      <c r="I635" s="229" vm="1181">
        <f ca="1"/>
        <v>45040</v>
      </c>
      <c r="J635" s="355" vm="885">
        <f ca="1"/>
        <v>73.55</v>
      </c>
      <c r="K635" s="229">
        <f ca="1"/>
        <v>1844.43</v>
      </c>
    </row>
    <row r="636" spans="9:11" x14ac:dyDescent="0.15">
      <c r="I636" s="229" vm="1182">
        <f ca="1"/>
        <v>45041</v>
      </c>
      <c r="J636" s="355" vm="1183">
        <f ca="1"/>
        <v>71.37</v>
      </c>
      <c r="K636" s="229">
        <f ca="1"/>
        <v>2061.277</v>
      </c>
    </row>
    <row r="637" spans="9:11" x14ac:dyDescent="0.15">
      <c r="I637" s="229" vm="1184">
        <f ca="1"/>
        <v>45042</v>
      </c>
      <c r="J637" s="355" vm="1185">
        <f ca="1"/>
        <v>71.510000000000005</v>
      </c>
      <c r="K637" s="229">
        <f ca="1"/>
        <v>1868.1310000000001</v>
      </c>
    </row>
    <row r="638" spans="9:11" x14ac:dyDescent="0.15">
      <c r="I638" s="229" vm="1186">
        <f ca="1"/>
        <v>45043</v>
      </c>
      <c r="J638" s="355" vm="1187">
        <f ca="1"/>
        <v>73.53</v>
      </c>
      <c r="K638" s="229">
        <f ca="1"/>
        <v>1683.075</v>
      </c>
    </row>
    <row r="639" spans="9:11" x14ac:dyDescent="0.15">
      <c r="I639" s="229" vm="1188">
        <f ca="1"/>
        <v>45044</v>
      </c>
      <c r="J639" s="355" vm="1189">
        <f ca="1"/>
        <v>74.52</v>
      </c>
      <c r="K639" s="229">
        <f ca="1"/>
        <v>1645.6389999999999</v>
      </c>
    </row>
    <row r="640" spans="9:11" x14ac:dyDescent="0.15">
      <c r="I640" s="229" vm="1190">
        <f ca="1"/>
        <v>45047</v>
      </c>
      <c r="J640" s="355" vm="1191">
        <f ca="1"/>
        <v>73.650000000000006</v>
      </c>
      <c r="K640" s="229">
        <f ca="1"/>
        <v>1985.1369999999999</v>
      </c>
    </row>
    <row r="641" spans="9:11" x14ac:dyDescent="0.15">
      <c r="I641" s="229" vm="1192">
        <f ca="1"/>
        <v>45048</v>
      </c>
      <c r="J641" s="355" vm="1193">
        <f ca="1"/>
        <v>73.2</v>
      </c>
      <c r="K641" s="229">
        <f ca="1"/>
        <v>1431.078</v>
      </c>
    </row>
    <row r="642" spans="9:11" x14ac:dyDescent="0.15">
      <c r="I642" s="229" vm="1194">
        <f ca="1"/>
        <v>45049</v>
      </c>
      <c r="J642" s="355" vm="1195">
        <f ca="1"/>
        <v>72.78</v>
      </c>
      <c r="K642" s="229">
        <f ca="1"/>
        <v>1662.8969999999999</v>
      </c>
    </row>
    <row r="643" spans="9:11" x14ac:dyDescent="0.15">
      <c r="I643" s="229" vm="1196">
        <f ca="1"/>
        <v>45050</v>
      </c>
      <c r="J643" s="355" vm="1197">
        <f ca="1"/>
        <v>71.599999999999994</v>
      </c>
      <c r="K643" s="229">
        <f ca="1"/>
        <v>1658.9059999999999</v>
      </c>
    </row>
    <row r="644" spans="9:11" x14ac:dyDescent="0.15">
      <c r="I644" s="229" vm="1198">
        <f ca="1"/>
        <v>45051</v>
      </c>
      <c r="J644" s="355" vm="1199">
        <f ca="1"/>
        <v>73.569999999999993</v>
      </c>
      <c r="K644" s="229">
        <f ca="1"/>
        <v>1383.855</v>
      </c>
    </row>
    <row r="645" spans="9:11" x14ac:dyDescent="0.15">
      <c r="I645" s="229" vm="1200">
        <f ca="1"/>
        <v>45054</v>
      </c>
      <c r="J645" s="355" vm="1201">
        <f ca="1"/>
        <v>72.459999999999994</v>
      </c>
      <c r="K645" s="229">
        <f ca="1"/>
        <v>1645.6969999999999</v>
      </c>
    </row>
    <row r="646" spans="9:11" x14ac:dyDescent="0.15">
      <c r="I646" s="229" vm="1202">
        <f ca="1"/>
        <v>45055</v>
      </c>
      <c r="J646" s="355" vm="1203">
        <f ca="1"/>
        <v>72.650000000000006</v>
      </c>
      <c r="K646" s="229">
        <f ca="1"/>
        <v>1808.8130000000001</v>
      </c>
    </row>
    <row r="647" spans="9:11" x14ac:dyDescent="0.15">
      <c r="I647" s="229" vm="1204">
        <f ca="1"/>
        <v>45056</v>
      </c>
      <c r="J647" s="355" vm="1205">
        <f ca="1"/>
        <v>72.22</v>
      </c>
      <c r="K647" s="229">
        <f ca="1"/>
        <v>1401.068</v>
      </c>
    </row>
    <row r="648" spans="9:11" x14ac:dyDescent="0.15">
      <c r="I648" s="229" vm="1206">
        <f ca="1"/>
        <v>45057</v>
      </c>
      <c r="J648" s="355" vm="1207">
        <f ca="1"/>
        <v>71.62</v>
      </c>
      <c r="K648" s="229">
        <f ca="1"/>
        <v>2153.2310000000002</v>
      </c>
    </row>
    <row r="649" spans="9:11" x14ac:dyDescent="0.15">
      <c r="I649" s="229" vm="1208">
        <f ca="1"/>
        <v>45058</v>
      </c>
      <c r="J649" s="355" vm="1209">
        <f ca="1"/>
        <v>71.73</v>
      </c>
      <c r="K649" s="229">
        <f ca="1"/>
        <v>2147.2829999999999</v>
      </c>
    </row>
    <row r="650" spans="9:11" x14ac:dyDescent="0.15">
      <c r="I650" s="229" vm="1210">
        <f ca="1"/>
        <v>45061</v>
      </c>
      <c r="J650" s="355" vm="1211">
        <f ca="1"/>
        <v>72.7</v>
      </c>
      <c r="K650" s="229">
        <f ca="1"/>
        <v>2800.8649999999998</v>
      </c>
    </row>
    <row r="651" spans="9:11" x14ac:dyDescent="0.15">
      <c r="I651" s="229" vm="1212">
        <f ca="1"/>
        <v>45062</v>
      </c>
      <c r="J651" s="355" vm="1213">
        <f ca="1"/>
        <v>70.739999999999995</v>
      </c>
      <c r="K651" s="229">
        <f ca="1"/>
        <v>2480.8589999999999</v>
      </c>
    </row>
    <row r="652" spans="9:11" x14ac:dyDescent="0.15">
      <c r="I652" s="229" vm="1214">
        <f ca="1"/>
        <v>45063</v>
      </c>
      <c r="J652" s="355" vm="1215">
        <f ca="1"/>
        <v>73.94</v>
      </c>
      <c r="K652" s="229">
        <f ca="1"/>
        <v>2541.44</v>
      </c>
    </row>
    <row r="653" spans="9:11" x14ac:dyDescent="0.15">
      <c r="I653" s="229" vm="1216">
        <f ca="1"/>
        <v>45064</v>
      </c>
      <c r="J653" s="355" vm="1217">
        <f ca="1"/>
        <v>73.040000000000006</v>
      </c>
      <c r="K653" s="229">
        <f ca="1"/>
        <v>2048.6660000000002</v>
      </c>
    </row>
    <row r="654" spans="9:11" x14ac:dyDescent="0.15">
      <c r="I654" s="229" vm="1218">
        <f ca="1"/>
        <v>45065</v>
      </c>
      <c r="J654" s="355" vm="1219">
        <f ca="1"/>
        <v>70.53</v>
      </c>
      <c r="K654" s="229">
        <f ca="1"/>
        <v>3444.9389999999999</v>
      </c>
    </row>
    <row r="655" spans="9:11" x14ac:dyDescent="0.15">
      <c r="I655" s="229" vm="1220">
        <f ca="1"/>
        <v>45068</v>
      </c>
      <c r="J655" s="355" vm="1221">
        <f ca="1"/>
        <v>70.319999999999993</v>
      </c>
      <c r="K655" s="229">
        <f ca="1"/>
        <v>2941.4490000000001</v>
      </c>
    </row>
    <row r="656" spans="9:11" x14ac:dyDescent="0.15">
      <c r="I656" s="229" vm="1222">
        <f ca="1"/>
        <v>45069</v>
      </c>
      <c r="J656" s="355" vm="1223">
        <f ca="1"/>
        <v>69.489999999999995</v>
      </c>
      <c r="K656" s="229">
        <f ca="1"/>
        <v>2526.1579999999999</v>
      </c>
    </row>
    <row r="657" spans="9:11" x14ac:dyDescent="0.15">
      <c r="I657" s="229" vm="1224">
        <f ca="1"/>
        <v>45070</v>
      </c>
      <c r="J657" s="355" vm="1225">
        <f ca="1"/>
        <v>69.150000000000006</v>
      </c>
      <c r="K657" s="229">
        <f ca="1"/>
        <v>3316.7020000000002</v>
      </c>
    </row>
    <row r="658" spans="9:11" x14ac:dyDescent="0.15">
      <c r="I658" s="229" vm="1226">
        <f ca="1"/>
        <v>45071</v>
      </c>
      <c r="J658" s="355" vm="1227">
        <f ca="1"/>
        <v>71.28</v>
      </c>
      <c r="K658" s="229">
        <f ca="1"/>
        <v>6052.7920000000004</v>
      </c>
    </row>
    <row r="659" spans="9:11" x14ac:dyDescent="0.15">
      <c r="I659" s="229" vm="1228">
        <f ca="1"/>
        <v>45072</v>
      </c>
      <c r="J659" s="355" vm="1229">
        <f ca="1"/>
        <v>74.33</v>
      </c>
      <c r="K659" s="229">
        <f ca="1"/>
        <v>4690.5510000000004</v>
      </c>
    </row>
    <row r="660" spans="9:11" x14ac:dyDescent="0.15">
      <c r="I660" s="229" vm="1230">
        <f ca="1"/>
        <v>45076</v>
      </c>
      <c r="J660" s="355" vm="1231">
        <f ca="1"/>
        <v>73.400000000000006</v>
      </c>
      <c r="K660" s="229">
        <f ca="1"/>
        <v>3303.018</v>
      </c>
    </row>
    <row r="661" spans="9:11" x14ac:dyDescent="0.15">
      <c r="I661" s="229" vm="1232">
        <f ca="1"/>
        <v>45077</v>
      </c>
      <c r="J661" s="355" vm="1233">
        <f ca="1"/>
        <v>72.67</v>
      </c>
      <c r="K661" s="229">
        <f ca="1"/>
        <v>4305.1850000000004</v>
      </c>
    </row>
    <row r="662" spans="9:11" x14ac:dyDescent="0.15">
      <c r="I662" s="229" vm="1234">
        <f ca="1"/>
        <v>45078</v>
      </c>
      <c r="J662" s="355" vm="1235">
        <f ca="1"/>
        <v>72.900000000000006</v>
      </c>
      <c r="K662" s="229">
        <f ca="1"/>
        <v>2343.8910000000001</v>
      </c>
    </row>
    <row r="663" spans="9:11" x14ac:dyDescent="0.15">
      <c r="I663" s="229" vm="1236">
        <f ca="1"/>
        <v>45079</v>
      </c>
      <c r="J663" s="355" vm="1237">
        <f ca="1"/>
        <v>73.209999999999994</v>
      </c>
      <c r="K663" s="229">
        <f ca="1"/>
        <v>2522.2600000000002</v>
      </c>
    </row>
    <row r="664" spans="9:11" x14ac:dyDescent="0.15">
      <c r="I664" s="229" vm="1238">
        <f ca="1"/>
        <v>45082</v>
      </c>
      <c r="J664" s="355" vm="1239">
        <f ca="1"/>
        <v>72.83</v>
      </c>
      <c r="K664" s="229">
        <f ca="1"/>
        <v>1910.3340000000001</v>
      </c>
    </row>
    <row r="665" spans="9:11" x14ac:dyDescent="0.15">
      <c r="I665" s="229" vm="1240">
        <f ca="1"/>
        <v>45083</v>
      </c>
      <c r="J665" s="355" vm="1241">
        <f ca="1"/>
        <v>74.349999999999994</v>
      </c>
      <c r="K665" s="229">
        <f ca="1"/>
        <v>2254.134</v>
      </c>
    </row>
    <row r="666" spans="9:11" x14ac:dyDescent="0.15">
      <c r="I666" s="229" vm="1242">
        <f ca="1"/>
        <v>45084</v>
      </c>
      <c r="J666" s="355" vm="1243">
        <f ca="1"/>
        <v>75.680000000000007</v>
      </c>
      <c r="K666" s="229">
        <f ca="1"/>
        <v>2016.7270000000001</v>
      </c>
    </row>
    <row r="667" spans="9:11" x14ac:dyDescent="0.15">
      <c r="I667" s="229" vm="1244">
        <f ca="1"/>
        <v>45085</v>
      </c>
      <c r="J667" s="355" vm="1245">
        <f ca="1"/>
        <v>75.36</v>
      </c>
      <c r="K667" s="229">
        <f ca="1"/>
        <v>2221.2109999999998</v>
      </c>
    </row>
    <row r="668" spans="9:11" x14ac:dyDescent="0.15">
      <c r="I668" s="229" vm="1246">
        <f ca="1"/>
        <v>45086</v>
      </c>
      <c r="J668" s="355" vm="1247">
        <f ca="1"/>
        <v>75.239999999999995</v>
      </c>
      <c r="K668" s="229">
        <f ca="1"/>
        <v>2595.0529999999999</v>
      </c>
    </row>
    <row r="669" spans="9:11" x14ac:dyDescent="0.15">
      <c r="I669" s="229" vm="1248">
        <f ca="1"/>
        <v>45089</v>
      </c>
      <c r="J669" s="355" vm="1249">
        <f ca="1"/>
        <v>76.400000000000006</v>
      </c>
      <c r="K669" s="229">
        <f ca="1"/>
        <v>2044.1579999999999</v>
      </c>
    </row>
    <row r="670" spans="9:11" x14ac:dyDescent="0.15">
      <c r="I670" s="229" vm="1250">
        <f ca="1"/>
        <v>45090</v>
      </c>
      <c r="J670" s="355" vm="1251">
        <f ca="1"/>
        <v>77.36</v>
      </c>
      <c r="K670" s="229">
        <f ca="1"/>
        <v>2690.0970000000002</v>
      </c>
    </row>
    <row r="671" spans="9:11" x14ac:dyDescent="0.15">
      <c r="I671" s="229" vm="1252">
        <f ca="1"/>
        <v>45091</v>
      </c>
      <c r="J671" s="355" vm="1253">
        <f ca="1"/>
        <v>76.64</v>
      </c>
      <c r="K671" s="229">
        <f ca="1"/>
        <v>2274.576</v>
      </c>
    </row>
    <row r="672" spans="9:11" x14ac:dyDescent="0.15">
      <c r="I672" s="229" vm="1254">
        <f ca="1"/>
        <v>45092</v>
      </c>
      <c r="J672" s="355" vm="1255">
        <f ca="1"/>
        <v>78.98</v>
      </c>
      <c r="K672" s="229">
        <f ca="1"/>
        <v>2585.3710000000001</v>
      </c>
    </row>
    <row r="673" spans="9:11" x14ac:dyDescent="0.15">
      <c r="I673" s="229" vm="1256">
        <f ca="1"/>
        <v>45093</v>
      </c>
      <c r="J673" s="355" vm="1257">
        <f ca="1"/>
        <v>79.790000000000006</v>
      </c>
      <c r="K673" s="229">
        <f ca="1"/>
        <v>6435.1149999999998</v>
      </c>
    </row>
    <row r="674" spans="9:11" x14ac:dyDescent="0.15">
      <c r="I674" s="229" vm="1258">
        <f ca="1"/>
        <v>45097</v>
      </c>
      <c r="J674" s="355" vm="1259">
        <f ca="1"/>
        <v>78.819999999999993</v>
      </c>
      <c r="K674" s="229">
        <f ca="1"/>
        <v>2157.1489999999999</v>
      </c>
    </row>
    <row r="675" spans="9:11" x14ac:dyDescent="0.15">
      <c r="I675" s="229" vm="1260">
        <f ca="1"/>
        <v>45098</v>
      </c>
      <c r="J675" s="355" vm="1261">
        <f ca="1"/>
        <v>79.02</v>
      </c>
      <c r="K675" s="229">
        <f ca="1"/>
        <v>1672.722</v>
      </c>
    </row>
    <row r="676" spans="9:11" x14ac:dyDescent="0.15">
      <c r="I676" s="229" vm="1262">
        <f ca="1"/>
        <v>45099</v>
      </c>
      <c r="J676" s="355" vm="1263">
        <f ca="1"/>
        <v>79.05</v>
      </c>
      <c r="K676" s="229">
        <f ca="1"/>
        <v>1342.2840000000001</v>
      </c>
    </row>
    <row r="677" spans="9:11" x14ac:dyDescent="0.15">
      <c r="I677" s="229" vm="1264">
        <f ca="1"/>
        <v>45100</v>
      </c>
      <c r="J677" s="355" vm="1265">
        <f ca="1"/>
        <v>79.13</v>
      </c>
      <c r="K677" s="229">
        <f ca="1"/>
        <v>2807.7240000000002</v>
      </c>
    </row>
    <row r="678" spans="9:11" x14ac:dyDescent="0.15">
      <c r="I678" s="229" vm="1266">
        <f ca="1"/>
        <v>45103</v>
      </c>
      <c r="J678" s="355" vm="1267">
        <f ca="1"/>
        <v>81.400000000000006</v>
      </c>
      <c r="K678" s="229">
        <f ca="1"/>
        <v>2448.6779999999999</v>
      </c>
    </row>
    <row r="679" spans="9:11" x14ac:dyDescent="0.15">
      <c r="I679" s="229" vm="1268">
        <f ca="1"/>
        <v>45104</v>
      </c>
      <c r="J679" s="355" vm="1269">
        <f ca="1"/>
        <v>82.91</v>
      </c>
      <c r="K679" s="229">
        <f ca="1"/>
        <v>2568.46</v>
      </c>
    </row>
    <row r="680" spans="9:11" x14ac:dyDescent="0.15">
      <c r="I680" s="229" vm="1270">
        <f ca="1"/>
        <v>45105</v>
      </c>
      <c r="J680" s="355" vm="1271">
        <f ca="1"/>
        <v>82.28</v>
      </c>
      <c r="K680" s="229">
        <f ca="1"/>
        <v>2121.7489999999998</v>
      </c>
    </row>
    <row r="681" spans="9:11" x14ac:dyDescent="0.15">
      <c r="I681" s="229" vm="1272">
        <f ca="1"/>
        <v>45106</v>
      </c>
      <c r="J681" s="355" vm="1273">
        <f ca="1"/>
        <v>83.21</v>
      </c>
      <c r="K681" s="229">
        <f ca="1"/>
        <v>1719.934</v>
      </c>
    </row>
    <row r="682" spans="9:11" x14ac:dyDescent="0.15">
      <c r="I682" s="229" vm="1274">
        <f ca="1"/>
        <v>45107</v>
      </c>
      <c r="J682" s="355" vm="1275">
        <f ca="1"/>
        <v>81.95</v>
      </c>
      <c r="K682" s="229">
        <f ca="1"/>
        <v>2387.029</v>
      </c>
    </row>
    <row r="683" spans="9:11" x14ac:dyDescent="0.15">
      <c r="I683" s="229" vm="1276">
        <f ca="1"/>
        <v>45110</v>
      </c>
      <c r="J683" s="355" vm="1277">
        <f ca="1"/>
        <v>82.17</v>
      </c>
      <c r="K683" s="229">
        <f ca="1"/>
        <v>1359.98</v>
      </c>
    </row>
    <row r="684" spans="9:11" x14ac:dyDescent="0.15">
      <c r="I684" s="229" vm="1278">
        <f ca="1"/>
        <v>45112</v>
      </c>
      <c r="J684" s="355" vm="1279">
        <f ca="1"/>
        <v>81.05</v>
      </c>
      <c r="K684" s="229">
        <f ca="1"/>
        <v>2274.0940000000001</v>
      </c>
    </row>
    <row r="685" spans="9:11" x14ac:dyDescent="0.15">
      <c r="I685" s="229" vm="1280">
        <f ca="1"/>
        <v>45113</v>
      </c>
      <c r="J685" s="355" vm="1281">
        <f ca="1"/>
        <v>80.59</v>
      </c>
      <c r="K685" s="229">
        <f ca="1"/>
        <v>3145.8890000000001</v>
      </c>
    </row>
    <row r="686" spans="9:11" x14ac:dyDescent="0.15">
      <c r="I686" s="229" vm="1282">
        <f ca="1"/>
        <v>45114</v>
      </c>
      <c r="J686" s="355" vm="1283">
        <f ca="1"/>
        <v>79.3</v>
      </c>
      <c r="K686" s="229">
        <f ca="1"/>
        <v>2749.4050000000002</v>
      </c>
    </row>
    <row r="687" spans="9:11" x14ac:dyDescent="0.15">
      <c r="I687" s="229" vm="1284">
        <f ca="1"/>
        <v>45117</v>
      </c>
      <c r="J687" s="355" vm="981">
        <f ca="1"/>
        <v>79.88</v>
      </c>
      <c r="K687" s="229">
        <f ca="1"/>
        <v>1578.758</v>
      </c>
    </row>
    <row r="688" spans="9:11" x14ac:dyDescent="0.15">
      <c r="I688" s="229" vm="1285">
        <f ca="1"/>
        <v>45118</v>
      </c>
      <c r="J688" s="355" vm="1286">
        <f ca="1"/>
        <v>81.760000000000005</v>
      </c>
      <c r="K688" s="229">
        <f ca="1"/>
        <v>1633.069</v>
      </c>
    </row>
    <row r="689" spans="9:11" x14ac:dyDescent="0.15">
      <c r="I689" s="229" vm="1287">
        <f ca="1"/>
        <v>45119</v>
      </c>
      <c r="J689" s="355" vm="1288">
        <f ca="1"/>
        <v>81.08</v>
      </c>
      <c r="K689" s="229">
        <f ca="1"/>
        <v>1602.866</v>
      </c>
    </row>
    <row r="690" spans="9:11" x14ac:dyDescent="0.15">
      <c r="I690" s="229" vm="1289">
        <f ca="1"/>
        <v>45120</v>
      </c>
      <c r="J690" s="355" vm="1290">
        <f ca="1"/>
        <v>81.3</v>
      </c>
      <c r="K690" s="229">
        <f ca="1"/>
        <v>1606.4649999999999</v>
      </c>
    </row>
    <row r="691" spans="9:11" x14ac:dyDescent="0.15">
      <c r="I691" s="229" vm="1291">
        <f ca="1"/>
        <v>45121</v>
      </c>
      <c r="J691" s="355" vm="1292">
        <f ca="1"/>
        <v>80.23</v>
      </c>
      <c r="K691" s="229">
        <f ca="1"/>
        <v>1342.627</v>
      </c>
    </row>
    <row r="692" spans="9:11" x14ac:dyDescent="0.15">
      <c r="I692" s="229" vm="1293">
        <f ca="1"/>
        <v>45124</v>
      </c>
      <c r="J692" s="355" vm="1294">
        <f ca="1"/>
        <v>82.27</v>
      </c>
      <c r="K692" s="229">
        <f ca="1"/>
        <v>1777.2650000000001</v>
      </c>
    </row>
    <row r="693" spans="9:11" x14ac:dyDescent="0.15">
      <c r="I693" s="229" vm="1295">
        <f ca="1"/>
        <v>45125</v>
      </c>
      <c r="J693" s="355" vm="1296">
        <f ca="1"/>
        <v>83.57</v>
      </c>
      <c r="K693" s="229">
        <f ca="1"/>
        <v>2662.2640000000001</v>
      </c>
    </row>
    <row r="694" spans="9:11" x14ac:dyDescent="0.15">
      <c r="I694" s="229" vm="1297">
        <f ca="1"/>
        <v>45126</v>
      </c>
      <c r="J694" s="355" vm="1298">
        <f ca="1"/>
        <v>84.22</v>
      </c>
      <c r="K694" s="229">
        <f ca="1"/>
        <v>2485.5729999999999</v>
      </c>
    </row>
    <row r="695" spans="9:11" x14ac:dyDescent="0.15">
      <c r="I695" s="229" vm="1299">
        <f ca="1"/>
        <v>45127</v>
      </c>
      <c r="J695" s="355" vm="1300">
        <f ca="1"/>
        <v>83.62</v>
      </c>
      <c r="K695" s="229">
        <f ca="1"/>
        <v>1516.19</v>
      </c>
    </row>
    <row r="696" spans="9:11" x14ac:dyDescent="0.15">
      <c r="I696" s="229" vm="1301">
        <f ca="1"/>
        <v>45128</v>
      </c>
      <c r="J696" s="355" vm="1302">
        <f ca="1"/>
        <v>82.76</v>
      </c>
      <c r="K696" s="229">
        <f ca="1"/>
        <v>1500.1220000000001</v>
      </c>
    </row>
    <row r="697" spans="9:11" x14ac:dyDescent="0.15">
      <c r="I697" s="229" vm="1303">
        <f ca="1"/>
        <v>45131</v>
      </c>
      <c r="J697" s="355" vm="1304">
        <f ca="1"/>
        <v>84.79</v>
      </c>
      <c r="K697" s="229">
        <f ca="1"/>
        <v>2618.9409999999998</v>
      </c>
    </row>
    <row r="698" spans="9:11" x14ac:dyDescent="0.15">
      <c r="I698" s="229" vm="1305">
        <f ca="1"/>
        <v>45132</v>
      </c>
      <c r="J698" s="355" vm="846">
        <f ca="1"/>
        <v>84.95</v>
      </c>
      <c r="K698" s="229">
        <f ca="1"/>
        <v>1758.1189999999999</v>
      </c>
    </row>
    <row r="699" spans="9:11" x14ac:dyDescent="0.15">
      <c r="I699" s="229" vm="1306">
        <f ca="1"/>
        <v>45133</v>
      </c>
      <c r="J699" s="355" vm="1298">
        <f ca="1"/>
        <v>84.22</v>
      </c>
      <c r="K699" s="229">
        <f ca="1"/>
        <v>1500.3579999999999</v>
      </c>
    </row>
    <row r="700" spans="9:11" x14ac:dyDescent="0.15">
      <c r="I700" s="229" vm="1307">
        <f ca="1"/>
        <v>45134</v>
      </c>
      <c r="J700" s="355" vm="1308">
        <f ca="1"/>
        <v>83.54</v>
      </c>
      <c r="K700" s="229">
        <f ca="1"/>
        <v>1685.4880000000001</v>
      </c>
    </row>
    <row r="701" spans="9:11" x14ac:dyDescent="0.15">
      <c r="I701" s="229" vm="1309">
        <f ca="1"/>
        <v>45135</v>
      </c>
      <c r="J701" s="355" vm="1310">
        <f ca="1"/>
        <v>82.9</v>
      </c>
      <c r="K701" s="229">
        <f ca="1"/>
        <v>1893.961</v>
      </c>
    </row>
    <row r="702" spans="9:11" x14ac:dyDescent="0.15">
      <c r="I702" s="229" vm="1311">
        <f ca="1"/>
        <v>45138</v>
      </c>
      <c r="J702" s="355" vm="1312">
        <f ca="1"/>
        <v>83.05</v>
      </c>
      <c r="K702" s="229">
        <f ca="1"/>
        <v>2349.5430000000001</v>
      </c>
    </row>
    <row r="703" spans="9:11" x14ac:dyDescent="0.15">
      <c r="I703" s="229" vm="1313">
        <f ca="1"/>
        <v>45139</v>
      </c>
      <c r="J703" s="355" vm="1314">
        <f ca="1"/>
        <v>82.77</v>
      </c>
      <c r="K703" s="229">
        <f ca="1"/>
        <v>1958.2190000000001</v>
      </c>
    </row>
    <row r="704" spans="9:11" x14ac:dyDescent="0.15">
      <c r="I704" s="229" vm="1315">
        <f ca="1"/>
        <v>45140</v>
      </c>
      <c r="J704" s="355" vm="1031">
        <f ca="1"/>
        <v>81.239999999999995</v>
      </c>
      <c r="K704" s="229">
        <f ca="1"/>
        <v>1757.8989999999999</v>
      </c>
    </row>
    <row r="705" spans="9:11" x14ac:dyDescent="0.15">
      <c r="I705" s="229" vm="1316">
        <f ca="1"/>
        <v>45141</v>
      </c>
      <c r="J705" s="355" vm="1317">
        <f ca="1"/>
        <v>81.31</v>
      </c>
      <c r="K705" s="229">
        <f ca="1"/>
        <v>1877.066</v>
      </c>
    </row>
    <row r="706" spans="9:11" x14ac:dyDescent="0.15">
      <c r="I706" s="229" vm="1318">
        <f ca="1"/>
        <v>45142</v>
      </c>
      <c r="J706" s="355" vm="1319">
        <f ca="1"/>
        <v>79.83</v>
      </c>
      <c r="K706" s="229">
        <f ca="1"/>
        <v>2054.5419999999999</v>
      </c>
    </row>
    <row r="707" spans="9:11" x14ac:dyDescent="0.15">
      <c r="I707" s="229" vm="1320">
        <f ca="1"/>
        <v>45145</v>
      </c>
      <c r="J707" s="355" vm="1321">
        <f ca="1"/>
        <v>80.069999999999993</v>
      </c>
      <c r="K707" s="229">
        <f ca="1"/>
        <v>1595.278</v>
      </c>
    </row>
    <row r="708" spans="9:11" x14ac:dyDescent="0.15">
      <c r="I708" s="229" vm="1322">
        <f ca="1"/>
        <v>45146</v>
      </c>
      <c r="J708" s="355" vm="1323">
        <f ca="1"/>
        <v>79.16</v>
      </c>
      <c r="K708" s="229">
        <f ca="1"/>
        <v>1972.694</v>
      </c>
    </row>
    <row r="709" spans="9:11" x14ac:dyDescent="0.15">
      <c r="I709" s="229" vm="1324">
        <f ca="1"/>
        <v>45147</v>
      </c>
      <c r="J709" s="355" vm="1263">
        <f ca="1"/>
        <v>79.05</v>
      </c>
      <c r="K709" s="229">
        <f ca="1"/>
        <v>1560.9459999999999</v>
      </c>
    </row>
    <row r="710" spans="9:11" x14ac:dyDescent="0.15">
      <c r="I710" s="229" vm="1325">
        <f ca="1"/>
        <v>45148</v>
      </c>
      <c r="J710" s="355" vm="1035">
        <f ca="1"/>
        <v>80.41</v>
      </c>
      <c r="K710" s="229">
        <f ca="1"/>
        <v>1980.1279999999999</v>
      </c>
    </row>
    <row r="711" spans="9:11" x14ac:dyDescent="0.15">
      <c r="I711" s="229" vm="1326">
        <f ca="1"/>
        <v>45149</v>
      </c>
      <c r="J711" s="355" vm="1327">
        <f ca="1"/>
        <v>79.290000000000006</v>
      </c>
      <c r="K711" s="229">
        <f ca="1"/>
        <v>1494.231</v>
      </c>
    </row>
    <row r="712" spans="9:11" x14ac:dyDescent="0.15">
      <c r="I712" s="229" vm="1328">
        <f ca="1"/>
        <v>45152</v>
      </c>
      <c r="J712" s="355" vm="1329">
        <f ca="1"/>
        <v>79.180000000000007</v>
      </c>
      <c r="K712" s="229">
        <f ca="1"/>
        <v>1259.9549999999999</v>
      </c>
    </row>
    <row r="713" spans="9:11" x14ac:dyDescent="0.15">
      <c r="I713" s="229" vm="1330">
        <f ca="1"/>
        <v>45153</v>
      </c>
      <c r="J713" s="355" vm="1331">
        <f ca="1"/>
        <v>78.48</v>
      </c>
      <c r="K713" s="229">
        <f ca="1"/>
        <v>2037.913</v>
      </c>
    </row>
    <row r="714" spans="9:11" x14ac:dyDescent="0.15">
      <c r="I714" s="229" vm="1332">
        <f ca="1"/>
        <v>45154</v>
      </c>
      <c r="J714" s="355" vm="1333">
        <f ca="1"/>
        <v>78.44</v>
      </c>
      <c r="K714" s="229">
        <f ca="1"/>
        <v>2104.5390000000002</v>
      </c>
    </row>
    <row r="715" spans="9:11" x14ac:dyDescent="0.15">
      <c r="I715" s="229" vm="1334">
        <f ca="1"/>
        <v>45155</v>
      </c>
      <c r="J715" s="355" vm="1335">
        <f ca="1"/>
        <v>77.72</v>
      </c>
      <c r="K715" s="229">
        <f ca="1"/>
        <v>1548.6890000000001</v>
      </c>
    </row>
    <row r="716" spans="9:11" x14ac:dyDescent="0.15">
      <c r="I716" s="229" vm="1336">
        <f ca="1"/>
        <v>45156</v>
      </c>
      <c r="J716" s="355" vm="1337">
        <f ca="1"/>
        <v>78.59</v>
      </c>
      <c r="K716" s="229">
        <f ca="1"/>
        <v>1645.3409999999999</v>
      </c>
    </row>
    <row r="717" spans="9:11" x14ac:dyDescent="0.15">
      <c r="I717" s="229" vm="1338">
        <f ca="1"/>
        <v>45159</v>
      </c>
      <c r="J717" s="355" vm="1339">
        <f ca="1"/>
        <v>78.88</v>
      </c>
      <c r="K717" s="229">
        <f ca="1"/>
        <v>1458.325</v>
      </c>
    </row>
    <row r="718" spans="9:11" x14ac:dyDescent="0.15">
      <c r="I718" s="229" vm="1340">
        <f ca="1"/>
        <v>45160</v>
      </c>
      <c r="J718" s="355" vm="1341">
        <f ca="1"/>
        <v>74.23</v>
      </c>
      <c r="K718" s="229">
        <f ca="1"/>
        <v>3612.7179999999998</v>
      </c>
    </row>
    <row r="719" spans="9:11" x14ac:dyDescent="0.15">
      <c r="I719" s="229" vm="1342">
        <f ca="1"/>
        <v>45161</v>
      </c>
      <c r="J719" s="355" vm="877">
        <f ca="1"/>
        <v>74.7</v>
      </c>
      <c r="K719" s="229">
        <f ca="1"/>
        <v>2904.8710000000001</v>
      </c>
    </row>
    <row r="720" spans="9:11" x14ac:dyDescent="0.15">
      <c r="I720" s="229" vm="1343">
        <f ca="1"/>
        <v>45162</v>
      </c>
      <c r="J720" s="355" vm="1344">
        <f ca="1"/>
        <v>73.13</v>
      </c>
      <c r="K720" s="229">
        <f ca="1"/>
        <v>2068.4250000000002</v>
      </c>
    </row>
    <row r="721" spans="9:11" x14ac:dyDescent="0.15">
      <c r="I721" s="229" vm="1345">
        <f ca="1"/>
        <v>45163</v>
      </c>
      <c r="J721" s="355" vm="1233">
        <f ca="1"/>
        <v>72.67</v>
      </c>
      <c r="K721" s="229">
        <f ca="1"/>
        <v>2414.2629999999999</v>
      </c>
    </row>
    <row r="722" spans="9:11" x14ac:dyDescent="0.15">
      <c r="I722" s="229" vm="1346">
        <f ca="1"/>
        <v>45166</v>
      </c>
      <c r="J722" s="355" vm="1347">
        <f ca="1"/>
        <v>74.069999999999993</v>
      </c>
      <c r="K722" s="229">
        <f ca="1"/>
        <v>4469.5780000000004</v>
      </c>
    </row>
    <row r="723" spans="9:11" x14ac:dyDescent="0.15">
      <c r="I723" s="229" vm="1348">
        <f ca="1"/>
        <v>45167</v>
      </c>
      <c r="J723" s="355" vm="1349">
        <f ca="1"/>
        <v>76.930000000000007</v>
      </c>
      <c r="K723" s="229">
        <f ca="1"/>
        <v>7571.1980000000003</v>
      </c>
    </row>
    <row r="724" spans="9:11" x14ac:dyDescent="0.15">
      <c r="I724" s="229" vm="1350">
        <f ca="1"/>
        <v>45168</v>
      </c>
      <c r="J724" s="355" vm="1351">
        <f ca="1"/>
        <v>75.930000000000007</v>
      </c>
      <c r="K724" s="229">
        <f ca="1"/>
        <v>3055.0549999999998</v>
      </c>
    </row>
    <row r="725" spans="9:11" x14ac:dyDescent="0.15">
      <c r="I725" s="229" vm="1352">
        <f ca="1"/>
        <v>45169</v>
      </c>
      <c r="J725" s="355" vm="1353">
        <f ca="1"/>
        <v>76.45</v>
      </c>
      <c r="K725" s="229">
        <f ca="1"/>
        <v>3089.511</v>
      </c>
    </row>
    <row r="726" spans="9:11" x14ac:dyDescent="0.15">
      <c r="I726" s="229" vm="1354">
        <f ca="1"/>
        <v>45170</v>
      </c>
      <c r="J726" s="355" vm="1355">
        <f ca="1"/>
        <v>75.27</v>
      </c>
      <c r="K726" s="229">
        <f ca="1"/>
        <v>2610.0450000000001</v>
      </c>
    </row>
    <row r="727" spans="9:11" x14ac:dyDescent="0.15">
      <c r="I727" s="229" vm="1356">
        <f ca="1"/>
        <v>45174</v>
      </c>
      <c r="J727" s="355" vm="1357">
        <f ca="1"/>
        <v>73.95</v>
      </c>
      <c r="K727" s="229">
        <f ca="1"/>
        <v>2364.875</v>
      </c>
    </row>
    <row r="728" spans="9:11" x14ac:dyDescent="0.15">
      <c r="I728" s="229" vm="1358">
        <f ca="1"/>
        <v>45175</v>
      </c>
      <c r="J728" s="355" vm="1359">
        <f ca="1"/>
        <v>73.739999999999995</v>
      </c>
      <c r="K728" s="229">
        <f ca="1"/>
        <v>2452.3069999999998</v>
      </c>
    </row>
    <row r="729" spans="9:11" x14ac:dyDescent="0.15">
      <c r="I729" s="229" vm="1360">
        <f ca="1"/>
        <v>45176</v>
      </c>
      <c r="J729" s="355" vm="1233">
        <f ca="1"/>
        <v>72.67</v>
      </c>
      <c r="K729" s="229">
        <f ca="1"/>
        <v>2767.877</v>
      </c>
    </row>
    <row r="730" spans="9:11" x14ac:dyDescent="0.15">
      <c r="I730" s="229" vm="1361">
        <f ca="1"/>
        <v>45177</v>
      </c>
      <c r="J730" s="355" vm="1362">
        <f ca="1"/>
        <v>73.23</v>
      </c>
      <c r="K730" s="229">
        <f ca="1"/>
        <v>1631.44</v>
      </c>
    </row>
    <row r="731" spans="9:11" x14ac:dyDescent="0.15">
      <c r="I731" s="229" vm="1363">
        <f ca="1"/>
        <v>45180</v>
      </c>
      <c r="J731" s="355" vm="1203">
        <f ca="1"/>
        <v>72.650000000000006</v>
      </c>
      <c r="K731" s="229">
        <f ca="1"/>
        <v>2156.4549999999999</v>
      </c>
    </row>
    <row r="732" spans="9:11" x14ac:dyDescent="0.15">
      <c r="I732" s="229" vm="1364">
        <f ca="1"/>
        <v>45181</v>
      </c>
      <c r="J732" s="355" vm="1195">
        <f ca="1"/>
        <v>72.78</v>
      </c>
      <c r="K732" s="229">
        <f ca="1"/>
        <v>1411.4069999999999</v>
      </c>
    </row>
    <row r="733" spans="9:11" x14ac:dyDescent="0.15">
      <c r="I733" s="229" vm="1365">
        <f ca="1"/>
        <v>45182</v>
      </c>
      <c r="J733" s="355" vm="1366">
        <f ca="1"/>
        <v>72.27</v>
      </c>
      <c r="K733" s="229">
        <f ca="1"/>
        <v>1433.4459999999999</v>
      </c>
    </row>
    <row r="734" spans="9:11" x14ac:dyDescent="0.15">
      <c r="I734" s="229" vm="1367">
        <f ca="1"/>
        <v>45183</v>
      </c>
      <c r="J734" s="355" vm="1368">
        <f ca="1"/>
        <v>73.45</v>
      </c>
      <c r="K734" s="229">
        <f ca="1"/>
        <v>1992.278</v>
      </c>
    </row>
    <row r="735" spans="9:11" x14ac:dyDescent="0.15">
      <c r="I735" s="229" vm="1369">
        <f ca="1"/>
        <v>45184</v>
      </c>
      <c r="J735" s="355" vm="1370">
        <f ca="1"/>
        <v>72.39</v>
      </c>
      <c r="K735" s="229">
        <f ca="1"/>
        <v>2463.0720000000001</v>
      </c>
    </row>
    <row r="736" spans="9:11" x14ac:dyDescent="0.15">
      <c r="I736" s="229" vm="1371">
        <f ca="1"/>
        <v>45187</v>
      </c>
      <c r="J736" s="355" vm="1372">
        <f ca="1"/>
        <v>70.64</v>
      </c>
      <c r="K736" s="229">
        <f ca="1"/>
        <v>1788.3340000000001</v>
      </c>
    </row>
    <row r="737" spans="9:11" x14ac:dyDescent="0.15">
      <c r="I737" s="229" vm="1373">
        <f ca="1"/>
        <v>45188</v>
      </c>
      <c r="J737" s="355" vm="1374">
        <f ca="1"/>
        <v>71.44</v>
      </c>
      <c r="K737" s="229">
        <f ca="1"/>
        <v>2137.259</v>
      </c>
    </row>
    <row r="738" spans="9:11" x14ac:dyDescent="0.15">
      <c r="I738" s="229" vm="1375">
        <f ca="1"/>
        <v>45189</v>
      </c>
      <c r="J738" s="355" vm="1376">
        <f ca="1"/>
        <v>70.75</v>
      </c>
      <c r="K738" s="229">
        <f ca="1"/>
        <v>1912.749</v>
      </c>
    </row>
    <row r="739" spans="9:11" x14ac:dyDescent="0.15">
      <c r="I739" s="229" vm="1377">
        <f ca="1"/>
        <v>45190</v>
      </c>
      <c r="J739" s="355" vm="1378">
        <f ca="1"/>
        <v>70.45</v>
      </c>
      <c r="K739" s="229">
        <f ca="1"/>
        <v>2288.7730000000001</v>
      </c>
    </row>
    <row r="740" spans="9:11" x14ac:dyDescent="0.15">
      <c r="I740" s="229" vm="1379">
        <f ca="1"/>
        <v>45191</v>
      </c>
      <c r="J740" s="355" vm="1380">
        <f ca="1"/>
        <v>69.25</v>
      </c>
      <c r="K740" s="229">
        <f ca="1"/>
        <v>2319.364</v>
      </c>
    </row>
    <row r="741" spans="9:11" x14ac:dyDescent="0.15">
      <c r="I741" s="229" vm="1381">
        <f ca="1"/>
        <v>45194</v>
      </c>
      <c r="J741" s="355" vm="1382">
        <f ca="1"/>
        <v>69.790000000000006</v>
      </c>
      <c r="K741" s="229">
        <f ca="1"/>
        <v>1923.616</v>
      </c>
    </row>
    <row r="742" spans="9:11" x14ac:dyDescent="0.15">
      <c r="I742" s="229" vm="1383">
        <f ca="1"/>
        <v>45195</v>
      </c>
      <c r="J742" s="355" vm="1384">
        <f ca="1"/>
        <v>68.03</v>
      </c>
      <c r="K742" s="229">
        <f ca="1"/>
        <v>2185.779</v>
      </c>
    </row>
    <row r="743" spans="9:11" x14ac:dyDescent="0.15">
      <c r="I743" s="229" vm="1385">
        <f ca="1"/>
        <v>45196</v>
      </c>
      <c r="J743" s="355" vm="1386">
        <f ca="1"/>
        <v>68.37</v>
      </c>
      <c r="K743" s="229">
        <f ca="1"/>
        <v>1939.0419999999999</v>
      </c>
    </row>
    <row r="744" spans="9:11" x14ac:dyDescent="0.15">
      <c r="I744" s="229" vm="1387">
        <f ca="1"/>
        <v>45197</v>
      </c>
      <c r="J744" s="355" vm="1388">
        <f ca="1"/>
        <v>68.900000000000006</v>
      </c>
      <c r="K744" s="229">
        <f ca="1"/>
        <v>1364.461</v>
      </c>
    </row>
    <row r="745" spans="9:11" x14ac:dyDescent="0.15">
      <c r="I745" s="229" vm="1389">
        <f ca="1"/>
        <v>45198</v>
      </c>
      <c r="J745" s="355" vm="1390">
        <f ca="1"/>
        <v>69.47</v>
      </c>
      <c r="K745" s="229">
        <f ca="1"/>
        <v>1926.173</v>
      </c>
    </row>
    <row r="746" spans="9:11" x14ac:dyDescent="0.15">
      <c r="I746" s="229" vm="1391">
        <f ca="1"/>
        <v>45201</v>
      </c>
      <c r="J746" s="355" vm="1392">
        <f ca="1"/>
        <v>69.09</v>
      </c>
      <c r="K746" s="229">
        <f ca="1"/>
        <v>2143.5360000000001</v>
      </c>
    </row>
    <row r="747" spans="9:11" x14ac:dyDescent="0.15">
      <c r="I747" s="229" vm="1393">
        <f ca="1"/>
        <v>45202</v>
      </c>
      <c r="J747" s="355" vm="1394">
        <f ca="1"/>
        <v>67.61</v>
      </c>
      <c r="K747" s="229">
        <f ca="1"/>
        <v>1875.008</v>
      </c>
    </row>
    <row r="748" spans="9:11" x14ac:dyDescent="0.15">
      <c r="I748" s="229" vm="1395">
        <f ca="1"/>
        <v>45203</v>
      </c>
      <c r="J748" s="355" vm="1396">
        <f ca="1"/>
        <v>68.56</v>
      </c>
      <c r="K748" s="229">
        <f ca="1"/>
        <v>2334.0740000000001</v>
      </c>
    </row>
    <row r="749" spans="9:11" x14ac:dyDescent="0.15">
      <c r="I749" s="229" vm="1397">
        <f ca="1"/>
        <v>45204</v>
      </c>
      <c r="J749" s="355" vm="1398">
        <f ca="1"/>
        <v>67.63</v>
      </c>
      <c r="K749" s="229">
        <f ca="1"/>
        <v>1827.653</v>
      </c>
    </row>
    <row r="750" spans="9:11" x14ac:dyDescent="0.15">
      <c r="I750" s="229" vm="1399">
        <f ca="1"/>
        <v>45205</v>
      </c>
      <c r="J750" s="355" vm="1400">
        <f ca="1"/>
        <v>68.760000000000005</v>
      </c>
      <c r="K750" s="229">
        <f ca="1"/>
        <v>2256.3270000000002</v>
      </c>
    </row>
    <row r="751" spans="9:11" x14ac:dyDescent="0.15">
      <c r="I751" s="229" vm="1401">
        <f ca="1"/>
        <v>45208</v>
      </c>
      <c r="J751" s="355" vm="1402">
        <f ca="1"/>
        <v>70.25</v>
      </c>
      <c r="K751" s="229">
        <f ca="1"/>
        <v>2052.2150000000001</v>
      </c>
    </row>
    <row r="752" spans="9:11" x14ac:dyDescent="0.15">
      <c r="I752" s="229" vm="1403">
        <f ca="1"/>
        <v>45209</v>
      </c>
      <c r="J752" s="355" vm="1404">
        <f ca="1"/>
        <v>70.38</v>
      </c>
      <c r="K752" s="229">
        <f ca="1"/>
        <v>2167.511</v>
      </c>
    </row>
    <row r="753" spans="9:11" x14ac:dyDescent="0.15">
      <c r="I753" s="229" vm="1405">
        <f ca="1"/>
        <v>45210</v>
      </c>
      <c r="J753" s="355" vm="1406">
        <f ca="1"/>
        <v>70.95</v>
      </c>
      <c r="K753" s="229">
        <f ca="1"/>
        <v>1659.027</v>
      </c>
    </row>
    <row r="754" spans="9:11" x14ac:dyDescent="0.15">
      <c r="I754" s="229" vm="1407">
        <f ca="1"/>
        <v>45211</v>
      </c>
      <c r="J754" s="355" vm="1404">
        <f ca="1"/>
        <v>70.38</v>
      </c>
      <c r="K754" s="229">
        <f ca="1"/>
        <v>1910.9459999999999</v>
      </c>
    </row>
    <row r="755" spans="9:11" x14ac:dyDescent="0.15">
      <c r="I755" s="229" vm="1408">
        <f ca="1"/>
        <v>45212</v>
      </c>
      <c r="J755" s="355" vm="1223">
        <f ca="1"/>
        <v>69.489999999999995</v>
      </c>
      <c r="K755" s="229">
        <f ca="1"/>
        <v>2047.6610000000001</v>
      </c>
    </row>
    <row r="756" spans="9:11" x14ac:dyDescent="0.15">
      <c r="I756" s="229" vm="1409">
        <f ca="1"/>
        <v>45215</v>
      </c>
      <c r="J756" s="355" vm="1410">
        <f ca="1"/>
        <v>70.760000000000005</v>
      </c>
      <c r="K756" s="229">
        <f ca="1"/>
        <v>1760.4829999999999</v>
      </c>
    </row>
    <row r="757" spans="9:11" x14ac:dyDescent="0.15">
      <c r="I757" s="229" vm="1411">
        <f ca="1"/>
        <v>45216</v>
      </c>
      <c r="J757" s="355" vm="1412">
        <f ca="1"/>
        <v>71.03</v>
      </c>
      <c r="K757" s="229">
        <f ca="1"/>
        <v>1650.7270000000001</v>
      </c>
    </row>
    <row r="758" spans="9:11" x14ac:dyDescent="0.15">
      <c r="I758" s="229" vm="1413">
        <f ca="1"/>
        <v>45217</v>
      </c>
      <c r="J758" s="355" vm="1414">
        <f ca="1"/>
        <v>70.2</v>
      </c>
      <c r="K758" s="229">
        <f ca="1"/>
        <v>1999.8309999999999</v>
      </c>
    </row>
    <row r="759" spans="9:11" x14ac:dyDescent="0.15">
      <c r="I759" s="229" vm="1415">
        <f ca="1"/>
        <v>45218</v>
      </c>
      <c r="J759" s="355" vm="1416">
        <f ca="1"/>
        <v>69.5</v>
      </c>
      <c r="K759" s="229">
        <f ca="1"/>
        <v>2803.06</v>
      </c>
    </row>
    <row r="760" spans="9:11" x14ac:dyDescent="0.15">
      <c r="I760" s="229" vm="1417">
        <f ca="1"/>
        <v>45219</v>
      </c>
      <c r="J760" s="355" vm="1418">
        <f ca="1"/>
        <v>68.680000000000007</v>
      </c>
      <c r="K760" s="229">
        <f ca="1"/>
        <v>1903.854</v>
      </c>
    </row>
    <row r="761" spans="9:11" x14ac:dyDescent="0.15">
      <c r="I761" s="229" vm="1419">
        <f ca="1"/>
        <v>45222</v>
      </c>
      <c r="J761" s="355" vm="957">
        <f ca="1"/>
        <v>68.2</v>
      </c>
      <c r="K761" s="229">
        <f ca="1"/>
        <v>1893.15</v>
      </c>
    </row>
    <row r="762" spans="9:11" x14ac:dyDescent="0.15">
      <c r="I762" s="229" vm="1420">
        <f ca="1"/>
        <v>45223</v>
      </c>
      <c r="J762" s="355" vm="1421">
        <f ca="1"/>
        <v>67.989999999999995</v>
      </c>
      <c r="K762" s="229">
        <f ca="1"/>
        <v>1667.277</v>
      </c>
    </row>
    <row r="763" spans="9:11" x14ac:dyDescent="0.15">
      <c r="I763" s="229" vm="1422">
        <f ca="1"/>
        <v>45224</v>
      </c>
      <c r="J763" s="355" vm="1423">
        <f ca="1"/>
        <v>67.59</v>
      </c>
      <c r="K763" s="229">
        <f ca="1"/>
        <v>1833.462</v>
      </c>
    </row>
    <row r="764" spans="9:11" x14ac:dyDescent="0.15">
      <c r="I764" s="229" vm="1424">
        <f ca="1"/>
        <v>45225</v>
      </c>
      <c r="J764" s="355" vm="1425">
        <f ca="1"/>
        <v>66.11</v>
      </c>
      <c r="K764" s="229">
        <f ca="1"/>
        <v>2080.712</v>
      </c>
    </row>
    <row r="765" spans="9:11" x14ac:dyDescent="0.15">
      <c r="I765" s="229" vm="1426">
        <f ca="1"/>
        <v>45226</v>
      </c>
      <c r="J765" s="355" vm="1427">
        <f ca="1"/>
        <v>64.41</v>
      </c>
      <c r="K765" s="229">
        <f ca="1"/>
        <v>2223.2869999999998</v>
      </c>
    </row>
    <row r="766" spans="9:11" x14ac:dyDescent="0.15">
      <c r="I766" s="229" vm="1428">
        <f ca="1"/>
        <v>45229</v>
      </c>
      <c r="J766" s="355" vm="1429">
        <f ca="1"/>
        <v>64.489999999999995</v>
      </c>
      <c r="K766" s="229">
        <f ca="1"/>
        <v>1891.2260000000001</v>
      </c>
    </row>
    <row r="767" spans="9:11" x14ac:dyDescent="0.15">
      <c r="I767" s="229" vm="1430">
        <f ca="1"/>
        <v>45230</v>
      </c>
      <c r="J767" s="355" vm="1431">
        <f ca="1"/>
        <v>66.819999999999993</v>
      </c>
      <c r="K767" s="229">
        <f ca="1"/>
        <v>2982.8130000000001</v>
      </c>
    </row>
    <row r="768" spans="9:11" x14ac:dyDescent="0.15">
      <c r="I768" s="229" vm="1432">
        <f ca="1"/>
        <v>45231</v>
      </c>
      <c r="J768" s="355" vm="1433">
        <f ca="1"/>
        <v>65.97</v>
      </c>
      <c r="K768" s="229">
        <f ca="1"/>
        <v>1989.8140000000001</v>
      </c>
    </row>
    <row r="769" spans="9:11" x14ac:dyDescent="0.15">
      <c r="I769" s="229" vm="1434">
        <f ca="1"/>
        <v>45232</v>
      </c>
      <c r="J769" s="355" vm="1435">
        <f ca="1"/>
        <v>66.349999999999994</v>
      </c>
      <c r="K769" s="229">
        <f ca="1"/>
        <v>2195.1619999999998</v>
      </c>
    </row>
    <row r="770" spans="9:11" x14ac:dyDescent="0.15">
      <c r="I770" s="229" vm="1436">
        <f ca="1"/>
        <v>45233</v>
      </c>
      <c r="J770" s="355" vm="1437">
        <f ca="1"/>
        <v>67.19</v>
      </c>
      <c r="K770" s="229">
        <f ca="1"/>
        <v>2010.1079999999999</v>
      </c>
    </row>
    <row r="771" spans="9:11" x14ac:dyDescent="0.15">
      <c r="I771" s="229" vm="1438">
        <f ca="1"/>
        <v>45236</v>
      </c>
      <c r="J771" s="355" vm="1439">
        <f ca="1"/>
        <v>66.959999999999994</v>
      </c>
      <c r="K771" s="229">
        <f ca="1"/>
        <v>2539.3449999999998</v>
      </c>
    </row>
    <row r="772" spans="9:11" x14ac:dyDescent="0.15">
      <c r="I772" s="229" vm="1440">
        <f ca="1"/>
        <v>45237</v>
      </c>
      <c r="J772" s="355" vm="1441">
        <f ca="1"/>
        <v>65.569999999999993</v>
      </c>
      <c r="K772" s="229">
        <f ca="1"/>
        <v>2791.2310000000002</v>
      </c>
    </row>
    <row r="773" spans="9:11" x14ac:dyDescent="0.15">
      <c r="I773" s="229" vm="1442">
        <f ca="1"/>
        <v>45238</v>
      </c>
      <c r="J773" s="355" vm="1443">
        <f ca="1"/>
        <v>63.94</v>
      </c>
      <c r="K773" s="229">
        <f ca="1"/>
        <v>3205.4409999999998</v>
      </c>
    </row>
    <row r="774" spans="9:11" x14ac:dyDescent="0.15">
      <c r="I774" s="229" vm="1444">
        <f ca="1"/>
        <v>45239</v>
      </c>
      <c r="J774" s="355" vm="1445">
        <f ca="1"/>
        <v>62.88</v>
      </c>
      <c r="K774" s="229">
        <f ca="1"/>
        <v>2177.1480000000001</v>
      </c>
    </row>
    <row r="775" spans="9:11" x14ac:dyDescent="0.15">
      <c r="I775" s="229" vm="1446">
        <f ca="1"/>
        <v>45240</v>
      </c>
      <c r="J775" s="355" vm="1447">
        <f ca="1"/>
        <v>64.12</v>
      </c>
      <c r="K775" s="229">
        <f ca="1"/>
        <v>2575.4870000000001</v>
      </c>
    </row>
    <row r="776" spans="9:11" x14ac:dyDescent="0.15">
      <c r="I776" s="229" vm="1448">
        <f ca="1"/>
        <v>45243</v>
      </c>
      <c r="J776" s="355" vm="1449">
        <f ca="1"/>
        <v>63.84</v>
      </c>
      <c r="K776" s="229">
        <f ca="1"/>
        <v>2372.3359999999998</v>
      </c>
    </row>
    <row r="777" spans="9:11" x14ac:dyDescent="0.15">
      <c r="I777" s="229" vm="1450">
        <f ca="1"/>
        <v>45244</v>
      </c>
      <c r="J777" s="355" vm="1451">
        <f ca="1"/>
        <v>66.48</v>
      </c>
      <c r="K777" s="229">
        <f ca="1"/>
        <v>3889.547</v>
      </c>
    </row>
    <row r="778" spans="9:11" x14ac:dyDescent="0.15">
      <c r="I778" s="229" vm="1452">
        <f ca="1"/>
        <v>45245</v>
      </c>
      <c r="J778" s="355" vm="951">
        <f ca="1"/>
        <v>68.88</v>
      </c>
      <c r="K778" s="229">
        <f ca="1"/>
        <v>5425.08</v>
      </c>
    </row>
    <row r="779" spans="9:11" x14ac:dyDescent="0.15">
      <c r="I779" s="229" vm="1453">
        <f ca="1"/>
        <v>45246</v>
      </c>
      <c r="J779" s="355" vm="1454">
        <f ca="1"/>
        <v>66.75</v>
      </c>
      <c r="K779" s="229">
        <f ca="1"/>
        <v>4205.3590000000004</v>
      </c>
    </row>
    <row r="780" spans="9:11" x14ac:dyDescent="0.15">
      <c r="I780" s="229" vm="1455">
        <f ca="1"/>
        <v>45247</v>
      </c>
      <c r="J780" s="355" vm="1456">
        <f ca="1"/>
        <v>68.22</v>
      </c>
      <c r="K780" s="229">
        <f ca="1"/>
        <v>4317.3450000000003</v>
      </c>
    </row>
    <row r="781" spans="9:11" x14ac:dyDescent="0.15">
      <c r="I781" s="229" vm="1457">
        <f ca="1"/>
        <v>45250</v>
      </c>
      <c r="J781" s="355" vm="1458">
        <f ca="1"/>
        <v>68.11</v>
      </c>
      <c r="K781" s="229">
        <f ca="1"/>
        <v>5177.241</v>
      </c>
    </row>
    <row r="782" spans="9:11" x14ac:dyDescent="0.15">
      <c r="I782" s="229" vm="1459">
        <f ca="1"/>
        <v>45251</v>
      </c>
      <c r="J782" s="355" vm="1460">
        <f ca="1"/>
        <v>67.62</v>
      </c>
      <c r="K782" s="229">
        <f ca="1"/>
        <v>8199.6170000000002</v>
      </c>
    </row>
    <row r="783" spans="9:11" x14ac:dyDescent="0.15">
      <c r="I783" s="229" vm="1461">
        <f ca="1"/>
        <v>45252</v>
      </c>
      <c r="J783" s="355" vm="1384">
        <f ca="1"/>
        <v>68.03</v>
      </c>
      <c r="K783" s="229">
        <f ca="1"/>
        <v>3632.2860000000001</v>
      </c>
    </row>
    <row r="784" spans="9:11" x14ac:dyDescent="0.15">
      <c r="I784" s="229" vm="1462">
        <f ca="1"/>
        <v>45254</v>
      </c>
      <c r="J784" s="355" vm="1463">
        <f ca="1"/>
        <v>69.510000000000005</v>
      </c>
      <c r="K784" s="229">
        <f ca="1"/>
        <v>1701.461</v>
      </c>
    </row>
    <row r="785" spans="9:11" x14ac:dyDescent="0.15">
      <c r="I785" s="229" vm="1464">
        <f ca="1"/>
        <v>45257</v>
      </c>
      <c r="J785" s="355" vm="1465">
        <f ca="1"/>
        <v>69.36</v>
      </c>
      <c r="K785" s="229">
        <f ca="1"/>
        <v>3034.9659999999999</v>
      </c>
    </row>
    <row r="786" spans="9:11" x14ac:dyDescent="0.15">
      <c r="I786" s="229" vm="1466">
        <f ca="1"/>
        <v>45258</v>
      </c>
      <c r="J786" s="355" vm="1467">
        <f ca="1"/>
        <v>71.02</v>
      </c>
      <c r="K786" s="229">
        <f ca="1"/>
        <v>2951.51</v>
      </c>
    </row>
    <row r="787" spans="9:11" x14ac:dyDescent="0.15">
      <c r="I787" s="229" vm="1468">
        <f ca="1"/>
        <v>45259</v>
      </c>
      <c r="J787" s="355" vm="1469">
        <f ca="1"/>
        <v>70.78</v>
      </c>
      <c r="K787" s="229">
        <f ca="1"/>
        <v>2775.3760000000002</v>
      </c>
    </row>
    <row r="788" spans="9:11" x14ac:dyDescent="0.15">
      <c r="I788" s="229" vm="1470">
        <f ca="1"/>
        <v>45260</v>
      </c>
      <c r="J788" s="355" vm="1471">
        <f ca="1"/>
        <v>70.94</v>
      </c>
      <c r="K788" s="229">
        <f ca="1"/>
        <v>4275.567</v>
      </c>
    </row>
    <row r="789" spans="9:11" x14ac:dyDescent="0.15">
      <c r="I789" s="229" vm="1472">
        <f ca="1"/>
        <v>45261</v>
      </c>
      <c r="J789" s="355" vm="1473">
        <f ca="1"/>
        <v>73.42</v>
      </c>
      <c r="K789" s="229">
        <f ca="1"/>
        <v>3064.9189999999999</v>
      </c>
    </row>
    <row r="790" spans="9:11" x14ac:dyDescent="0.15">
      <c r="I790" s="229" vm="1474">
        <f ca="1"/>
        <v>45264</v>
      </c>
      <c r="J790" s="355" vm="775">
        <f ca="1"/>
        <v>74.69</v>
      </c>
      <c r="K790" s="229">
        <f ca="1"/>
        <v>2916.355</v>
      </c>
    </row>
    <row r="791" spans="9:11" x14ac:dyDescent="0.15">
      <c r="I791" s="229" vm="1475">
        <f ca="1"/>
        <v>45265</v>
      </c>
      <c r="J791" s="355" vm="1476">
        <f ca="1"/>
        <v>74</v>
      </c>
      <c r="K791" s="229">
        <f ca="1"/>
        <v>2759.6239999999998</v>
      </c>
    </row>
    <row r="792" spans="9:11" x14ac:dyDescent="0.15">
      <c r="I792" s="229" vm="1477">
        <f ca="1"/>
        <v>45266</v>
      </c>
      <c r="J792" s="355" vm="1478">
        <f ca="1"/>
        <v>75.09</v>
      </c>
      <c r="K792" s="229">
        <f ca="1"/>
        <v>2595.0810000000001</v>
      </c>
    </row>
    <row r="793" spans="9:11" x14ac:dyDescent="0.15">
      <c r="I793" s="229" vm="1479">
        <f ca="1"/>
        <v>45267</v>
      </c>
      <c r="J793" s="355" vm="1480">
        <f ca="1"/>
        <v>74.56</v>
      </c>
      <c r="K793" s="229">
        <f ca="1"/>
        <v>2824.6869999999999</v>
      </c>
    </row>
    <row r="794" spans="9:11" x14ac:dyDescent="0.15">
      <c r="I794" s="229" vm="1481">
        <f ca="1"/>
        <v>45268</v>
      </c>
      <c r="J794" s="355" vm="1482">
        <f ca="1"/>
        <v>73.989999999999995</v>
      </c>
      <c r="K794" s="229">
        <f ca="1"/>
        <v>2834.0889999999999</v>
      </c>
    </row>
    <row r="795" spans="9:11" x14ac:dyDescent="0.15">
      <c r="I795" s="229" vm="1483">
        <f ca="1"/>
        <v>45271</v>
      </c>
      <c r="J795" s="355" vm="1484">
        <f ca="1"/>
        <v>74.14</v>
      </c>
      <c r="K795" s="229">
        <f ca="1"/>
        <v>3109.6469999999999</v>
      </c>
    </row>
    <row r="796" spans="9:11" x14ac:dyDescent="0.15">
      <c r="I796" s="229" vm="1485">
        <f ca="1"/>
        <v>45272</v>
      </c>
      <c r="J796" s="355" vm="1237">
        <f ca="1"/>
        <v>73.209999999999994</v>
      </c>
      <c r="K796" s="229">
        <f ca="1"/>
        <v>2411.6460000000002</v>
      </c>
    </row>
    <row r="797" spans="9:11" x14ac:dyDescent="0.15">
      <c r="I797" s="229" vm="1486">
        <f ca="1"/>
        <v>45273</v>
      </c>
      <c r="J797" s="355" vm="1487">
        <f ca="1"/>
        <v>72.37</v>
      </c>
      <c r="K797" s="229">
        <f ca="1"/>
        <v>4435.9830000000002</v>
      </c>
    </row>
    <row r="798" spans="9:11" x14ac:dyDescent="0.15">
      <c r="I798" s="229" vm="1488">
        <f ca="1"/>
        <v>45274</v>
      </c>
      <c r="J798" s="355" vm="1489">
        <f ca="1"/>
        <v>77.5</v>
      </c>
      <c r="K798" s="229">
        <f ca="1"/>
        <v>6269.625</v>
      </c>
    </row>
    <row r="799" spans="9:11" x14ac:dyDescent="0.15">
      <c r="I799" s="229" vm="1490">
        <f ca="1"/>
        <v>45275</v>
      </c>
      <c r="J799" s="355" vm="1491">
        <f ca="1"/>
        <v>77.319999999999993</v>
      </c>
      <c r="K799" s="229">
        <f ca="1"/>
        <v>6057.22</v>
      </c>
    </row>
    <row r="800" spans="9:11" x14ac:dyDescent="0.15">
      <c r="I800" s="229" vm="1492">
        <f ca="1"/>
        <v>45278</v>
      </c>
      <c r="J800" s="355" vm="1491">
        <f ca="1"/>
        <v>77.319999999999993</v>
      </c>
      <c r="K800" s="229">
        <f ca="1"/>
        <v>2397.7910000000002</v>
      </c>
    </row>
    <row r="801" spans="9:11" x14ac:dyDescent="0.15">
      <c r="I801" s="229" vm="1493">
        <f ca="1"/>
        <v>45279</v>
      </c>
      <c r="J801" s="355" vm="1494">
        <f ca="1"/>
        <v>77.44</v>
      </c>
      <c r="K801" s="229">
        <f ca="1"/>
        <v>2272.9389999999999</v>
      </c>
    </row>
    <row r="802" spans="9:11" x14ac:dyDescent="0.15">
      <c r="I802" s="229" vm="1495">
        <f ca="1"/>
        <v>45280</v>
      </c>
      <c r="J802" s="355" vm="1496">
        <f ca="1"/>
        <v>75.61</v>
      </c>
      <c r="K802" s="229">
        <f ca="1"/>
        <v>2448.02</v>
      </c>
    </row>
    <row r="803" spans="9:11" x14ac:dyDescent="0.15">
      <c r="I803" s="229" vm="1497">
        <f ca="1"/>
        <v>45281</v>
      </c>
      <c r="J803" s="355" vm="1498">
        <f ca="1"/>
        <v>75.819999999999993</v>
      </c>
      <c r="K803" s="229">
        <f ca="1"/>
        <v>1800.2070000000001</v>
      </c>
    </row>
    <row r="804" spans="9:11" x14ac:dyDescent="0.15">
      <c r="I804" s="229" vm="1499">
        <f ca="1"/>
        <v>45282</v>
      </c>
      <c r="J804" s="355" vm="1500">
        <f ca="1"/>
        <v>76.14</v>
      </c>
      <c r="K804" s="229">
        <f ca="1"/>
        <v>2100.1280000000002</v>
      </c>
    </row>
    <row r="805" spans="9:11" x14ac:dyDescent="0.15">
      <c r="I805" s="229" vm="1501">
        <f ca="1"/>
        <v>45286</v>
      </c>
      <c r="J805" s="355" vm="1502">
        <f ca="1"/>
        <v>77.88</v>
      </c>
      <c r="K805" s="229">
        <f ca="1"/>
        <v>2505.4940000000001</v>
      </c>
    </row>
    <row r="806" spans="9:11" x14ac:dyDescent="0.15">
      <c r="I806" s="229" vm="1503">
        <f ca="1"/>
        <v>45287</v>
      </c>
      <c r="J806" s="355" vm="1504">
        <f ca="1"/>
        <v>77.95</v>
      </c>
      <c r="K806" s="229">
        <f ca="1"/>
        <v>1497.1220000000001</v>
      </c>
    </row>
    <row r="807" spans="9:11" x14ac:dyDescent="0.15">
      <c r="I807" s="229" vm="1505">
        <f ca="1"/>
        <v>45288</v>
      </c>
      <c r="J807" s="355" vm="1506">
        <f ca="1"/>
        <v>78.459999999999994</v>
      </c>
      <c r="K807" s="229">
        <f ca="1"/>
        <v>1470.5050000000001</v>
      </c>
    </row>
    <row r="808" spans="9:11" x14ac:dyDescent="0.15">
      <c r="I808" s="229" vm="1507">
        <f ca="1"/>
        <v>45289</v>
      </c>
      <c r="J808" s="355" vm="1508">
        <f ca="1"/>
        <v>78.28</v>
      </c>
      <c r="K808" s="229">
        <f ca="1"/>
        <v>1834.6590000000001</v>
      </c>
    </row>
    <row r="809" spans="9:11" x14ac:dyDescent="0.15">
      <c r="I809" s="229" vm="1509">
        <f ca="1"/>
        <v>45293</v>
      </c>
      <c r="J809" s="355" vm="1510">
        <f ca="1"/>
        <v>77.260000000000005</v>
      </c>
      <c r="K809" s="229">
        <f ca="1"/>
        <v>3204.355</v>
      </c>
    </row>
    <row r="810" spans="9:11" x14ac:dyDescent="0.15">
      <c r="I810" s="229" vm="1511">
        <f ca="1"/>
        <v>45294</v>
      </c>
      <c r="J810" s="355" vm="1512">
        <f ca="1"/>
        <v>75.430000000000007</v>
      </c>
      <c r="K810" s="229">
        <f ca="1"/>
        <v>2116.7570000000001</v>
      </c>
    </row>
    <row r="811" spans="9:11" x14ac:dyDescent="0.15">
      <c r="I811" s="229" vm="1513">
        <f ca="1"/>
        <v>45295</v>
      </c>
      <c r="J811" s="355" vm="1514">
        <f ca="1"/>
        <v>75.3</v>
      </c>
      <c r="K811" s="229">
        <f ca="1"/>
        <v>1890.479</v>
      </c>
    </row>
    <row r="812" spans="9:11" x14ac:dyDescent="0.15">
      <c r="I812" s="229" vm="1515">
        <f ca="1"/>
        <v>45296</v>
      </c>
      <c r="J812" s="355" vm="1516">
        <f ca="1"/>
        <v>75.83</v>
      </c>
      <c r="K812" s="229">
        <f ca="1"/>
        <v>3027.2440000000001</v>
      </c>
    </row>
    <row r="813" spans="9:11" x14ac:dyDescent="0.15">
      <c r="I813" s="229" vm="1517">
        <f ca="1"/>
        <v>45299</v>
      </c>
      <c r="J813" s="355" vm="1518">
        <f ca="1"/>
        <v>75.540000000000006</v>
      </c>
      <c r="K813" s="229">
        <f ca="1"/>
        <v>2346.1770000000001</v>
      </c>
    </row>
    <row r="814" spans="9:11" x14ac:dyDescent="0.15">
      <c r="I814" s="229" vm="1519">
        <f ca="1"/>
        <v>45300</v>
      </c>
      <c r="J814" s="355" vm="1520">
        <f ca="1"/>
        <v>75.16</v>
      </c>
      <c r="K814" s="229">
        <f ca="1"/>
        <v>2653.0520000000001</v>
      </c>
    </row>
    <row r="815" spans="9:11" x14ac:dyDescent="0.15">
      <c r="I815" s="229" vm="1521">
        <f ca="1"/>
        <v>45301</v>
      </c>
      <c r="J815" s="355" vm="1126">
        <f ca="1"/>
        <v>75.77</v>
      </c>
      <c r="K815" s="229">
        <f ca="1"/>
        <v>1757.33</v>
      </c>
    </row>
    <row r="816" spans="9:11" x14ac:dyDescent="0.15">
      <c r="I816" s="229" vm="1522">
        <f ca="1"/>
        <v>45302</v>
      </c>
      <c r="J816" s="355" vm="1523">
        <f ca="1"/>
        <v>74.650000000000006</v>
      </c>
      <c r="K816" s="229">
        <f ca="1"/>
        <v>2447.8290000000002</v>
      </c>
    </row>
    <row r="817" spans="9:11" x14ac:dyDescent="0.15">
      <c r="I817" s="229" vm="1524">
        <f ca="1"/>
        <v>45303</v>
      </c>
      <c r="J817" s="355" vm="1525">
        <f ca="1"/>
        <v>73.86</v>
      </c>
      <c r="K817" s="229">
        <f ca="1"/>
        <v>2383.4989999999998</v>
      </c>
    </row>
    <row r="818" spans="9:11" x14ac:dyDescent="0.15">
      <c r="I818" s="229" vm="1526">
        <f ca="1"/>
        <v>45307</v>
      </c>
      <c r="J818" s="355" vm="1527">
        <f ca="1"/>
        <v>71.86</v>
      </c>
      <c r="K818" s="229">
        <f ca="1"/>
        <v>2970.7840000000001</v>
      </c>
    </row>
    <row r="819" spans="9:11" x14ac:dyDescent="0.15">
      <c r="I819" s="229" vm="1528">
        <f ca="1"/>
        <v>45308</v>
      </c>
      <c r="J819" s="355" vm="800">
        <f ca="1"/>
        <v>71.14</v>
      </c>
      <c r="K819" s="229">
        <f ca="1"/>
        <v>2364.018</v>
      </c>
    </row>
    <row r="820" spans="9:11" x14ac:dyDescent="0.15">
      <c r="I820" s="229" vm="1529">
        <f ca="1"/>
        <v>45309</v>
      </c>
      <c r="J820" s="355" vm="1471">
        <f ca="1"/>
        <v>70.94</v>
      </c>
      <c r="K820" s="229">
        <f ca="1"/>
        <v>2296.5479999999998</v>
      </c>
    </row>
    <row r="821" spans="9:11" x14ac:dyDescent="0.15">
      <c r="I821" s="229" vm="1530">
        <f ca="1"/>
        <v>45310</v>
      </c>
      <c r="J821" s="355" vm="1531">
        <f ca="1"/>
        <v>71</v>
      </c>
      <c r="K821" s="229">
        <f ca="1"/>
        <v>2219.1889999999999</v>
      </c>
    </row>
    <row r="822" spans="9:11" x14ac:dyDescent="0.15">
      <c r="I822" s="229" vm="1532">
        <f ca="1"/>
        <v>45313</v>
      </c>
      <c r="J822" s="355" vm="1533">
        <f ca="1"/>
        <v>73.489999999999995</v>
      </c>
      <c r="K822" s="229">
        <f ca="1"/>
        <v>3636.6</v>
      </c>
    </row>
    <row r="823" spans="9:11" x14ac:dyDescent="0.15">
      <c r="I823" s="229" vm="1534">
        <f ca="1"/>
        <v>45314</v>
      </c>
      <c r="J823" s="355" vm="1535">
        <f ca="1"/>
        <v>73.069999999999993</v>
      </c>
      <c r="K823" s="229">
        <f ca="1"/>
        <v>2492.2579999999998</v>
      </c>
    </row>
    <row r="824" spans="9:11" x14ac:dyDescent="0.15">
      <c r="I824" s="229" vm="1536">
        <f ca="1"/>
        <v>45315</v>
      </c>
      <c r="J824" s="355" vm="1537">
        <f ca="1"/>
        <v>73.33</v>
      </c>
      <c r="K824" s="229">
        <f ca="1"/>
        <v>1917.933</v>
      </c>
    </row>
    <row r="825" spans="9:11" x14ac:dyDescent="0.15">
      <c r="I825" s="229" vm="1538">
        <f ca="1"/>
        <v>45316</v>
      </c>
      <c r="J825" s="355" vm="1539">
        <f ca="1"/>
        <v>75.209999999999994</v>
      </c>
      <c r="K825" s="229">
        <f ca="1"/>
        <v>3480.462</v>
      </c>
    </row>
    <row r="826" spans="9:11" x14ac:dyDescent="0.15">
      <c r="I826" s="229" vm="1540">
        <f ca="1"/>
        <v>45317</v>
      </c>
      <c r="J826" s="355" vm="1541">
        <f ca="1"/>
        <v>74.819999999999993</v>
      </c>
      <c r="K826" s="229">
        <f ca="1"/>
        <v>1973.2090000000001</v>
      </c>
    </row>
    <row r="827" spans="9:11" x14ac:dyDescent="0.15">
      <c r="I827" s="229" vm="1542">
        <f ca="1"/>
        <v>45320</v>
      </c>
      <c r="J827" s="355" vm="804">
        <f ca="1"/>
        <v>73.34</v>
      </c>
      <c r="K827" s="229">
        <f ca="1"/>
        <v>3007.8420000000001</v>
      </c>
    </row>
    <row r="828" spans="9:11" x14ac:dyDescent="0.15">
      <c r="I828" s="229" vm="1543">
        <f ca="1"/>
        <v>45321</v>
      </c>
      <c r="J828" s="355" vm="727">
        <f ca="1"/>
        <v>73.319999999999993</v>
      </c>
      <c r="K828" s="229">
        <f ca="1"/>
        <v>2442.1979999999999</v>
      </c>
    </row>
    <row r="829" spans="9:11" x14ac:dyDescent="0.15">
      <c r="I829" s="229" vm="1544">
        <f ca="1"/>
        <v>45322</v>
      </c>
      <c r="J829" s="355" vm="1545">
        <f ca="1"/>
        <v>72.489999999999995</v>
      </c>
      <c r="K829" s="229">
        <f ca="1"/>
        <v>9978.8940000000002</v>
      </c>
    </row>
    <row r="830" spans="9:11" x14ac:dyDescent="0.15">
      <c r="I830" s="229" vm="1546">
        <f ca="1"/>
        <v>45323</v>
      </c>
      <c r="J830" s="355" vm="1247">
        <f ca="1"/>
        <v>75.239999999999995</v>
      </c>
      <c r="K830" s="229">
        <f ca="1"/>
        <v>2374.54</v>
      </c>
    </row>
    <row r="831" spans="9:11" x14ac:dyDescent="0.15">
      <c r="I831" s="229" vm="1547">
        <f ca="1"/>
        <v>45324</v>
      </c>
      <c r="J831" s="355" vm="828">
        <f ca="1"/>
        <v>75.69</v>
      </c>
      <c r="K831" s="229">
        <f ca="1"/>
        <v>2399.692</v>
      </c>
    </row>
    <row r="832" spans="9:11" x14ac:dyDescent="0.15">
      <c r="I832" s="229" vm="1548">
        <f ca="1"/>
        <v>45327</v>
      </c>
      <c r="J832" s="355" vm="1549">
        <f ca="1"/>
        <v>74.209999999999994</v>
      </c>
      <c r="K832" s="229">
        <f ca="1"/>
        <v>1859.7370000000001</v>
      </c>
    </row>
    <row r="833" spans="9:11" x14ac:dyDescent="0.15">
      <c r="I833" s="229" vm="1550">
        <f ca="1"/>
        <v>45328</v>
      </c>
      <c r="J833" s="355" vm="1128">
        <f ca="1"/>
        <v>74.84</v>
      </c>
      <c r="K833" s="229">
        <f ca="1"/>
        <v>1683.703</v>
      </c>
    </row>
    <row r="834" spans="9:11" x14ac:dyDescent="0.15">
      <c r="I834" s="229" vm="1551">
        <f ca="1"/>
        <v>45329</v>
      </c>
      <c r="J834" s="355" vm="1552">
        <f ca="1"/>
        <v>75.48</v>
      </c>
      <c r="K834" s="229">
        <f ca="1"/>
        <v>2014.5419999999999</v>
      </c>
    </row>
    <row r="835" spans="9:11" x14ac:dyDescent="0.15">
      <c r="I835" s="229" vm="1553">
        <f ca="1"/>
        <v>45330</v>
      </c>
      <c r="J835" s="355" vm="1554">
        <f ca="1"/>
        <v>75.489999999999995</v>
      </c>
      <c r="K835" s="229">
        <f ca="1"/>
        <v>1877.548</v>
      </c>
    </row>
    <row r="836" spans="9:11" x14ac:dyDescent="0.15">
      <c r="I836" s="229" vm="1555">
        <f ca="1"/>
        <v>45331</v>
      </c>
      <c r="J836" s="355" vm="971">
        <f ca="1"/>
        <v>75.599999999999994</v>
      </c>
      <c r="K836" s="229">
        <f ca="1"/>
        <v>1532.922</v>
      </c>
    </row>
    <row r="837" spans="9:11" x14ac:dyDescent="0.15">
      <c r="I837" s="229" vm="1556">
        <f ca="1"/>
        <v>45334</v>
      </c>
      <c r="J837" s="355" vm="1557">
        <f ca="1"/>
        <v>75.92</v>
      </c>
      <c r="K837" s="229">
        <f ca="1"/>
        <v>2578</v>
      </c>
    </row>
    <row r="838" spans="9:11" x14ac:dyDescent="0.15">
      <c r="I838" s="229" vm="1558">
        <f ca="1"/>
        <v>45335</v>
      </c>
      <c r="J838" s="355" vm="1235">
        <f ca="1"/>
        <v>72.900000000000006</v>
      </c>
      <c r="K838" s="229">
        <f ca="1"/>
        <v>2719.7179999999998</v>
      </c>
    </row>
    <row r="839" spans="9:11" x14ac:dyDescent="0.15">
      <c r="I839" s="229" vm="1559">
        <f ca="1"/>
        <v>45336</v>
      </c>
      <c r="J839" s="355" vm="1560">
        <f ca="1"/>
        <v>74.599999999999994</v>
      </c>
      <c r="K839" s="229">
        <f ca="1"/>
        <v>2427.0509999999999</v>
      </c>
    </row>
    <row r="840" spans="9:11" x14ac:dyDescent="0.15">
      <c r="I840" s="229" vm="1561">
        <f ca="1"/>
        <v>45337</v>
      </c>
      <c r="J840" s="355" vm="1523">
        <f ca="1"/>
        <v>74.650000000000006</v>
      </c>
      <c r="K840" s="229">
        <f ca="1"/>
        <v>1873.7750000000001</v>
      </c>
    </row>
    <row r="841" spans="9:11" x14ac:dyDescent="0.15">
      <c r="I841" s="229" vm="1562">
        <f ca="1"/>
        <v>45338</v>
      </c>
      <c r="J841" s="355" vm="1563">
        <f ca="1"/>
        <v>73.75</v>
      </c>
      <c r="K841" s="229">
        <f ca="1"/>
        <v>1919.827</v>
      </c>
    </row>
    <row r="842" spans="9:11" x14ac:dyDescent="0.15">
      <c r="I842" s="229" vm="1564">
        <f ca="1"/>
        <v>45342</v>
      </c>
      <c r="J842" s="355" vm="1565">
        <f ca="1"/>
        <v>73.27</v>
      </c>
      <c r="K842" s="229">
        <f ca="1"/>
        <v>3180.2860000000001</v>
      </c>
    </row>
    <row r="843" spans="9:11" x14ac:dyDescent="0.15">
      <c r="I843" s="229" vm="1566">
        <f ca="1"/>
        <v>45343</v>
      </c>
      <c r="J843" s="355" vm="1567">
        <f ca="1"/>
        <v>74.12</v>
      </c>
      <c r="K843" s="229">
        <f ca="1"/>
        <v>1821.385</v>
      </c>
    </row>
    <row r="844" spans="9:11" x14ac:dyDescent="0.15">
      <c r="I844" s="229" vm="1568">
        <f ca="1"/>
        <v>45344</v>
      </c>
      <c r="J844" s="355" vm="1539">
        <f ca="1"/>
        <v>75.209999999999994</v>
      </c>
      <c r="K844" s="229">
        <f ca="1"/>
        <v>1791.4269999999999</v>
      </c>
    </row>
    <row r="845" spans="9:11" x14ac:dyDescent="0.15">
      <c r="I845" s="229" vm="1569">
        <f ca="1"/>
        <v>45345</v>
      </c>
      <c r="J845" s="355" vm="1158">
        <f ca="1"/>
        <v>76.28</v>
      </c>
      <c r="K845" s="229">
        <f ca="1"/>
        <v>1896.0129999999999</v>
      </c>
    </row>
    <row r="846" spans="9:11" x14ac:dyDescent="0.15">
      <c r="I846" s="229" vm="1570">
        <f ca="1"/>
        <v>45348</v>
      </c>
      <c r="J846" s="355" vm="1353">
        <f ca="1"/>
        <v>76.45</v>
      </c>
      <c r="K846" s="229">
        <f ca="1"/>
        <v>2426.4580000000001</v>
      </c>
    </row>
    <row r="847" spans="9:11" x14ac:dyDescent="0.15">
      <c r="I847" s="229" vm="1571">
        <f ca="1"/>
        <v>45349</v>
      </c>
      <c r="J847" s="355" vm="1572">
        <f ca="1"/>
        <v>79.06</v>
      </c>
      <c r="K847" s="229">
        <f ca="1"/>
        <v>3756.6329999999998</v>
      </c>
    </row>
    <row r="848" spans="9:11" x14ac:dyDescent="0.15">
      <c r="I848" s="229" vm="1573">
        <f ca="1"/>
        <v>45350</v>
      </c>
      <c r="J848" s="355" vm="1574">
        <f ca="1"/>
        <v>79.680000000000007</v>
      </c>
      <c r="K848" s="229">
        <f ca="1"/>
        <v>4756.1570000000002</v>
      </c>
    </row>
    <row r="849" spans="9:11" x14ac:dyDescent="0.15">
      <c r="I849" s="229" vm="1575">
        <f ca="1"/>
        <v>45351</v>
      </c>
      <c r="J849" s="355" vm="1576">
        <f ca="1"/>
        <v>80.88</v>
      </c>
      <c r="K849" s="229">
        <f ca="1"/>
        <v>9020.6679999999997</v>
      </c>
    </row>
    <row r="850" spans="9:11" x14ac:dyDescent="0.15">
      <c r="I850" s="229" vm="1577">
        <f ca="1"/>
        <v>45352</v>
      </c>
      <c r="J850" s="355" vm="1578">
        <f ca="1"/>
        <v>77.92</v>
      </c>
      <c r="K850" s="229">
        <f ca="1"/>
        <v>4911.8270000000002</v>
      </c>
    </row>
    <row r="851" spans="9:11" x14ac:dyDescent="0.15">
      <c r="I851" s="229" vm="1579">
        <f ca="1"/>
        <v>45355</v>
      </c>
      <c r="J851" s="355" vm="1580">
        <f ca="1"/>
        <v>77.540000000000006</v>
      </c>
      <c r="K851" s="229">
        <f ca="1"/>
        <v>4453.1540000000005</v>
      </c>
    </row>
    <row r="852" spans="9:11" x14ac:dyDescent="0.15">
      <c r="I852" s="229" vm="1581">
        <f ca="1"/>
        <v>45356</v>
      </c>
      <c r="J852" s="355" vm="1582">
        <f ca="1"/>
        <v>75.959999999999994</v>
      </c>
      <c r="K852" s="229">
        <f ca="1"/>
        <v>5229.2089999999998</v>
      </c>
    </row>
    <row r="853" spans="9:11" x14ac:dyDescent="0.15">
      <c r="I853" s="229" vm="1583">
        <f ca="1"/>
        <v>45357</v>
      </c>
      <c r="J853" s="355" vm="1584">
        <f ca="1"/>
        <v>78.209999999999994</v>
      </c>
      <c r="K853" s="229">
        <f ca="1"/>
        <v>4223.5680000000002</v>
      </c>
    </row>
    <row r="854" spans="9:11" x14ac:dyDescent="0.15">
      <c r="I854" s="229" vm="1585">
        <f ca="1"/>
        <v>45358</v>
      </c>
      <c r="J854" s="355" vm="1586">
        <f ca="1"/>
        <v>79.52</v>
      </c>
      <c r="K854" s="229">
        <f ca="1"/>
        <v>2773.306</v>
      </c>
    </row>
    <row r="855" spans="9:11" x14ac:dyDescent="0.15">
      <c r="I855" s="229" vm="1587">
        <f ca="1"/>
        <v>45359</v>
      </c>
      <c r="J855" s="355" vm="1588">
        <f ca="1"/>
        <v>78.58</v>
      </c>
      <c r="K855" s="229">
        <f ca="1"/>
        <v>3295.8789999999999</v>
      </c>
    </row>
    <row r="856" spans="9:11" x14ac:dyDescent="0.15">
      <c r="I856" s="229" vm="1589">
        <f ca="1"/>
        <v>45362</v>
      </c>
      <c r="J856" s="355" vm="1249">
        <f ca="1"/>
        <v>76.400000000000006</v>
      </c>
      <c r="K856" s="229">
        <f ca="1"/>
        <v>2455.982</v>
      </c>
    </row>
    <row r="857" spans="9:11" x14ac:dyDescent="0.15">
      <c r="I857" s="229" vm="1590">
        <f ca="1"/>
        <v>45363</v>
      </c>
      <c r="J857" s="355" vm="1591">
        <f ca="1"/>
        <v>77.34</v>
      </c>
      <c r="K857" s="229">
        <f ca="1"/>
        <v>2825.0790000000002</v>
      </c>
    </row>
    <row r="858" spans="9:11" x14ac:dyDescent="0.15">
      <c r="I858" s="229" vm="1592">
        <f ca="1"/>
        <v>45364</v>
      </c>
      <c r="J858" s="355" vm="1593">
        <f ca="1"/>
        <v>77.52</v>
      </c>
      <c r="K858" s="229">
        <f ca="1"/>
        <v>2517.6460000000002</v>
      </c>
    </row>
    <row r="859" spans="9:11" x14ac:dyDescent="0.15">
      <c r="I859" s="229" vm="1594">
        <f ca="1"/>
        <v>45365</v>
      </c>
      <c r="J859" s="355" vm="1595">
        <f ca="1"/>
        <v>77.459999999999994</v>
      </c>
      <c r="K859" s="229">
        <f ca="1"/>
        <v>2685.623</v>
      </c>
    </row>
    <row r="860" spans="9:11" x14ac:dyDescent="0.15">
      <c r="I860" s="229" vm="1596">
        <f ca="1"/>
        <v>45366</v>
      </c>
      <c r="J860" s="355" vm="1597">
        <f ca="1"/>
        <v>78.02</v>
      </c>
      <c r="K860" s="229">
        <f ca="1"/>
        <v>8646.9330000000009</v>
      </c>
    </row>
    <row r="861" spans="9:11" x14ac:dyDescent="0.15">
      <c r="I861" s="229" vm="1598">
        <f ca="1"/>
        <v>45369</v>
      </c>
      <c r="J861" s="355" vm="1599">
        <f ca="1"/>
        <v>77.13</v>
      </c>
      <c r="K861" s="229">
        <f ca="1"/>
        <v>3451.7550000000001</v>
      </c>
    </row>
    <row r="862" spans="9:11" x14ac:dyDescent="0.15">
      <c r="I862" s="229" vm="1600">
        <f ca="1"/>
        <v>45370</v>
      </c>
      <c r="J862" s="355" vm="1601">
        <f ca="1"/>
        <v>78.23</v>
      </c>
      <c r="K862" s="229">
        <f ca="1"/>
        <v>3597.1750000000002</v>
      </c>
    </row>
    <row r="863" spans="9:11" x14ac:dyDescent="0.15">
      <c r="I863" s="229" vm="1602">
        <f ca="1"/>
        <v>45371</v>
      </c>
      <c r="J863" s="355" vm="1337">
        <f ca="1"/>
        <v>78.59</v>
      </c>
      <c r="K863" s="229">
        <f ca="1"/>
        <v>4083.7919999999999</v>
      </c>
    </row>
    <row r="864" spans="9:11" x14ac:dyDescent="0.15">
      <c r="I864" s="229" vm="1603">
        <f ca="1"/>
        <v>45372</v>
      </c>
      <c r="J864" s="355" vm="1604">
        <f ca="1"/>
        <v>80.44</v>
      </c>
      <c r="K864" s="229">
        <f ca="1"/>
        <v>4898.1139999999996</v>
      </c>
    </row>
    <row r="865" spans="9:11" x14ac:dyDescent="0.15">
      <c r="I865" s="229" vm="1605">
        <f ca="1"/>
        <v>45373</v>
      </c>
      <c r="J865" s="355" vm="1606">
        <f ca="1"/>
        <v>81.66</v>
      </c>
      <c r="K865" s="229">
        <f ca="1"/>
        <v>4950.0150000000003</v>
      </c>
    </row>
    <row r="866" spans="9:11" x14ac:dyDescent="0.15">
      <c r="I866" s="229" vm="1607">
        <f ca="1"/>
        <v>45376</v>
      </c>
      <c r="J866" s="355" vm="1608">
        <f ca="1"/>
        <v>80.72</v>
      </c>
      <c r="K866" s="229">
        <f ca="1"/>
        <v>2813.7109999999998</v>
      </c>
    </row>
    <row r="867" spans="9:11" x14ac:dyDescent="0.15">
      <c r="I867" s="229" vm="1609">
        <f ca="1"/>
        <v>45377</v>
      </c>
      <c r="J867" s="355" vm="735">
        <f ca="1"/>
        <v>80.06</v>
      </c>
      <c r="K867" s="229">
        <f ca="1"/>
        <v>2106.6689999999999</v>
      </c>
    </row>
    <row r="868" spans="9:11" x14ac:dyDescent="0.15">
      <c r="I868" s="229" vm="1610">
        <f ca="1"/>
        <v>45378</v>
      </c>
      <c r="J868" s="355" vm="1611">
        <f ca="1"/>
        <v>81.87</v>
      </c>
      <c r="K868" s="229">
        <f ca="1"/>
        <v>3906.8119999999999</v>
      </c>
    </row>
    <row r="869" spans="9:11" x14ac:dyDescent="0.15">
      <c r="I869" s="229" vm="1612">
        <f ca="1"/>
        <v>45379</v>
      </c>
      <c r="J869" s="355" vm="1613">
        <f ca="1"/>
        <v>82.03</v>
      </c>
      <c r="K869" s="229">
        <f ca="1"/>
        <v>2571.2759999999998</v>
      </c>
    </row>
    <row r="870" spans="9:11" x14ac:dyDescent="0.15">
      <c r="I870" s="229" vm="1614">
        <f ca="1"/>
        <v>45383</v>
      </c>
      <c r="J870" s="355" vm="1615">
        <f ca="1"/>
        <v>81.64</v>
      </c>
      <c r="K870" s="229">
        <f ca="1"/>
        <v>1888.154</v>
      </c>
    </row>
    <row r="871" spans="9:11" x14ac:dyDescent="0.15">
      <c r="I871" s="229" vm="1616">
        <f ca="1"/>
        <v>45384</v>
      </c>
      <c r="J871" s="355" vm="1029">
        <f ca="1"/>
        <v>80.17</v>
      </c>
      <c r="K871" s="229">
        <f ca="1"/>
        <v>2020.327</v>
      </c>
    </row>
    <row r="872" spans="9:11" x14ac:dyDescent="0.15">
      <c r="I872" s="229" vm="1617">
        <f ca="1"/>
        <v>45385</v>
      </c>
      <c r="J872" s="355" vm="1618">
        <f ca="1"/>
        <v>79.31</v>
      </c>
      <c r="K872" s="229">
        <f ca="1"/>
        <v>2063.047</v>
      </c>
    </row>
    <row r="873" spans="9:11" x14ac:dyDescent="0.15">
      <c r="I873" s="229" vm="1619">
        <f ca="1"/>
        <v>45386</v>
      </c>
      <c r="J873" s="355" vm="1122">
        <f ca="1"/>
        <v>79</v>
      </c>
      <c r="K873" s="229">
        <f ca="1"/>
        <v>2252.6729999999998</v>
      </c>
    </row>
    <row r="874" spans="9:11" x14ac:dyDescent="0.15">
      <c r="I874" s="229" vm="1620">
        <f ca="1"/>
        <v>45387</v>
      </c>
      <c r="J874" s="355" vm="1621">
        <f ca="1"/>
        <v>79.61</v>
      </c>
      <c r="K874" s="229">
        <f ca="1"/>
        <v>1680.105</v>
      </c>
    </row>
    <row r="875" spans="9:11" x14ac:dyDescent="0.15">
      <c r="I875" s="229" vm="1622">
        <f ca="1"/>
        <v>45390</v>
      </c>
      <c r="J875" s="355" vm="1623">
        <f ca="1"/>
        <v>80.14</v>
      </c>
      <c r="K875" s="229">
        <f ca="1"/>
        <v>2444.2840000000001</v>
      </c>
    </row>
    <row r="876" spans="9:11" x14ac:dyDescent="0.15">
      <c r="I876" s="229" vm="1624">
        <f ca="1"/>
        <v>45391</v>
      </c>
      <c r="J876" s="355" vm="1625">
        <f ca="1"/>
        <v>82.55</v>
      </c>
      <c r="K876" s="229">
        <f ca="1"/>
        <v>3370.902</v>
      </c>
    </row>
    <row r="877" spans="9:11" x14ac:dyDescent="0.15">
      <c r="I877" s="229" vm="1626">
        <f ca="1"/>
        <v>45392</v>
      </c>
      <c r="J877" s="355" vm="1627">
        <f ca="1"/>
        <v>79.89</v>
      </c>
      <c r="K877" s="229">
        <f ca="1"/>
        <v>4456.723</v>
      </c>
    </row>
    <row r="878" spans="9:11" x14ac:dyDescent="0.15">
      <c r="I878" s="229" vm="1628">
        <f ca="1"/>
        <v>45393</v>
      </c>
      <c r="J878" s="355" vm="1629">
        <f ca="1"/>
        <v>80.010000000000005</v>
      </c>
      <c r="K878" s="229">
        <f ca="1"/>
        <v>2461.6089999999999</v>
      </c>
    </row>
    <row r="879" spans="9:11" x14ac:dyDescent="0.15">
      <c r="I879" s="229" vm="1630">
        <f ca="1"/>
        <v>45394</v>
      </c>
      <c r="J879" s="355" vm="1631">
        <f ca="1"/>
        <v>78</v>
      </c>
      <c r="K879" s="229">
        <f ca="1"/>
        <v>2710.6370000000002</v>
      </c>
    </row>
    <row r="880" spans="9:11" x14ac:dyDescent="0.15">
      <c r="I880" s="229" vm="1632">
        <f ca="1"/>
        <v>45397</v>
      </c>
      <c r="J880" s="355" vm="830">
        <f ca="1"/>
        <v>76.290000000000006</v>
      </c>
      <c r="K880" s="229">
        <f ca="1"/>
        <v>3084.6959999999999</v>
      </c>
    </row>
    <row r="881" spans="9:11" x14ac:dyDescent="0.15">
      <c r="I881" s="229" vm="1633">
        <f ca="1"/>
        <v>45398</v>
      </c>
      <c r="J881" s="355" vm="1634">
        <f ca="1"/>
        <v>75.17</v>
      </c>
      <c r="K881" s="229">
        <f ca="1"/>
        <v>3936.7269999999999</v>
      </c>
    </row>
    <row r="882" spans="9:11" x14ac:dyDescent="0.15">
      <c r="I882" s="229" vm="1635">
        <f ca="1"/>
        <v>45399</v>
      </c>
      <c r="J882" s="355" vm="1636">
        <f ca="1"/>
        <v>76.23</v>
      </c>
      <c r="K882" s="229">
        <f ca="1"/>
        <v>2307.4949999999999</v>
      </c>
    </row>
    <row r="883" spans="9:11" x14ac:dyDescent="0.15">
      <c r="I883" s="229" vm="1637">
        <f ca="1"/>
        <v>45400</v>
      </c>
      <c r="J883" s="355" vm="1638">
        <f ca="1"/>
        <v>76</v>
      </c>
      <c r="K883" s="229">
        <f ca="1"/>
        <v>1659.9179999999999</v>
      </c>
    </row>
    <row r="884" spans="9:11" x14ac:dyDescent="0.15">
      <c r="I884" s="229" vm="1639">
        <f ca="1"/>
        <v>45401</v>
      </c>
      <c r="J884" s="355" vm="1640">
        <f ca="1"/>
        <v>76.150000000000006</v>
      </c>
      <c r="K884" s="229">
        <f ca="1"/>
        <v>1368.396</v>
      </c>
    </row>
    <row r="885" spans="9:11" x14ac:dyDescent="0.15">
      <c r="I885" s="229" vm="1641">
        <f ca="1"/>
        <v>45404</v>
      </c>
      <c r="J885" s="355" vm="1642">
        <f ca="1"/>
        <v>75.12</v>
      </c>
      <c r="K885" s="229">
        <f ca="1"/>
        <v>2504.837</v>
      </c>
    </row>
    <row r="886" spans="9:11" x14ac:dyDescent="0.15">
      <c r="I886" s="229" vm="1643">
        <f ca="1"/>
        <v>45405</v>
      </c>
      <c r="J886" s="355" vm="1644">
        <f ca="1"/>
        <v>75.040000000000006</v>
      </c>
      <c r="K886" s="229">
        <f ca="1"/>
        <v>2412.0859999999998</v>
      </c>
    </row>
    <row r="887" spans="9:11" x14ac:dyDescent="0.15">
      <c r="I887" s="229" vm="1645">
        <f ca="1"/>
        <v>45406</v>
      </c>
      <c r="J887" s="355" vm="1646">
        <f ca="1"/>
        <v>74.430000000000007</v>
      </c>
      <c r="K887" s="229">
        <f ca="1"/>
        <v>3495.0430000000001</v>
      </c>
    </row>
    <row r="888" spans="9:11" x14ac:dyDescent="0.15">
      <c r="I888" s="229" vm="1647">
        <f ca="1"/>
        <v>45407</v>
      </c>
      <c r="J888" s="355" vm="1247">
        <f ca="1"/>
        <v>75.239999999999995</v>
      </c>
      <c r="K888" s="229">
        <f ca="1"/>
        <v>1857.8309999999999</v>
      </c>
    </row>
    <row r="889" spans="9:11" x14ac:dyDescent="0.15">
      <c r="I889" s="229" vm="1648">
        <f ca="1"/>
        <v>45408</v>
      </c>
      <c r="J889" s="355" vm="1649">
        <f ca="1"/>
        <v>75.05</v>
      </c>
      <c r="K889" s="229">
        <f ca="1"/>
        <v>2125.2890000000002</v>
      </c>
    </row>
    <row r="890" spans="9:11" x14ac:dyDescent="0.15">
      <c r="I890" s="229" vm="1650">
        <f ca="1"/>
        <v>45411</v>
      </c>
      <c r="J890" s="355" vm="1651">
        <f ca="1"/>
        <v>75</v>
      </c>
      <c r="K890" s="229">
        <f ca="1"/>
        <v>1859.1089999999999</v>
      </c>
    </row>
    <row r="891" spans="9:11" x14ac:dyDescent="0.15">
      <c r="I891" s="229" vm="1652">
        <f ca="1"/>
        <v>45412</v>
      </c>
      <c r="J891" s="355" vm="1653">
        <f ca="1"/>
        <v>73.64</v>
      </c>
      <c r="K891" s="229">
        <f ca="1"/>
        <v>3431.1309999999999</v>
      </c>
    </row>
    <row r="892" spans="9:11" x14ac:dyDescent="0.15">
      <c r="I892" s="229" vm="1654">
        <f ca="1"/>
        <v>45413</v>
      </c>
      <c r="J892" s="355" vm="965">
        <f ca="1"/>
        <v>72.03</v>
      </c>
      <c r="K892" s="229">
        <f ca="1"/>
        <v>2466.3620000000001</v>
      </c>
    </row>
    <row r="893" spans="9:11" x14ac:dyDescent="0.15">
      <c r="I893" s="229" vm="1655">
        <f ca="1"/>
        <v>45414</v>
      </c>
      <c r="J893" s="355" vm="1656">
        <f ca="1"/>
        <v>72.44</v>
      </c>
      <c r="K893" s="229">
        <f ca="1"/>
        <v>1894.2270000000001</v>
      </c>
    </row>
    <row r="894" spans="9:11" x14ac:dyDescent="0.15">
      <c r="I894" s="229" vm="1657">
        <f ca="1"/>
        <v>45415</v>
      </c>
      <c r="J894" s="355" vm="1658">
        <f ca="1"/>
        <v>74.47</v>
      </c>
      <c r="K894" s="229">
        <f ca="1"/>
        <v>2058.529</v>
      </c>
    </row>
    <row r="895" spans="9:11" x14ac:dyDescent="0.15">
      <c r="I895" s="229" vm="1659">
        <f ca="1"/>
        <v>45418</v>
      </c>
      <c r="J895" s="355" vm="1660">
        <f ca="1"/>
        <v>74.400000000000006</v>
      </c>
      <c r="K895" s="229">
        <f ca="1"/>
        <v>2066.1640000000002</v>
      </c>
    </row>
    <row r="896" spans="9:11" x14ac:dyDescent="0.15">
      <c r="I896" s="229" vm="1661">
        <f ca="1"/>
        <v>45419</v>
      </c>
      <c r="J896" s="355" vm="1662">
        <f ca="1"/>
        <v>73.06</v>
      </c>
      <c r="K896" s="229">
        <f ca="1"/>
        <v>2615.337</v>
      </c>
    </row>
    <row r="897" spans="9:11" x14ac:dyDescent="0.15">
      <c r="I897" s="229" vm="1663">
        <f ca="1"/>
        <v>45420</v>
      </c>
      <c r="J897" s="355" vm="1362">
        <f ca="1"/>
        <v>73.23</v>
      </c>
      <c r="K897" s="229">
        <f ca="1"/>
        <v>1699.674</v>
      </c>
    </row>
    <row r="898" spans="9:11" x14ac:dyDescent="0.15">
      <c r="I898" s="229" vm="1664">
        <f ca="1"/>
        <v>45421</v>
      </c>
      <c r="J898" s="355" vm="1665">
        <f ca="1"/>
        <v>74.16</v>
      </c>
      <c r="K898" s="229">
        <f ca="1"/>
        <v>1284.0350000000001</v>
      </c>
    </row>
    <row r="899" spans="9:11" x14ac:dyDescent="0.15">
      <c r="I899" s="229" vm="1666">
        <f ca="1"/>
        <v>45422</v>
      </c>
      <c r="J899" s="355" vm="1667">
        <f ca="1"/>
        <v>74.17</v>
      </c>
      <c r="K899" s="229">
        <f ca="1"/>
        <v>1415.23</v>
      </c>
    </row>
    <row r="900" spans="9:11" x14ac:dyDescent="0.15">
      <c r="I900" s="229" vm="1668">
        <f ca="1"/>
        <v>45425</v>
      </c>
      <c r="J900" s="355" vm="877">
        <f ca="1"/>
        <v>74.7</v>
      </c>
      <c r="K900" s="229">
        <f ca="1"/>
        <v>2108.4929999999999</v>
      </c>
    </row>
    <row r="901" spans="9:11" x14ac:dyDescent="0.15">
      <c r="I901" s="229" vm="1669">
        <f ca="1"/>
        <v>45426</v>
      </c>
      <c r="J901" s="355" vm="1241">
        <f ca="1"/>
        <v>74.349999999999994</v>
      </c>
      <c r="K901" s="229">
        <f ca="1"/>
        <v>2443.6709999999998</v>
      </c>
    </row>
    <row r="902" spans="9:11" x14ac:dyDescent="0.15">
      <c r="I902" s="229" vm="1670">
        <f ca="1"/>
        <v>45427</v>
      </c>
      <c r="J902" s="355" vm="804">
        <f ca="1"/>
        <v>73.34</v>
      </c>
      <c r="K902" s="229">
        <f ca="1"/>
        <v>2412.3040000000001</v>
      </c>
    </row>
    <row r="903" spans="9:11" x14ac:dyDescent="0.15">
      <c r="I903" s="229" vm="1671">
        <f ca="1"/>
        <v>45428</v>
      </c>
      <c r="J903" s="355" vm="1653">
        <f ca="1"/>
        <v>73.64</v>
      </c>
      <c r="K903" s="229">
        <f ca="1"/>
        <v>2208.8200000000002</v>
      </c>
    </row>
    <row r="904" spans="9:11" x14ac:dyDescent="0.15">
      <c r="I904" s="229" vm="1672">
        <f ca="1"/>
        <v>45429</v>
      </c>
      <c r="J904" s="355" vm="1673">
        <f ca="1"/>
        <v>73.349999999999994</v>
      </c>
      <c r="K904" s="229">
        <f ca="1"/>
        <v>1603.9290000000001</v>
      </c>
    </row>
    <row r="905" spans="9:11" x14ac:dyDescent="0.15">
      <c r="I905" s="229" vm="1674">
        <f ca="1"/>
        <v>45432</v>
      </c>
      <c r="J905" s="355" vm="1675">
        <f ca="1"/>
        <v>73.91</v>
      </c>
      <c r="K905" s="229">
        <f ca="1"/>
        <v>2399.797</v>
      </c>
    </row>
    <row r="906" spans="9:11" x14ac:dyDescent="0.15">
      <c r="I906" s="229" vm="1676">
        <f ca="1"/>
        <v>45433</v>
      </c>
      <c r="J906" s="355" vm="1233">
        <f ca="1"/>
        <v>72.67</v>
      </c>
      <c r="K906" s="229">
        <f ca="1"/>
        <v>2452.5909999999999</v>
      </c>
    </row>
    <row r="907" spans="9:11" x14ac:dyDescent="0.15">
      <c r="I907" s="229" vm="1677">
        <f ca="1"/>
        <v>45434</v>
      </c>
      <c r="J907" s="355" vm="1678">
        <f ca="1"/>
        <v>70.5</v>
      </c>
      <c r="K907" s="229">
        <f ca="1"/>
        <v>4399.4030000000002</v>
      </c>
    </row>
    <row r="908" spans="9:11" x14ac:dyDescent="0.15">
      <c r="I908" s="229" vm="1679">
        <f ca="1"/>
        <v>45435</v>
      </c>
      <c r="J908" s="355" vm="1680">
        <f ca="1"/>
        <v>69.63</v>
      </c>
      <c r="K908" s="229">
        <f ca="1"/>
        <v>2247.7240000000002</v>
      </c>
    </row>
    <row r="909" spans="9:11" x14ac:dyDescent="0.15">
      <c r="I909" s="229" vm="1681">
        <f ca="1"/>
        <v>45436</v>
      </c>
      <c r="J909" s="355" vm="1682">
        <f ca="1"/>
        <v>71.5</v>
      </c>
      <c r="K909" s="229">
        <f ca="1"/>
        <v>2983.4270000000001</v>
      </c>
    </row>
    <row r="910" spans="9:11" x14ac:dyDescent="0.15">
      <c r="I910" s="229" vm="1683">
        <f ca="1"/>
        <v>45440</v>
      </c>
      <c r="J910" s="355" vm="1684">
        <f ca="1"/>
        <v>72.55</v>
      </c>
      <c r="K910" s="229">
        <f ca="1"/>
        <v>3371.2849999999999</v>
      </c>
    </row>
    <row r="911" spans="9:11" x14ac:dyDescent="0.15">
      <c r="I911" s="229" vm="1685">
        <f ca="1"/>
        <v>45441</v>
      </c>
      <c r="J911" s="355" vm="1686">
        <f ca="1"/>
        <v>71.900000000000006</v>
      </c>
      <c r="K911" s="229">
        <f ca="1"/>
        <v>5764.4279999999999</v>
      </c>
    </row>
    <row r="912" spans="9:11" x14ac:dyDescent="0.15">
      <c r="I912" s="229" vm="1687">
        <f ca="1"/>
        <v>45442</v>
      </c>
      <c r="J912" s="355" vm="1688">
        <f ca="1"/>
        <v>81.55</v>
      </c>
      <c r="K912" s="229">
        <f ca="1"/>
        <v>13938.442999999999</v>
      </c>
    </row>
    <row r="913" spans="9:11" x14ac:dyDescent="0.15">
      <c r="I913" s="229" vm="1689">
        <f ca="1"/>
        <v>45443</v>
      </c>
      <c r="J913" s="355" vm="1690">
        <f ca="1"/>
        <v>84.82</v>
      </c>
      <c r="K913" s="229">
        <f ca="1"/>
        <v>9814.6370000000006</v>
      </c>
    </row>
    <row r="914" spans="9:11" x14ac:dyDescent="0.15">
      <c r="I914" s="229" vm="1691">
        <f ca="1"/>
        <v>45446</v>
      </c>
      <c r="J914" s="355" vm="1097">
        <f ca="1"/>
        <v>86.94</v>
      </c>
      <c r="K914" s="229">
        <f ca="1"/>
        <v>9941.07</v>
      </c>
    </row>
    <row r="915" spans="9:11" x14ac:dyDescent="0.15">
      <c r="I915" s="229" vm="1692">
        <f ca="1"/>
        <v>45447</v>
      </c>
      <c r="J915" s="355" vm="1693">
        <f ca="1"/>
        <v>87.85</v>
      </c>
      <c r="K915" s="229">
        <f ca="1"/>
        <v>4427.6670000000004</v>
      </c>
    </row>
    <row r="916" spans="9:11" x14ac:dyDescent="0.15">
      <c r="I916" s="229" vm="1694">
        <f ca="1"/>
        <v>45448</v>
      </c>
      <c r="J916" s="355" vm="1695">
        <f ca="1"/>
        <v>88.94</v>
      </c>
      <c r="K916" s="229">
        <f ca="1"/>
        <v>3443.2260000000001</v>
      </c>
    </row>
    <row r="917" spans="9:11" x14ac:dyDescent="0.15">
      <c r="I917" s="229" vm="1696">
        <f ca="1"/>
        <v>45449</v>
      </c>
      <c r="J917" s="355" vm="1697">
        <f ca="1"/>
        <v>88.16</v>
      </c>
      <c r="K917" s="229">
        <f ca="1"/>
        <v>2883.7890000000002</v>
      </c>
    </row>
    <row r="918" spans="9:11" x14ac:dyDescent="0.15">
      <c r="I918" s="229" vm="1698">
        <f ca="1"/>
        <v>45450</v>
      </c>
      <c r="J918" s="355" vm="1699">
        <f ca="1"/>
        <v>87.92</v>
      </c>
      <c r="K918" s="229">
        <f ca="1"/>
        <v>2380.4830000000002</v>
      </c>
    </row>
    <row r="919" spans="9:11" x14ac:dyDescent="0.15">
      <c r="I919" s="229" vm="1700">
        <f ca="1"/>
        <v>45453</v>
      </c>
      <c r="J919" s="355" vm="1701">
        <f ca="1"/>
        <v>87.15</v>
      </c>
      <c r="K919" s="229">
        <f ca="1"/>
        <v>3247.5639999999999</v>
      </c>
    </row>
    <row r="920" spans="9:11" x14ac:dyDescent="0.15">
      <c r="I920" s="229" vm="1702">
        <f ca="1"/>
        <v>45454</v>
      </c>
      <c r="J920" s="355" vm="1703">
        <f ca="1"/>
        <v>87.11</v>
      </c>
      <c r="K920" s="229">
        <f ca="1"/>
        <v>2331.9279999999999</v>
      </c>
    </row>
    <row r="921" spans="9:11" x14ac:dyDescent="0.15">
      <c r="I921" s="229" vm="1704">
        <f ca="1"/>
        <v>45455</v>
      </c>
      <c r="J921" s="355" vm="1070">
        <f ca="1"/>
        <v>86.38</v>
      </c>
      <c r="K921" s="229">
        <f ca="1"/>
        <v>2674.0619999999999</v>
      </c>
    </row>
    <row r="922" spans="9:11" x14ac:dyDescent="0.15">
      <c r="I922" s="229" vm="1705">
        <f ca="1"/>
        <v>45456</v>
      </c>
      <c r="J922" s="355" vm="1706">
        <f ca="1"/>
        <v>87.73</v>
      </c>
      <c r="K922" s="229">
        <f ca="1"/>
        <v>2944.1880000000001</v>
      </c>
    </row>
    <row r="923" spans="9:11" x14ac:dyDescent="0.15">
      <c r="I923" s="229" vm="1707">
        <f ca="1"/>
        <v>45457</v>
      </c>
      <c r="J923" s="355" vm="1708">
        <f ca="1"/>
        <v>87.21</v>
      </c>
      <c r="K923" s="229">
        <f ca="1"/>
        <v>2857.587</v>
      </c>
    </row>
    <row r="924" spans="9:11" x14ac:dyDescent="0.15">
      <c r="I924" s="229" vm="1709">
        <f ca="1"/>
        <v>45460</v>
      </c>
      <c r="J924" s="355" vm="1710">
        <f ca="1"/>
        <v>91.26</v>
      </c>
      <c r="K924" s="229">
        <f ca="1"/>
        <v>5237.6639999999998</v>
      </c>
    </row>
    <row r="925" spans="9:11" x14ac:dyDescent="0.15">
      <c r="I925" s="229" vm="1711">
        <f ca="1"/>
        <v>45461</v>
      </c>
      <c r="J925" s="355" vm="1712">
        <f ca="1"/>
        <v>93.63</v>
      </c>
      <c r="K925" s="229">
        <f ca="1"/>
        <v>5575.9009999999998</v>
      </c>
    </row>
    <row r="926" spans="9:11" x14ac:dyDescent="0.15">
      <c r="I926" s="229" vm="1713">
        <f ca="1"/>
        <v>45463</v>
      </c>
      <c r="J926" s="355" vm="1714">
        <f ca="1"/>
        <v>92.37</v>
      </c>
      <c r="K926" s="229">
        <f ca="1"/>
        <v>3586.5509999999999</v>
      </c>
    </row>
    <row r="927" spans="9:11" x14ac:dyDescent="0.15">
      <c r="I927" s="229" vm="1715">
        <f ca="1"/>
        <v>45464</v>
      </c>
      <c r="J927" s="355" vm="1716">
        <f ca="1"/>
        <v>90.4</v>
      </c>
      <c r="K927" s="229">
        <f ca="1"/>
        <v>7165.835</v>
      </c>
    </row>
    <row r="928" spans="9:11" x14ac:dyDescent="0.15">
      <c r="I928" s="229" vm="1717">
        <f ca="1"/>
        <v>45467</v>
      </c>
      <c r="J928" s="355" vm="1718">
        <f ca="1"/>
        <v>89.33</v>
      </c>
      <c r="K928" s="229">
        <f ca="1"/>
        <v>2308.8710000000001</v>
      </c>
    </row>
    <row r="929" spans="9:11" x14ac:dyDescent="0.15">
      <c r="I929" s="229" vm="1719">
        <f ca="1"/>
        <v>45468</v>
      </c>
      <c r="J929" s="355" vm="1720">
        <f ca="1"/>
        <v>86.52</v>
      </c>
      <c r="K929" s="229">
        <f ca="1"/>
        <v>3942.1410000000001</v>
      </c>
    </row>
    <row r="930" spans="9:11" x14ac:dyDescent="0.15">
      <c r="I930" s="229" vm="1721">
        <f ca="1"/>
        <v>45469</v>
      </c>
      <c r="J930" s="355" vm="1722">
        <f ca="1"/>
        <v>84.26</v>
      </c>
      <c r="K930" s="229">
        <f ca="1"/>
        <v>3970.0709999999999</v>
      </c>
    </row>
    <row r="931" spans="9:11" x14ac:dyDescent="0.15">
      <c r="I931" s="229" vm="1723">
        <f ca="1"/>
        <v>45470</v>
      </c>
      <c r="J931" s="355" vm="997">
        <f ca="1"/>
        <v>84.32</v>
      </c>
      <c r="K931" s="229">
        <f ca="1"/>
        <v>2392.8200000000002</v>
      </c>
    </row>
    <row r="932" spans="9:11" x14ac:dyDescent="0.15">
      <c r="I932" s="229" vm="1724">
        <f ca="1"/>
        <v>45471</v>
      </c>
      <c r="J932" s="355" vm="1725">
        <f ca="1"/>
        <v>84.29</v>
      </c>
      <c r="K932" s="229">
        <f ca="1"/>
        <v>3627.8530000000001</v>
      </c>
    </row>
    <row r="933" spans="9:11" x14ac:dyDescent="0.15">
      <c r="I933" s="229" vm="1726">
        <f ca="1"/>
        <v>45474</v>
      </c>
      <c r="J933" s="355" vm="1727">
        <f ca="1"/>
        <v>82.29</v>
      </c>
      <c r="K933" s="229">
        <f ca="1"/>
        <v>2571.9</v>
      </c>
    </row>
    <row r="934" spans="9:11" x14ac:dyDescent="0.15">
      <c r="I934" s="229" vm="1728">
        <f ca="1"/>
        <v>45475</v>
      </c>
      <c r="J934" s="355" vm="1277">
        <f ca="1"/>
        <v>82.17</v>
      </c>
      <c r="K934" s="229">
        <f ca="1"/>
        <v>3112.4369999999999</v>
      </c>
    </row>
    <row r="935" spans="9:11" x14ac:dyDescent="0.15">
      <c r="I935" s="229" vm="1729">
        <f ca="1"/>
        <v>45476</v>
      </c>
      <c r="J935" s="355" vm="1730">
        <f ca="1"/>
        <v>82.33</v>
      </c>
      <c r="K935" s="229">
        <f ca="1"/>
        <v>1471.2629999999999</v>
      </c>
    </row>
    <row r="936" spans="9:11" x14ac:dyDescent="0.15">
      <c r="I936" s="229" vm="1731">
        <f ca="1"/>
        <v>45478</v>
      </c>
      <c r="J936" s="355" vm="1732">
        <f ca="1"/>
        <v>82.45</v>
      </c>
      <c r="K936" s="229">
        <f ca="1"/>
        <v>3627.79</v>
      </c>
    </row>
    <row r="937" spans="9:11" x14ac:dyDescent="0.15">
      <c r="I937" s="229" vm="1733">
        <f ca="1"/>
        <v>45481</v>
      </c>
      <c r="J937" s="355" vm="1734">
        <f ca="1"/>
        <v>85.51</v>
      </c>
      <c r="K937" s="229">
        <f ca="1"/>
        <v>4763.0969999999998</v>
      </c>
    </row>
    <row r="938" spans="9:11" x14ac:dyDescent="0.15">
      <c r="I938" s="229" vm="1735">
        <f ca="1"/>
        <v>45482</v>
      </c>
      <c r="J938" s="355" vm="1736">
        <f ca="1"/>
        <v>86.42</v>
      </c>
      <c r="K938" s="229">
        <f ca="1"/>
        <v>3608.8980000000001</v>
      </c>
    </row>
    <row r="939" spans="9:11" x14ac:dyDescent="0.15">
      <c r="I939" s="229" vm="1737">
        <f ca="1"/>
        <v>45483</v>
      </c>
      <c r="J939" s="355" vm="1738">
        <f ca="1"/>
        <v>85.57</v>
      </c>
      <c r="K939" s="229">
        <f ca="1"/>
        <v>3623.2669999999998</v>
      </c>
    </row>
    <row r="940" spans="9:11" x14ac:dyDescent="0.15">
      <c r="I940" s="229" vm="1739">
        <f ca="1"/>
        <v>45484</v>
      </c>
      <c r="J940" s="355" vm="1740">
        <f ca="1"/>
        <v>86.01</v>
      </c>
      <c r="K940" s="229">
        <f ca="1"/>
        <v>2738.4259999999999</v>
      </c>
    </row>
    <row r="941" spans="9:11" x14ac:dyDescent="0.15">
      <c r="I941" s="229" vm="1741">
        <f ca="1"/>
        <v>45485</v>
      </c>
      <c r="J941" s="355" vm="1742">
        <f ca="1"/>
        <v>86.27</v>
      </c>
      <c r="K941" s="229">
        <f ca="1"/>
        <v>2423.799</v>
      </c>
    </row>
    <row r="942" spans="9:11" x14ac:dyDescent="0.15">
      <c r="I942" s="229" vm="1743">
        <f ca="1"/>
        <v>45488</v>
      </c>
      <c r="J942" s="355" vm="1744">
        <f ca="1"/>
        <v>85.5</v>
      </c>
      <c r="K942" s="229">
        <f ca="1"/>
        <v>2442.1280000000002</v>
      </c>
    </row>
    <row r="943" spans="9:11" x14ac:dyDescent="0.15">
      <c r="I943" s="229" vm="1745">
        <f ca="1"/>
        <v>45489</v>
      </c>
      <c r="J943" s="355" vm="1746">
        <f ca="1"/>
        <v>87.25</v>
      </c>
      <c r="K943" s="229">
        <f ca="1"/>
        <v>2590.056</v>
      </c>
    </row>
    <row r="944" spans="9:11" x14ac:dyDescent="0.15">
      <c r="I944" s="229" vm="1747">
        <f ca="1"/>
        <v>45490</v>
      </c>
      <c r="J944" s="355" vm="1748">
        <f ca="1"/>
        <v>89.16</v>
      </c>
      <c r="K944" s="229">
        <f ca="1"/>
        <v>3977.3719999999998</v>
      </c>
    </row>
    <row r="945" spans="9:11" x14ac:dyDescent="0.15">
      <c r="I945" s="229" vm="1749">
        <f ca="1"/>
        <v>45491</v>
      </c>
      <c r="J945" s="355" vm="1750">
        <f ca="1"/>
        <v>88.1</v>
      </c>
      <c r="K945" s="229">
        <f ca="1"/>
        <v>3610.4389999999999</v>
      </c>
    </row>
    <row r="946" spans="9:11" x14ac:dyDescent="0.15">
      <c r="I946" s="229" vm="1751">
        <f ca="1"/>
        <v>45492</v>
      </c>
      <c r="J946" s="355" vm="1752">
        <f ca="1"/>
        <v>88.6</v>
      </c>
      <c r="K946" s="229">
        <f ca="1"/>
        <v>3024.049</v>
      </c>
    </row>
    <row r="947" spans="9:11" x14ac:dyDescent="0.15">
      <c r="I947" s="229" vm="1753">
        <f ca="1"/>
        <v>45495</v>
      </c>
      <c r="J947" s="355" vm="1754">
        <f ca="1"/>
        <v>88.96</v>
      </c>
      <c r="K947" s="229">
        <f ca="1"/>
        <v>3756.922</v>
      </c>
    </row>
    <row r="948" spans="9:11" x14ac:dyDescent="0.15">
      <c r="I948" s="229" vm="1755">
        <f ca="1"/>
        <v>45496</v>
      </c>
      <c r="J948" s="355" vm="1093">
        <f ca="1"/>
        <v>88.95</v>
      </c>
      <c r="K948" s="229">
        <f ca="1"/>
        <v>2589.7060000000001</v>
      </c>
    </row>
    <row r="949" spans="9:11" x14ac:dyDescent="0.15">
      <c r="I949" s="229" vm="1756">
        <f ca="1"/>
        <v>45497</v>
      </c>
      <c r="J949" s="355" vm="1706">
        <f ca="1"/>
        <v>87.73</v>
      </c>
      <c r="K949" s="229">
        <f ca="1"/>
        <v>2586.5250000000001</v>
      </c>
    </row>
    <row r="950" spans="9:11" x14ac:dyDescent="0.15">
      <c r="I950" s="229" vm="1757">
        <f ca="1"/>
        <v>45498</v>
      </c>
      <c r="J950" s="355" vm="1758">
        <f ca="1"/>
        <v>87.35</v>
      </c>
      <c r="K950" s="229">
        <f ca="1"/>
        <v>1823.8879999999999</v>
      </c>
    </row>
    <row r="951" spans="9:11" x14ac:dyDescent="0.15">
      <c r="I951" s="229" vm="1759">
        <f ca="1"/>
        <v>45499</v>
      </c>
      <c r="J951" s="355" vm="1758">
        <f ca="1"/>
        <v>87.35</v>
      </c>
      <c r="K951" s="229">
        <f ca="1"/>
        <v>1734.759</v>
      </c>
    </row>
    <row r="952" spans="9:11" x14ac:dyDescent="0.15">
      <c r="I952" s="229" vm="1760">
        <f ca="1"/>
        <v>45502</v>
      </c>
      <c r="J952" s="355" vm="1761">
        <f ca="1"/>
        <v>85.48</v>
      </c>
      <c r="K952" s="229">
        <f ca="1"/>
        <v>2973.7759999999998</v>
      </c>
    </row>
    <row r="953" spans="9:11" x14ac:dyDescent="0.15">
      <c r="I953" s="229" vm="1762">
        <f ca="1"/>
        <v>45503</v>
      </c>
      <c r="J953" s="355" vm="1763">
        <f ca="1"/>
        <v>85.35</v>
      </c>
      <c r="K953" s="229">
        <f ca="1"/>
        <v>2326.48</v>
      </c>
    </row>
    <row r="954" spans="9:11" x14ac:dyDescent="0.15">
      <c r="I954" s="229" vm="1764">
        <f ca="1"/>
        <v>45504</v>
      </c>
      <c r="J954" s="355" vm="1720">
        <f ca="1"/>
        <v>86.52</v>
      </c>
      <c r="K954" s="229">
        <f ca="1"/>
        <v>5801.8620000000001</v>
      </c>
    </row>
    <row r="955" spans="9:11" x14ac:dyDescent="0.15">
      <c r="I955" s="229" vm="1765">
        <f ca="1"/>
        <v>45505</v>
      </c>
      <c r="J955" s="355" vm="1766">
        <f ca="1"/>
        <v>85.67</v>
      </c>
      <c r="K955" s="229">
        <f ca="1"/>
        <v>2521.174</v>
      </c>
    </row>
    <row r="956" spans="9:11" x14ac:dyDescent="0.15">
      <c r="I956" s="229" vm="1767">
        <f ca="1"/>
        <v>45506</v>
      </c>
      <c r="J956" s="355" vm="1768">
        <f ca="1"/>
        <v>82.36</v>
      </c>
      <c r="K956" s="229">
        <f ca="1"/>
        <v>2875.3919999999998</v>
      </c>
    </row>
    <row r="957" spans="9:11" x14ac:dyDescent="0.15">
      <c r="I957" s="229" vm="1769">
        <f ca="1"/>
        <v>45509</v>
      </c>
      <c r="J957" s="355" vm="1292">
        <f ca="1"/>
        <v>80.23</v>
      </c>
      <c r="K957" s="229">
        <f ca="1"/>
        <v>3048.3609999999999</v>
      </c>
    </row>
    <row r="958" spans="9:11" x14ac:dyDescent="0.15">
      <c r="I958" s="229" vm="1770">
        <f ca="1"/>
        <v>45510</v>
      </c>
      <c r="J958" s="355" vm="1771">
        <f ca="1"/>
        <v>82</v>
      </c>
      <c r="K958" s="229">
        <f ca="1"/>
        <v>2871.855</v>
      </c>
    </row>
    <row r="959" spans="9:11" x14ac:dyDescent="0.15">
      <c r="I959" s="229" vm="1772">
        <f ca="1"/>
        <v>45511</v>
      </c>
      <c r="J959" s="355" vm="1773">
        <f ca="1"/>
        <v>80.7</v>
      </c>
      <c r="K959" s="229">
        <f ca="1"/>
        <v>2055.7020000000002</v>
      </c>
    </row>
    <row r="960" spans="9:11" x14ac:dyDescent="0.15">
      <c r="I960" s="229" vm="1774">
        <f ca="1"/>
        <v>45512</v>
      </c>
      <c r="J960" s="355" vm="1775">
        <f ca="1"/>
        <v>82.56</v>
      </c>
      <c r="K960" s="229">
        <f ca="1"/>
        <v>1688.5429999999999</v>
      </c>
    </row>
    <row r="961" spans="9:11" x14ac:dyDescent="0.15">
      <c r="I961" s="229" vm="1776">
        <f ca="1"/>
        <v>45513</v>
      </c>
      <c r="J961" s="355" vm="1777">
        <f ca="1"/>
        <v>83.73</v>
      </c>
      <c r="K961" s="229">
        <f ca="1"/>
        <v>1679.5139999999999</v>
      </c>
    </row>
    <row r="962" spans="9:11" x14ac:dyDescent="0.15">
      <c r="I962" s="229" vm="1778">
        <f ca="1"/>
        <v>45516</v>
      </c>
      <c r="J962" s="355" vm="1779">
        <f ca="1"/>
        <v>81.2</v>
      </c>
      <c r="K962" s="229">
        <f ca="1"/>
        <v>2493.3290000000002</v>
      </c>
    </row>
    <row r="963" spans="9:11" x14ac:dyDescent="0.15">
      <c r="I963" s="229" vm="1780">
        <f ca="1"/>
        <v>45517</v>
      </c>
      <c r="J963" s="355" vm="1781">
        <f ca="1"/>
        <v>83.14</v>
      </c>
      <c r="K963" s="229">
        <f ca="1"/>
        <v>2111.5520000000001</v>
      </c>
    </row>
    <row r="964" spans="9:11" x14ac:dyDescent="0.15">
      <c r="I964" s="229" vm="1782">
        <f ca="1"/>
        <v>45518</v>
      </c>
      <c r="J964" s="355" vm="1269">
        <f ca="1"/>
        <v>82.91</v>
      </c>
      <c r="K964" s="229">
        <f ca="1"/>
        <v>1403.6</v>
      </c>
    </row>
    <row r="965" spans="9:11" x14ac:dyDescent="0.15">
      <c r="I965" s="229" vm="1783">
        <f ca="1"/>
        <v>45519</v>
      </c>
      <c r="J965" s="355" vm="1784">
        <f ca="1"/>
        <v>84.06</v>
      </c>
      <c r="K965" s="229">
        <f ca="1"/>
        <v>2300.8209999999999</v>
      </c>
    </row>
    <row r="966" spans="9:11" x14ac:dyDescent="0.15">
      <c r="I966" s="229" vm="1785">
        <f ca="1"/>
        <v>45520</v>
      </c>
      <c r="J966" s="355" vm="1786">
        <f ca="1"/>
        <v>85.24</v>
      </c>
      <c r="K966" s="229">
        <f ca="1"/>
        <v>1919.73</v>
      </c>
    </row>
    <row r="967" spans="9:11" x14ac:dyDescent="0.15">
      <c r="I967" s="229" vm="1787">
        <f ca="1"/>
        <v>45523</v>
      </c>
      <c r="J967" s="355" vm="1788">
        <f ca="1"/>
        <v>85.04</v>
      </c>
      <c r="K967" s="229">
        <f ca="1"/>
        <v>1464.097</v>
      </c>
    </row>
    <row r="968" spans="9:11" x14ac:dyDescent="0.15">
      <c r="I968" s="229" vm="1789">
        <f ca="1"/>
        <v>45524</v>
      </c>
      <c r="J968" s="355" vm="1790">
        <f ca="1"/>
        <v>84.74</v>
      </c>
      <c r="K968" s="229">
        <f ca="1"/>
        <v>1193.675</v>
      </c>
    </row>
    <row r="969" spans="9:11" x14ac:dyDescent="0.15">
      <c r="I969" s="229" vm="1791">
        <f ca="1"/>
        <v>45525</v>
      </c>
      <c r="J969" s="355" vm="1792">
        <f ca="1"/>
        <v>87.04</v>
      </c>
      <c r="K969" s="229">
        <f ca="1"/>
        <v>1902.2619999999999</v>
      </c>
    </row>
    <row r="970" spans="9:11" x14ac:dyDescent="0.15">
      <c r="I970" s="229" vm="1793">
        <f ca="1"/>
        <v>45526</v>
      </c>
      <c r="J970" s="355" vm="1794">
        <f ca="1"/>
        <v>85.75</v>
      </c>
      <c r="K970" s="229">
        <f ca="1"/>
        <v>2184.2440000000001</v>
      </c>
    </row>
    <row r="971" spans="9:11" x14ac:dyDescent="0.15">
      <c r="I971" s="229" vm="1795">
        <f ca="1"/>
        <v>45527</v>
      </c>
      <c r="J971" s="355" vm="1796">
        <f ca="1"/>
        <v>88.15</v>
      </c>
      <c r="K971" s="229">
        <f ca="1"/>
        <v>2067.1680000000001</v>
      </c>
    </row>
    <row r="972" spans="9:11" x14ac:dyDescent="0.15">
      <c r="I972" s="229" vm="1797">
        <f ca="1"/>
        <v>45530</v>
      </c>
      <c r="J972" s="355" vm="1798">
        <f ca="1"/>
        <v>88.89</v>
      </c>
      <c r="K972" s="229">
        <f ca="1"/>
        <v>3658.6129999999998</v>
      </c>
    </row>
    <row r="973" spans="9:11" x14ac:dyDescent="0.15">
      <c r="I973" s="229" vm="1799">
        <f ca="1"/>
        <v>45531</v>
      </c>
      <c r="J973" s="355" vm="1800">
        <f ca="1"/>
        <v>88.88</v>
      </c>
      <c r="K973" s="229">
        <f ca="1"/>
        <v>2838.8969999999999</v>
      </c>
    </row>
    <row r="974" spans="9:11" x14ac:dyDescent="0.15">
      <c r="I974" s="229" vm="1801">
        <f ca="1"/>
        <v>45532</v>
      </c>
      <c r="J974" s="355" vm="1082">
        <f ca="1"/>
        <v>87.79</v>
      </c>
      <c r="K974" s="229">
        <f ca="1"/>
        <v>4293.7290000000003</v>
      </c>
    </row>
    <row r="975" spans="9:11" x14ac:dyDescent="0.15">
      <c r="I975" s="229" vm="1802">
        <f ca="1"/>
        <v>45533</v>
      </c>
      <c r="J975" s="355" vm="1803">
        <f ca="1"/>
        <v>100.18</v>
      </c>
      <c r="K975" s="229">
        <f ca="1"/>
        <v>12091.228999999999</v>
      </c>
    </row>
    <row r="976" spans="9:11" x14ac:dyDescent="0.15">
      <c r="I976" s="229" vm="1804">
        <f ca="1"/>
        <v>45534</v>
      </c>
      <c r="J976" s="355" vm="1805">
        <f ca="1"/>
        <v>100.4</v>
      </c>
      <c r="K976" s="229">
        <f ca="1"/>
        <v>5553.076</v>
      </c>
    </row>
    <row r="977" spans="9:11" x14ac:dyDescent="0.15">
      <c r="I977" s="229" vm="1806">
        <f ca="1"/>
        <v>45538</v>
      </c>
      <c r="J977" s="355" vm="1807">
        <f ca="1"/>
        <v>100.94</v>
      </c>
      <c r="K977" s="229">
        <f ca="1"/>
        <v>3501.366</v>
      </c>
    </row>
    <row r="978" spans="9:11" x14ac:dyDescent="0.15">
      <c r="I978" s="229" vm="1808">
        <f ca="1"/>
        <v>45539</v>
      </c>
      <c r="J978" s="355" vm="1809">
        <f ca="1"/>
        <v>99.96</v>
      </c>
      <c r="K978" s="229">
        <f ca="1"/>
        <v>3301.8609999999999</v>
      </c>
    </row>
    <row r="979" spans="9:11" x14ac:dyDescent="0.15">
      <c r="I979" s="229" vm="1810">
        <f ca="1"/>
        <v>45540</v>
      </c>
      <c r="J979" s="355" vm="1811">
        <f ca="1"/>
        <v>99.41</v>
      </c>
      <c r="K979" s="229">
        <f ca="1"/>
        <v>1965.3979999999999</v>
      </c>
    </row>
    <row r="980" spans="9:11" x14ac:dyDescent="0.15">
      <c r="I980" s="229" vm="1812">
        <f ca="1"/>
        <v>45541</v>
      </c>
      <c r="J980" s="355" vm="1813">
        <f ca="1"/>
        <v>98.5</v>
      </c>
      <c r="K980" s="229">
        <f ca="1"/>
        <v>2463.2179999999998</v>
      </c>
    </row>
    <row r="981" spans="9:11" x14ac:dyDescent="0.15">
      <c r="I981" s="229" vm="1814">
        <f ca="1"/>
        <v>45544</v>
      </c>
      <c r="J981" s="355" vm="1815">
        <f ca="1"/>
        <v>98.09</v>
      </c>
      <c r="K981" s="229">
        <f ca="1"/>
        <v>3263.7249999999999</v>
      </c>
    </row>
    <row r="982" spans="9:11" x14ac:dyDescent="0.15">
      <c r="I982" s="229" vm="1816">
        <f ca="1"/>
        <v>45545</v>
      </c>
      <c r="J982" s="355" vm="1817">
        <f ca="1"/>
        <v>96.37</v>
      </c>
      <c r="K982" s="229">
        <f ca="1"/>
        <v>3651.7460000000001</v>
      </c>
    </row>
    <row r="983" spans="9:11" x14ac:dyDescent="0.15">
      <c r="I983" s="229" vm="1818">
        <f ca="1"/>
        <v>45546</v>
      </c>
      <c r="J983" s="355" vm="1819">
        <f ca="1"/>
        <v>97.6</v>
      </c>
      <c r="K983" s="229">
        <f ca="1"/>
        <v>3063.1750000000002</v>
      </c>
    </row>
    <row r="984" spans="9:11" x14ac:dyDescent="0.15">
      <c r="I984" s="229" vm="1820">
        <f ca="1"/>
        <v>45547</v>
      </c>
      <c r="J984" s="355" vm="1821">
        <f ca="1"/>
        <v>97.75</v>
      </c>
      <c r="K984" s="229">
        <f ca="1"/>
        <v>1957.3579999999999</v>
      </c>
    </row>
    <row r="985" spans="9:11" x14ac:dyDescent="0.15">
      <c r="I985" s="229" vm="1822">
        <f ca="1"/>
        <v>45548</v>
      </c>
      <c r="J985" s="355" vm="1823">
        <f ca="1"/>
        <v>98.45</v>
      </c>
      <c r="K985" s="229">
        <f ca="1"/>
        <v>1942.9760000000001</v>
      </c>
    </row>
    <row r="986" spans="9:11" x14ac:dyDescent="0.15">
      <c r="I986" s="229" vm="1824">
        <f ca="1"/>
        <v>45551</v>
      </c>
      <c r="J986" s="355" vm="1825">
        <f ca="1"/>
        <v>98.79</v>
      </c>
      <c r="K986" s="229">
        <f ca="1"/>
        <v>2617.8150000000001</v>
      </c>
    </row>
    <row r="987" spans="9:11" x14ac:dyDescent="0.15">
      <c r="I987" s="229" vm="1826">
        <f ca="1"/>
        <v>45552</v>
      </c>
      <c r="J987" s="355" vm="1827">
        <f ca="1"/>
        <v>99.48</v>
      </c>
      <c r="K987" s="229">
        <f ca="1"/>
        <v>2128.0740000000001</v>
      </c>
    </row>
    <row r="988" spans="9:11" x14ac:dyDescent="0.15">
      <c r="I988" s="229" vm="1828">
        <f ca="1"/>
        <v>45553</v>
      </c>
      <c r="J988" s="355" vm="1829">
        <f ca="1"/>
        <v>99.07</v>
      </c>
      <c r="K988" s="229">
        <f ca="1"/>
        <v>2319.2429999999999</v>
      </c>
    </row>
    <row r="989" spans="9:11" x14ac:dyDescent="0.15">
      <c r="I989" s="229" vm="1830">
        <f ca="1"/>
        <v>45554</v>
      </c>
      <c r="J989" s="355" vm="1831">
        <f ca="1"/>
        <v>98.46</v>
      </c>
      <c r="K989" s="229">
        <f ca="1"/>
        <v>2897.3670000000002</v>
      </c>
    </row>
    <row r="990" spans="9:11" x14ac:dyDescent="0.15">
      <c r="I990" s="229" vm="1832">
        <f ca="1"/>
        <v>45555</v>
      </c>
      <c r="J990" s="355" vm="1833">
        <f ca="1"/>
        <v>97.3</v>
      </c>
      <c r="K990" s="229">
        <f ca="1"/>
        <v>3241.76</v>
      </c>
    </row>
    <row r="991" spans="9:11" x14ac:dyDescent="0.15">
      <c r="I991" s="229" vm="1834">
        <f ca="1"/>
        <v>45558</v>
      </c>
      <c r="J991" s="355" vm="1835">
        <f ca="1"/>
        <v>97.86</v>
      </c>
      <c r="K991" s="229">
        <f ca="1"/>
        <v>2079.1469999999999</v>
      </c>
    </row>
    <row r="992" spans="9:11" x14ac:dyDescent="0.15">
      <c r="I992" s="229" vm="1836">
        <f ca="1"/>
        <v>45559</v>
      </c>
      <c r="J992" s="355" vm="1837">
        <f ca="1"/>
        <v>98.98</v>
      </c>
      <c r="K992" s="229">
        <f ca="1"/>
        <v>2047.249</v>
      </c>
    </row>
    <row r="993" spans="9:11" x14ac:dyDescent="0.15">
      <c r="I993" s="229" vm="1838">
        <f ca="1"/>
        <v>45560</v>
      </c>
      <c r="J993" s="355" vm="1839">
        <f ca="1"/>
        <v>97.84</v>
      </c>
      <c r="K993" s="229">
        <f ca="1"/>
        <v>2147.002</v>
      </c>
    </row>
    <row r="994" spans="9:11" x14ac:dyDescent="0.15">
      <c r="I994" s="229" vm="1840">
        <f ca="1"/>
        <v>45561</v>
      </c>
      <c r="J994" s="355" vm="1841">
        <f ca="1"/>
        <v>100</v>
      </c>
      <c r="K994" s="229">
        <f ca="1"/>
        <v>2839.739</v>
      </c>
    </row>
    <row r="995" spans="9:11" x14ac:dyDescent="0.15">
      <c r="I995" s="229" vm="1842">
        <f ca="1"/>
        <v>45562</v>
      </c>
      <c r="J995" s="355" vm="1843">
        <f ca="1"/>
        <v>102.26</v>
      </c>
      <c r="K995" s="229">
        <f ca="1"/>
        <v>4033.5039999999999</v>
      </c>
    </row>
    <row r="996" spans="9:11" x14ac:dyDescent="0.15">
      <c r="I996" s="229" vm="1844">
        <f ca="1"/>
        <v>45565</v>
      </c>
      <c r="J996" s="355" vm="33">
        <f ca="1"/>
        <v>103.3</v>
      </c>
      <c r="K996" s="229">
        <f ca="1"/>
        <v>2807.317</v>
      </c>
    </row>
    <row r="997" spans="9:11" x14ac:dyDescent="0.15">
      <c r="I997" s="229" vm="1845">
        <f ca="1"/>
        <v>45566</v>
      </c>
      <c r="J997" s="355" vm="1846">
        <f ca="1"/>
        <v>101.35</v>
      </c>
      <c r="K997" s="229">
        <f ca="1"/>
        <v>2375.6729999999998</v>
      </c>
    </row>
    <row r="998" spans="9:11" x14ac:dyDescent="0.15">
      <c r="I998" s="229" vm="1847">
        <f ca="1"/>
        <v>45567</v>
      </c>
      <c r="J998" s="355" vm="1848">
        <f ca="1"/>
        <v>99.71</v>
      </c>
      <c r="K998" s="229">
        <f ca="1"/>
        <v>1782.655</v>
      </c>
    </row>
    <row r="999" spans="9:11" x14ac:dyDescent="0.15">
      <c r="I999" s="229" vm="1849">
        <f ca="1"/>
        <v>45568</v>
      </c>
      <c r="J999" s="355" vm="1850">
        <f ca="1"/>
        <v>98.19</v>
      </c>
      <c r="K999" s="229">
        <f ca="1"/>
        <v>3608.2779999999998</v>
      </c>
    </row>
    <row r="1000" spans="9:11" x14ac:dyDescent="0.15">
      <c r="I1000" s="229" vm="1851">
        <f ca="1"/>
        <v>45569</v>
      </c>
      <c r="J1000" s="355" vm="1852">
        <f ca="1"/>
        <v>99.61</v>
      </c>
      <c r="K1000" s="229">
        <f ca="1"/>
        <v>2171.5039999999999</v>
      </c>
    </row>
    <row r="1001" spans="9:11" x14ac:dyDescent="0.15">
      <c r="I1001" s="229" vm="1853">
        <f ca="1"/>
        <v>45572</v>
      </c>
      <c r="J1001" s="355" vm="1854">
        <f ca="1"/>
        <v>97.82</v>
      </c>
      <c r="K1001" s="229">
        <f ca="1"/>
        <v>3012.5309999999999</v>
      </c>
    </row>
    <row r="1002" spans="9:11" x14ac:dyDescent="0.15">
      <c r="I1002" s="229" vm="1855">
        <f ca="1"/>
        <v>45573</v>
      </c>
      <c r="J1002" s="355" vm="1856">
        <f ca="1"/>
        <v>98.33</v>
      </c>
      <c r="K1002" s="229">
        <f ca="1"/>
        <v>1988.663</v>
      </c>
    </row>
    <row r="1003" spans="9:11" x14ac:dyDescent="0.15">
      <c r="I1003" s="229" vm="1857">
        <f ca="1"/>
        <v>45574</v>
      </c>
      <c r="J1003" s="355" vm="558">
        <f ca="1"/>
        <v>98.64</v>
      </c>
      <c r="K1003" s="229">
        <f ca="1"/>
        <v>1689.9259999999999</v>
      </c>
    </row>
    <row r="1004" spans="9:11" x14ac:dyDescent="0.15">
      <c r="I1004" s="229" vm="1858">
        <f ca="1"/>
        <v>45575</v>
      </c>
      <c r="J1004" s="355" vm="1859">
        <f ca="1"/>
        <v>97.52</v>
      </c>
      <c r="K1004" s="229">
        <f ca="1"/>
        <v>1981.153</v>
      </c>
    </row>
    <row r="1005" spans="9:11" x14ac:dyDescent="0.15">
      <c r="I1005" s="229" vm="1860">
        <f ca="1"/>
        <v>45576</v>
      </c>
      <c r="J1005" s="355" vm="1861">
        <f ca="1"/>
        <v>97.44</v>
      </c>
      <c r="K1005" s="229">
        <f ca="1"/>
        <v>2137.6640000000002</v>
      </c>
    </row>
    <row r="1006" spans="9:11" x14ac:dyDescent="0.15">
      <c r="I1006" s="229" vm="1862">
        <f ca="1"/>
        <v>45579</v>
      </c>
      <c r="J1006" s="355" vm="1863">
        <f ca="1"/>
        <v>96.91</v>
      </c>
      <c r="K1006" s="229">
        <f ca="1"/>
        <v>2321.48</v>
      </c>
    </row>
    <row r="1007" spans="9:11" x14ac:dyDescent="0.15">
      <c r="I1007" s="229" vm="1864">
        <f ca="1"/>
        <v>45580</v>
      </c>
      <c r="J1007" s="355" vm="1865">
        <f ca="1"/>
        <v>97.57</v>
      </c>
      <c r="K1007" s="229">
        <f ca="1"/>
        <v>2369.59</v>
      </c>
    </row>
    <row r="1008" spans="9:11" x14ac:dyDescent="0.15">
      <c r="I1008" s="229" vm="1866">
        <f ca="1"/>
        <v>45581</v>
      </c>
      <c r="J1008" s="355" vm="1867">
        <f ca="1"/>
        <v>98.68</v>
      </c>
      <c r="K1008" s="229">
        <f ca="1"/>
        <v>2454.4110000000001</v>
      </c>
    </row>
    <row r="1009" spans="9:11" x14ac:dyDescent="0.15">
      <c r="I1009" s="229" vm="1868">
        <f ca="1"/>
        <v>45582</v>
      </c>
      <c r="J1009" s="355" vm="1869">
        <f ca="1"/>
        <v>96.28</v>
      </c>
      <c r="K1009" s="229">
        <f ca="1"/>
        <v>2392.9450000000002</v>
      </c>
    </row>
    <row r="1010" spans="9:11" x14ac:dyDescent="0.15">
      <c r="I1010" s="229" vm="1870">
        <f ca="1"/>
        <v>45583</v>
      </c>
      <c r="J1010" s="355" vm="1871">
        <f ca="1"/>
        <v>96.14</v>
      </c>
      <c r="K1010" s="229">
        <f ca="1"/>
        <v>1864.675</v>
      </c>
    </row>
    <row r="1011" spans="9:11" x14ac:dyDescent="0.15">
      <c r="I1011" s="229" vm="1872">
        <f ca="1"/>
        <v>45586</v>
      </c>
      <c r="J1011" s="355" vm="1873">
        <f ca="1"/>
        <v>93.17</v>
      </c>
      <c r="K1011" s="229">
        <f ca="1"/>
        <v>2323.444</v>
      </c>
    </row>
    <row r="1012" spans="9:11" x14ac:dyDescent="0.15">
      <c r="I1012" s="229" vm="1874">
        <f ca="1"/>
        <v>45587</v>
      </c>
      <c r="J1012" s="355" vm="1875">
        <f ca="1"/>
        <v>93.77</v>
      </c>
      <c r="K1012" s="229">
        <f ca="1"/>
        <v>2032.925</v>
      </c>
    </row>
    <row r="1013" spans="9:11" x14ac:dyDescent="0.15">
      <c r="I1013" s="229" vm="1876">
        <f ca="1"/>
        <v>45588</v>
      </c>
      <c r="J1013" s="355" vm="1877">
        <f ca="1"/>
        <v>93.35</v>
      </c>
      <c r="K1013" s="229">
        <f ca="1"/>
        <v>1500.828</v>
      </c>
    </row>
    <row r="1014" spans="9:11" x14ac:dyDescent="0.15">
      <c r="I1014" s="229" vm="1878">
        <f ca="1"/>
        <v>45589</v>
      </c>
      <c r="J1014" s="355" vm="1879">
        <f ca="1"/>
        <v>94.12</v>
      </c>
      <c r="K1014" s="229">
        <f ca="1"/>
        <v>1324.498</v>
      </c>
    </row>
    <row r="1015" spans="9:11" x14ac:dyDescent="0.15">
      <c r="I1015" s="229" vm="1880">
        <f ca="1"/>
        <v>45590</v>
      </c>
      <c r="J1015" s="355" vm="1881">
        <f ca="1"/>
        <v>92.68</v>
      </c>
      <c r="K1015" s="229">
        <f ca="1"/>
        <v>2023.2360000000001</v>
      </c>
    </row>
    <row r="1016" spans="9:11" x14ac:dyDescent="0.15">
      <c r="I1016" s="229" vm="1882">
        <f ca="1"/>
        <v>45593</v>
      </c>
      <c r="J1016" s="355" vm="1883">
        <f ca="1"/>
        <v>91.54</v>
      </c>
      <c r="K1016" s="229">
        <f ca="1"/>
        <v>2197.779</v>
      </c>
    </row>
    <row r="1017" spans="9:11" x14ac:dyDescent="0.15">
      <c r="I1017" s="229" vm="1884">
        <f ca="1"/>
        <v>45594</v>
      </c>
      <c r="J1017" s="355" vm="1885">
        <f ca="1"/>
        <v>89.97</v>
      </c>
      <c r="K1017" s="229">
        <f ca="1"/>
        <v>3407.9920000000002</v>
      </c>
    </row>
    <row r="1018" spans="9:11" x14ac:dyDescent="0.15">
      <c r="I1018" s="229" vm="1886">
        <f ca="1"/>
        <v>45595</v>
      </c>
      <c r="J1018" s="355" vm="1887">
        <f ca="1"/>
        <v>90.41</v>
      </c>
      <c r="K1018" s="229">
        <f ca="1"/>
        <v>2201.7199999999998</v>
      </c>
    </row>
    <row r="1019" spans="9:11" x14ac:dyDescent="0.15">
      <c r="I1019" s="229" vm="1888">
        <f ca="1"/>
        <v>45596</v>
      </c>
      <c r="J1019" s="355" vm="1889">
        <f ca="1"/>
        <v>90.43</v>
      </c>
      <c r="K1019" s="229">
        <f ca="1"/>
        <v>2670.4119999999998</v>
      </c>
    </row>
    <row r="1020" spans="9:11" x14ac:dyDescent="0.15">
      <c r="I1020" s="229" vm="1890">
        <f ca="1"/>
        <v>45597</v>
      </c>
      <c r="J1020" s="355" vm="659">
        <f ca="1"/>
        <v>90.9</v>
      </c>
      <c r="K1020" s="229">
        <f ca="1"/>
        <v>1975.6679999999999</v>
      </c>
    </row>
    <row r="1021" spans="9:11" x14ac:dyDescent="0.15">
      <c r="I1021" s="229" vm="1891">
        <f ca="1"/>
        <v>45600</v>
      </c>
      <c r="J1021" s="355" vm="1892">
        <f ca="1"/>
        <v>92.82</v>
      </c>
      <c r="K1021" s="229">
        <f ca="1"/>
        <v>2585.5079999999998</v>
      </c>
    </row>
    <row r="1022" spans="9:11" x14ac:dyDescent="0.15">
      <c r="I1022" s="229" vm="1893">
        <f ca="1"/>
        <v>45601</v>
      </c>
      <c r="J1022" s="355" vm="1894">
        <f ca="1"/>
        <v>92.84</v>
      </c>
      <c r="K1022" s="229">
        <f ca="1"/>
        <v>2260.6350000000002</v>
      </c>
    </row>
    <row r="1023" spans="9:11" x14ac:dyDescent="0.15">
      <c r="I1023" s="229" vm="1895">
        <f ca="1"/>
        <v>45602</v>
      </c>
      <c r="J1023" s="355" vm="1896">
        <f ca="1"/>
        <v>89.4</v>
      </c>
      <c r="K1023" s="229">
        <f ca="1"/>
        <v>4943.1850000000004</v>
      </c>
    </row>
    <row r="1024" spans="9:11" x14ac:dyDescent="0.15">
      <c r="I1024" s="229" vm="1897">
        <f ca="1"/>
        <v>45603</v>
      </c>
      <c r="J1024" s="355" vm="1898">
        <f ca="1"/>
        <v>90.11</v>
      </c>
      <c r="K1024" s="229">
        <f ca="1"/>
        <v>2453.5149999999999</v>
      </c>
    </row>
    <row r="1025" spans="9:11" x14ac:dyDescent="0.15">
      <c r="I1025" s="229" vm="1899">
        <f ca="1"/>
        <v>45604</v>
      </c>
      <c r="J1025" s="355" vm="1900">
        <f ca="1"/>
        <v>89.2</v>
      </c>
      <c r="K1025" s="229">
        <f ca="1"/>
        <v>2631.7069999999999</v>
      </c>
    </row>
    <row r="1026" spans="9:11" x14ac:dyDescent="0.15">
      <c r="I1026" s="229" vm="1901">
        <f ca="1"/>
        <v>45607</v>
      </c>
      <c r="J1026" s="355" vm="1902">
        <f ca="1"/>
        <v>89.29</v>
      </c>
      <c r="K1026" s="229">
        <f ca="1"/>
        <v>2609.2170000000001</v>
      </c>
    </row>
    <row r="1027" spans="9:11" x14ac:dyDescent="0.15">
      <c r="I1027" s="229" vm="1903">
        <f ca="1"/>
        <v>45608</v>
      </c>
      <c r="J1027" s="355" vm="1904">
        <f ca="1"/>
        <v>90.2</v>
      </c>
      <c r="K1027" s="229">
        <f ca="1"/>
        <v>2773.6370000000002</v>
      </c>
    </row>
    <row r="1028" spans="9:11" x14ac:dyDescent="0.15">
      <c r="I1028" s="229" vm="1905">
        <f ca="1"/>
        <v>45609</v>
      </c>
      <c r="J1028" s="355" vm="1906">
        <f ca="1"/>
        <v>90.7</v>
      </c>
      <c r="K1028" s="229">
        <f ca="1"/>
        <v>2452.0450000000001</v>
      </c>
    </row>
    <row r="1029" spans="9:11" x14ac:dyDescent="0.15">
      <c r="I1029" s="229" vm="1907">
        <f ca="1"/>
        <v>45610</v>
      </c>
      <c r="J1029" s="355" vm="609">
        <f ca="1"/>
        <v>91.58</v>
      </c>
      <c r="K1029" s="229">
        <f ca="1"/>
        <v>2669.92</v>
      </c>
    </row>
    <row r="1030" spans="9:11" x14ac:dyDescent="0.15">
      <c r="I1030" s="229" vm="1908">
        <f ca="1"/>
        <v>45611</v>
      </c>
      <c r="J1030" s="355" vm="1909">
        <f ca="1"/>
        <v>92.66</v>
      </c>
      <c r="K1030" s="229">
        <f ca="1"/>
        <v>3766.49</v>
      </c>
    </row>
    <row r="1031" spans="9:11" x14ac:dyDescent="0.15">
      <c r="I1031" s="229" vm="1910">
        <f ca="1"/>
        <v>45614</v>
      </c>
      <c r="J1031" s="355" vm="1911">
        <f ca="1"/>
        <v>89</v>
      </c>
      <c r="K1031" s="229">
        <f ca="1"/>
        <v>3501.453</v>
      </c>
    </row>
    <row r="1032" spans="9:11" x14ac:dyDescent="0.15">
      <c r="I1032" s="229" vm="1912">
        <f ca="1"/>
        <v>45615</v>
      </c>
      <c r="J1032" s="355" vm="1913">
        <f ca="1"/>
        <v>87.02</v>
      </c>
      <c r="K1032" s="229">
        <f ca="1"/>
        <v>2880.0639999999999</v>
      </c>
    </row>
    <row r="1033" spans="9:11" x14ac:dyDescent="0.15">
      <c r="I1033" s="229" vm="1914">
        <f ca="1"/>
        <v>45616</v>
      </c>
      <c r="J1033" s="355" vm="1915">
        <f ca="1"/>
        <v>86.77</v>
      </c>
      <c r="K1033" s="229">
        <f ca="1"/>
        <v>4051.9259999999999</v>
      </c>
    </row>
    <row r="1034" spans="9:11" x14ac:dyDescent="0.15">
      <c r="I1034" s="229" vm="1916">
        <f ca="1"/>
        <v>45617</v>
      </c>
      <c r="J1034" s="355" vm="1917">
        <f ca="1"/>
        <v>86.51</v>
      </c>
      <c r="K1034" s="229">
        <f ca="1"/>
        <v>3295.3150000000001</v>
      </c>
    </row>
    <row r="1035" spans="9:11" x14ac:dyDescent="0.15">
      <c r="I1035" s="229" vm="1918">
        <f ca="1"/>
        <v>45618</v>
      </c>
      <c r="J1035" s="355" vm="1919">
        <f ca="1"/>
        <v>89.54</v>
      </c>
      <c r="K1035" s="229">
        <f ca="1"/>
        <v>4553.058</v>
      </c>
    </row>
    <row r="1036" spans="9:11" x14ac:dyDescent="0.15">
      <c r="I1036" s="229" vm="1920">
        <f ca="1"/>
        <v>45621</v>
      </c>
      <c r="J1036" s="355" vm="695">
        <f ca="1"/>
        <v>93.03</v>
      </c>
      <c r="K1036" s="229">
        <f ca="1"/>
        <v>8716.8130000000001</v>
      </c>
    </row>
    <row r="1037" spans="9:11" x14ac:dyDescent="0.15">
      <c r="I1037" s="229" vm="1921">
        <f ca="1"/>
        <v>45622</v>
      </c>
      <c r="J1037" s="355" vm="1922">
        <f ca="1"/>
        <v>88.48</v>
      </c>
      <c r="K1037" s="229">
        <f ca="1"/>
        <v>10598.099</v>
      </c>
    </row>
    <row r="1038" spans="9:11" x14ac:dyDescent="0.15">
      <c r="I1038" s="229" vm="1923">
        <f ca="1"/>
        <v>45623</v>
      </c>
      <c r="J1038" s="355" vm="1924">
        <f ca="1"/>
        <v>88.17</v>
      </c>
      <c r="K1038" s="229">
        <f ca="1"/>
        <v>4011.9940000000001</v>
      </c>
    </row>
    <row r="1039" spans="9:11" x14ac:dyDescent="0.15">
      <c r="I1039" s="229" vm="1925">
        <f ca="1"/>
        <v>45625</v>
      </c>
      <c r="J1039" s="355" vm="1926">
        <f ca="1"/>
        <v>90</v>
      </c>
      <c r="K1039" s="229">
        <f ca="1"/>
        <v>2411.6909999999998</v>
      </c>
    </row>
    <row r="1040" spans="9:11" x14ac:dyDescent="0.15">
      <c r="I1040" s="229" vm="1927">
        <f ca="1"/>
        <v>45628</v>
      </c>
      <c r="J1040" s="355" vm="1928">
        <f ca="1"/>
        <v>90.93</v>
      </c>
      <c r="K1040" s="229">
        <f ca="1"/>
        <v>4253.2290000000003</v>
      </c>
    </row>
    <row r="1041" spans="9:11" x14ac:dyDescent="0.15">
      <c r="I1041" s="229" vm="1929">
        <f ca="1"/>
        <v>45629</v>
      </c>
      <c r="J1041" s="355" vm="1930">
        <f ca="1"/>
        <v>88.97</v>
      </c>
      <c r="K1041" s="229">
        <f ca="1"/>
        <v>3994.0569999999998</v>
      </c>
    </row>
    <row r="1042" spans="9:11" x14ac:dyDescent="0.15">
      <c r="I1042" s="229" vm="1931">
        <f ca="1"/>
        <v>45630</v>
      </c>
      <c r="J1042" s="355" vm="1932">
        <f ca="1"/>
        <v>90.49</v>
      </c>
      <c r="K1042" s="229">
        <f ca="1"/>
        <v>3654.55</v>
      </c>
    </row>
    <row r="1043" spans="9:11" x14ac:dyDescent="0.15">
      <c r="I1043" s="229" vm="1933">
        <f ca="1"/>
        <v>45631</v>
      </c>
      <c r="J1043" s="355" vm="1934">
        <f ca="1"/>
        <v>89.8</v>
      </c>
      <c r="K1043" s="229">
        <f ca="1"/>
        <v>2873.6390000000001</v>
      </c>
    </row>
    <row r="1044" spans="9:11" x14ac:dyDescent="0.15">
      <c r="I1044" s="229" vm="1935">
        <f ca="1"/>
        <v>45632</v>
      </c>
      <c r="J1044" s="355" vm="1924">
        <f ca="1"/>
        <v>88.17</v>
      </c>
      <c r="K1044" s="229">
        <f ca="1"/>
        <v>3295.4769999999999</v>
      </c>
    </row>
    <row r="1045" spans="9:11" x14ac:dyDescent="0.15">
      <c r="I1045" s="229" vm="1936">
        <f ca="1"/>
        <v>45635</v>
      </c>
      <c r="J1045" s="355" vm="1937">
        <f ca="1"/>
        <v>87.32</v>
      </c>
      <c r="K1045" s="229">
        <f ca="1"/>
        <v>3610.0590000000002</v>
      </c>
    </row>
    <row r="1046" spans="9:11" x14ac:dyDescent="0.15">
      <c r="I1046" s="229" vm="1938">
        <f ca="1"/>
        <v>45636</v>
      </c>
      <c r="J1046" s="355" vm="1939">
        <f ca="1"/>
        <v>86.71</v>
      </c>
      <c r="K1046" s="229">
        <f ca="1"/>
        <v>5305.7179999999998</v>
      </c>
    </row>
    <row r="1047" spans="9:11" x14ac:dyDescent="0.15">
      <c r="I1047" s="229" vm="1940">
        <f ca="1"/>
        <v>45637</v>
      </c>
      <c r="J1047" s="355" vm="1941">
        <f ca="1"/>
        <v>87.07</v>
      </c>
      <c r="K1047" s="229">
        <f ca="1"/>
        <v>2892.9070000000002</v>
      </c>
    </row>
    <row r="1048" spans="9:11" x14ac:dyDescent="0.15">
      <c r="I1048" s="229" vm="1942">
        <f ca="1"/>
        <v>45638</v>
      </c>
      <c r="J1048" s="355" vm="1943">
        <f ca="1"/>
        <v>88.4</v>
      </c>
      <c r="K1048" s="229">
        <f ca="1"/>
        <v>2829.1709999999998</v>
      </c>
    </row>
    <row r="1049" spans="9:11" x14ac:dyDescent="0.15">
      <c r="I1049" s="229" vm="1944">
        <f ca="1"/>
        <v>45639</v>
      </c>
      <c r="J1049" s="355" vm="1945">
        <f ca="1"/>
        <v>87.6</v>
      </c>
      <c r="K1049" s="229">
        <f ca="1"/>
        <v>2238.1239999999998</v>
      </c>
    </row>
    <row r="1050" spans="9:11" x14ac:dyDescent="0.15">
      <c r="I1050" s="229" vm="1946">
        <f ca="1"/>
        <v>45642</v>
      </c>
      <c r="J1050" s="355" vm="1947">
        <f ca="1"/>
        <v>88.56</v>
      </c>
      <c r="K1050" s="229">
        <f ca="1"/>
        <v>4909.7039999999997</v>
      </c>
    </row>
    <row r="1051" spans="9:11" x14ac:dyDescent="0.15">
      <c r="I1051" s="229" vm="1948">
        <f ca="1"/>
        <v>45643</v>
      </c>
      <c r="J1051" s="355" vm="1949">
        <f ca="1"/>
        <v>87.48</v>
      </c>
      <c r="K1051" s="229">
        <f ca="1"/>
        <v>2619.2089999999998</v>
      </c>
    </row>
    <row r="1052" spans="9:11" x14ac:dyDescent="0.15">
      <c r="I1052" s="229" vm="1950">
        <f ca="1"/>
        <v>45644</v>
      </c>
      <c r="J1052" s="355" vm="1740">
        <f ca="1"/>
        <v>86.01</v>
      </c>
      <c r="K1052" s="229">
        <f ca="1"/>
        <v>3440.848</v>
      </c>
    </row>
    <row r="1053" spans="9:11" x14ac:dyDescent="0.15">
      <c r="I1053" s="229" vm="1951">
        <f ca="1"/>
        <v>45645</v>
      </c>
      <c r="J1053" s="355" vm="1952">
        <f ca="1"/>
        <v>85.2</v>
      </c>
      <c r="K1053" s="229">
        <f ca="1"/>
        <v>2854.1329999999998</v>
      </c>
    </row>
    <row r="1054" spans="9:11" x14ac:dyDescent="0.15">
      <c r="I1054" s="229" vm="1953">
        <f ca="1"/>
        <v>45646</v>
      </c>
      <c r="J1054" s="355" vm="1954">
        <f ca="1"/>
        <v>85.55</v>
      </c>
      <c r="K1054" s="229">
        <f ca="1"/>
        <v>5213.777</v>
      </c>
    </row>
    <row r="1055" spans="9:11" x14ac:dyDescent="0.15">
      <c r="I1055" s="229" vm="1955">
        <f ca="1"/>
        <v>45649</v>
      </c>
      <c r="J1055" s="355" vm="1956">
        <f ca="1"/>
        <v>85.32</v>
      </c>
      <c r="K1055" s="229">
        <f ca="1"/>
        <v>2049.2399999999998</v>
      </c>
    </row>
    <row r="1056" spans="9:11" x14ac:dyDescent="0.15">
      <c r="I1056" s="229" vm="1957">
        <f ca="1"/>
        <v>45650</v>
      </c>
      <c r="J1056" s="355" vm="1958">
        <f ca="1"/>
        <v>86.85</v>
      </c>
      <c r="K1056" s="229">
        <f ca="1"/>
        <v>1025.0039999999999</v>
      </c>
    </row>
    <row r="1057" spans="9:11" x14ac:dyDescent="0.15">
      <c r="I1057" s="229" vm="1959">
        <f ca="1"/>
        <v>45652</v>
      </c>
      <c r="J1057" s="355" vm="1960">
        <f ca="1"/>
        <v>89.37</v>
      </c>
      <c r="K1057" s="229">
        <f ca="1"/>
        <v>2630.1849999999999</v>
      </c>
    </row>
    <row r="1058" spans="9:11" x14ac:dyDescent="0.15">
      <c r="I1058" s="229" vm="1961">
        <f ca="1"/>
        <v>45653</v>
      </c>
      <c r="J1058" s="355" vm="1962">
        <f ca="1"/>
        <v>88.03</v>
      </c>
      <c r="K1058" s="229">
        <f ca="1"/>
        <v>1773.835</v>
      </c>
    </row>
    <row r="1059" spans="9:11" x14ac:dyDescent="0.15">
      <c r="I1059" s="229" vm="1963">
        <f ca="1"/>
        <v>45656</v>
      </c>
      <c r="J1059" s="355" vm="1046">
        <f ca="1"/>
        <v>85.85</v>
      </c>
      <c r="K1059" s="229">
        <f ca="1"/>
        <v>2045.336</v>
      </c>
    </row>
    <row r="1060" spans="9:11" x14ac:dyDescent="0.15">
      <c r="I1060" s="229" vm="1964">
        <f ca="1"/>
        <v>45657</v>
      </c>
      <c r="J1060" s="355" vm="1965">
        <f ca="1"/>
        <v>85.8</v>
      </c>
      <c r="K1060" s="229">
        <f ca="1"/>
        <v>1962.2070000000001</v>
      </c>
    </row>
    <row r="1061" spans="9:11" x14ac:dyDescent="0.15">
      <c r="I1061" s="229" vm="1966">
        <f ca="1"/>
        <v>45659</v>
      </c>
      <c r="J1061" s="355" vm="1967">
        <f ca="1"/>
        <v>86.17</v>
      </c>
      <c r="K1061" s="229">
        <f ca="1"/>
        <v>1758.597</v>
      </c>
    </row>
    <row r="1062" spans="9:11" x14ac:dyDescent="0.15">
      <c r="I1062" s="229" vm="1968">
        <f ca="1"/>
        <v>45660</v>
      </c>
      <c r="J1062" s="355" vm="1300">
        <f ca="1"/>
        <v>83.62</v>
      </c>
      <c r="K1062" s="229">
        <f ca="1"/>
        <v>3413.24</v>
      </c>
    </row>
    <row r="1063" spans="9:11" x14ac:dyDescent="0.15">
      <c r="I1063" s="229" vm="1969">
        <f ca="1"/>
        <v>45663</v>
      </c>
      <c r="J1063" s="355" vm="721">
        <f ca="1"/>
        <v>84.77</v>
      </c>
      <c r="K1063" s="229">
        <f ca="1"/>
        <v>2804.864</v>
      </c>
    </row>
    <row r="1064" spans="9:11" x14ac:dyDescent="0.15">
      <c r="I1064" s="229" vm="1970">
        <f ca="1"/>
        <v>45664</v>
      </c>
      <c r="J1064" s="355" vm="1971">
        <f ca="1"/>
        <v>84.28</v>
      </c>
      <c r="K1064" s="229">
        <f ca="1"/>
        <v>1921.0409999999999</v>
      </c>
    </row>
    <row r="1065" spans="9:11" x14ac:dyDescent="0.15">
      <c r="I1065" s="229" vm="1972">
        <f ca="1"/>
        <v>45665</v>
      </c>
      <c r="J1065" s="355" vm="1973">
        <f ca="1"/>
        <v>84.19</v>
      </c>
      <c r="K1065" s="229">
        <f ca="1"/>
        <v>2208.0129999999999</v>
      </c>
    </row>
    <row r="1066" spans="9:11" x14ac:dyDescent="0.15">
      <c r="I1066" s="229" vm="1974">
        <f ca="1"/>
        <v>45667</v>
      </c>
      <c r="J1066" s="355" vm="1975">
        <f ca="1"/>
        <v>83.27</v>
      </c>
      <c r="K1066" s="229">
        <f ca="1"/>
        <v>2139.404</v>
      </c>
    </row>
    <row r="1067" spans="9:11" x14ac:dyDescent="0.15">
      <c r="I1067" s="229" vm="1976">
        <f ca="1"/>
        <v>45670</v>
      </c>
      <c r="J1067" s="355" vm="1977">
        <f ca="1"/>
        <v>84.31</v>
      </c>
      <c r="K1067" s="229">
        <f ca="1"/>
        <v>2756.6509999999998</v>
      </c>
    </row>
    <row r="1068" spans="9:11" x14ac:dyDescent="0.15">
      <c r="I1068" s="229" vm="1978">
        <f ca="1"/>
        <v>45671</v>
      </c>
      <c r="J1068" s="355" vm="1979">
        <f ca="1"/>
        <v>82.8</v>
      </c>
      <c r="K1068" s="229">
        <f ca="1"/>
        <v>1943.1320000000001</v>
      </c>
    </row>
    <row r="1069" spans="9:11" x14ac:dyDescent="0.15">
      <c r="I1069" s="229" vm="1980">
        <f ca="1"/>
        <v>45672</v>
      </c>
      <c r="J1069" s="355" vm="1273">
        <f ca="1"/>
        <v>83.21</v>
      </c>
      <c r="K1069" s="229">
        <f ca="1"/>
        <v>2429.2310000000002</v>
      </c>
    </row>
    <row r="1070" spans="9:11" x14ac:dyDescent="0.15">
      <c r="I1070" s="229" vm="1981">
        <f ca="1"/>
        <v>45673</v>
      </c>
      <c r="J1070" s="355" vm="1982">
        <f ca="1"/>
        <v>82.21</v>
      </c>
      <c r="K1070" s="229">
        <f ca="1"/>
        <v>2354.4830000000002</v>
      </c>
    </row>
    <row r="1071" spans="9:11" x14ac:dyDescent="0.15">
      <c r="I1071" s="229" vm="1983">
        <f ca="1"/>
        <v>45674</v>
      </c>
      <c r="J1071" s="355" vm="1984">
        <f ca="1"/>
        <v>81.900000000000006</v>
      </c>
      <c r="K1071" s="229">
        <f ca="1"/>
        <v>2975.0149999999999</v>
      </c>
    </row>
    <row r="1072" spans="9:11" x14ac:dyDescent="0.15">
      <c r="I1072" s="229" vm="1985">
        <f ca="1"/>
        <v>45678</v>
      </c>
      <c r="J1072" s="355" vm="1986">
        <f ca="1"/>
        <v>84.53</v>
      </c>
      <c r="K1072" s="229">
        <f ca="1"/>
        <v>2713.7429999999999</v>
      </c>
    </row>
    <row r="1073" spans="9:11" x14ac:dyDescent="0.15">
      <c r="I1073" s="229" vm="1987">
        <f ca="1"/>
        <v>45679</v>
      </c>
      <c r="J1073" s="355" vm="1988">
        <f ca="1"/>
        <v>83.92</v>
      </c>
      <c r="K1073" s="229">
        <f ca="1"/>
        <v>1742.835</v>
      </c>
    </row>
    <row r="1074" spans="9:11" x14ac:dyDescent="0.15">
      <c r="I1074" s="229" vm="1989">
        <f ca="1"/>
        <v>45680</v>
      </c>
      <c r="J1074" s="355" vm="1990">
        <f ca="1"/>
        <v>85.63</v>
      </c>
      <c r="K1074" s="229">
        <f ca="1"/>
        <v>1863.0820000000001</v>
      </c>
    </row>
    <row r="1075" spans="9:11" x14ac:dyDescent="0.15">
      <c r="I1075" s="229" vm="1991">
        <f ca="1"/>
        <v>45681</v>
      </c>
      <c r="J1075" s="355" vm="1992">
        <f ca="1"/>
        <v>84.73</v>
      </c>
      <c r="K1075" s="229">
        <f ca="1"/>
        <v>2082.7890000000002</v>
      </c>
    </row>
    <row r="1076" spans="9:11" x14ac:dyDescent="0.15">
      <c r="I1076" s="229" vm="1993">
        <f ca="1"/>
        <v>45684</v>
      </c>
      <c r="J1076" s="355" vm="1786">
        <f ca="1"/>
        <v>85.24</v>
      </c>
      <c r="K1076" s="229">
        <f ca="1"/>
        <v>2453.9009999999998</v>
      </c>
    </row>
    <row r="1077" spans="9:11" x14ac:dyDescent="0.15">
      <c r="I1077" s="229" vm="1994">
        <f ca="1"/>
        <v>45685</v>
      </c>
      <c r="J1077" s="355" vm="1995">
        <f ca="1"/>
        <v>86.78</v>
      </c>
      <c r="K1077" s="229">
        <f ca="1"/>
        <v>2770.7089999999998</v>
      </c>
    </row>
    <row r="1078" spans="9:11" x14ac:dyDescent="0.15">
      <c r="I1078" s="229" vm="1996">
        <f ca="1"/>
        <v>45686</v>
      </c>
      <c r="J1078" s="355" vm="1997">
        <f ca="1"/>
        <v>85.09</v>
      </c>
      <c r="K1078" s="229">
        <f ca="1"/>
        <v>2116.6190000000001</v>
      </c>
    </row>
    <row r="1079" spans="9:11" x14ac:dyDescent="0.15">
      <c r="I1079" s="229" vm="1998">
        <f ca="1"/>
        <v>45687</v>
      </c>
      <c r="J1079" s="355" vm="1999">
        <f ca="1"/>
        <v>86.86</v>
      </c>
      <c r="K1079" s="229">
        <f ca="1"/>
        <v>2236.192</v>
      </c>
    </row>
    <row r="1080" spans="9:11" x14ac:dyDescent="0.15">
      <c r="I1080" s="229" vm="2000">
        <f ca="1"/>
        <v>45688</v>
      </c>
      <c r="J1080" s="355" vm="2001">
        <f ca="1"/>
        <v>85.86</v>
      </c>
      <c r="K1080" s="229">
        <f ca="1"/>
        <v>2864.0320000000002</v>
      </c>
    </row>
    <row r="1081" spans="9:11" x14ac:dyDescent="0.15">
      <c r="I1081" s="229" vm="2002">
        <f ca="1"/>
        <v>45691</v>
      </c>
      <c r="J1081" s="355" vm="2003">
        <f ca="1"/>
        <v>83.78</v>
      </c>
      <c r="K1081" s="229">
        <f ca="1"/>
        <v>3879.28</v>
      </c>
    </row>
    <row r="1082" spans="9:11" x14ac:dyDescent="0.15">
      <c r="I1082" s="229" vm="2004">
        <f ca="1"/>
        <v>45692</v>
      </c>
      <c r="J1082" s="355" vm="2005">
        <f ca="1"/>
        <v>85.05</v>
      </c>
      <c r="K1082" s="229">
        <f ca="1"/>
        <v>2454.0729999999999</v>
      </c>
    </row>
    <row r="1083" spans="9:11" x14ac:dyDescent="0.15">
      <c r="I1083" s="229" vm="2006">
        <f ca="1"/>
        <v>45693</v>
      </c>
      <c r="J1083" s="355" vm="2007">
        <f ca="1"/>
        <v>86.48</v>
      </c>
      <c r="K1083" s="229">
        <f ca="1"/>
        <v>2181.0990000000002</v>
      </c>
    </row>
    <row r="1084" spans="9:11" x14ac:dyDescent="0.15">
      <c r="I1084" s="229" vm="2008">
        <f ca="1"/>
        <v>45694</v>
      </c>
      <c r="J1084" s="355" vm="2009">
        <f ca="1"/>
        <v>85.94</v>
      </c>
      <c r="K1084" s="229">
        <f ca="1"/>
        <v>1640.7809999999999</v>
      </c>
    </row>
    <row r="1085" spans="9:11" x14ac:dyDescent="0.15">
      <c r="I1085" s="229" vm="2010">
        <f ca="1"/>
        <v>45695</v>
      </c>
      <c r="J1085" s="355" vm="2011">
        <f ca="1"/>
        <v>84.89</v>
      </c>
      <c r="K1085" s="229">
        <f ca="1"/>
        <v>2805.4090000000001</v>
      </c>
    </row>
    <row r="1086" spans="9:11" x14ac:dyDescent="0.15">
      <c r="I1086" s="229" vm="2012">
        <f ca="1"/>
        <v>45698</v>
      </c>
      <c r="J1086" s="355" vm="2013">
        <f ca="1"/>
        <v>88.07</v>
      </c>
      <c r="K1086" s="229">
        <f ca="1"/>
        <v>3053.3850000000002</v>
      </c>
    </row>
    <row r="1087" spans="9:11" x14ac:dyDescent="0.15">
      <c r="I1087" s="229" vm="2014">
        <f ca="1"/>
        <v>45699</v>
      </c>
      <c r="J1087" s="355" vm="2015">
        <f ca="1"/>
        <v>88.01</v>
      </c>
      <c r="K1087" s="229">
        <f ca="1"/>
        <v>2028.606</v>
      </c>
    </row>
    <row r="1088" spans="9:11" x14ac:dyDescent="0.15">
      <c r="I1088" s="229" vm="2016">
        <f ca="1"/>
        <v>45700</v>
      </c>
      <c r="J1088" s="355" vm="2017">
        <f ca="1"/>
        <v>86.79</v>
      </c>
      <c r="K1088" s="229">
        <f ca="1"/>
        <v>1874.1659999999999</v>
      </c>
    </row>
    <row r="1089" spans="9:11" x14ac:dyDescent="0.15">
      <c r="I1089" s="229" vm="2018">
        <f ca="1"/>
        <v>45701</v>
      </c>
      <c r="J1089" s="355" vm="2019">
        <f ca="1"/>
        <v>89.17</v>
      </c>
      <c r="K1089" s="229">
        <f ca="1"/>
        <v>1699.749</v>
      </c>
    </row>
    <row r="1090" spans="9:11" x14ac:dyDescent="0.15">
      <c r="I1090" s="229" vm="2020">
        <f ca="1"/>
        <v>45702</v>
      </c>
      <c r="J1090" s="355" vm="2021">
        <f ca="1"/>
        <v>91.1</v>
      </c>
      <c r="K1090" s="229">
        <f ca="1"/>
        <v>2721.4389999999999</v>
      </c>
    </row>
    <row r="1091" spans="9:11" x14ac:dyDescent="0.15">
      <c r="I1091" s="229" vm="2022">
        <f ca="1"/>
        <v>45706</v>
      </c>
      <c r="J1091" s="355" vm="2023">
        <f ca="1"/>
        <v>91.07</v>
      </c>
      <c r="K1091" s="229">
        <f ca="1"/>
        <v>3397.502</v>
      </c>
    </row>
    <row r="1092" spans="9:11" x14ac:dyDescent="0.15">
      <c r="I1092" s="229" vm="2024">
        <f ca="1"/>
        <v>45707</v>
      </c>
      <c r="J1092" s="355" vm="2021">
        <f ca="1"/>
        <v>91.1</v>
      </c>
      <c r="K1092" s="229">
        <f ca="1"/>
        <v>2284.4430000000002</v>
      </c>
    </row>
    <row r="1093" spans="9:11" x14ac:dyDescent="0.15">
      <c r="I1093" s="229" vm="2025">
        <f ca="1"/>
        <v>45708</v>
      </c>
      <c r="J1093" s="355" vm="2026">
        <f ca="1"/>
        <v>90.94</v>
      </c>
      <c r="K1093" s="229">
        <f ca="1"/>
        <v>3452.7460000000001</v>
      </c>
    </row>
    <row r="1094" spans="9:11" x14ac:dyDescent="0.15">
      <c r="I1094" s="229" vm="2027">
        <f ca="1"/>
        <v>45709</v>
      </c>
      <c r="J1094" s="355" vm="2028">
        <f ca="1"/>
        <v>89.78</v>
      </c>
      <c r="K1094" s="229">
        <f ca="1"/>
        <v>2728.1109999999999</v>
      </c>
    </row>
    <row r="1095" spans="9:11" x14ac:dyDescent="0.15">
      <c r="I1095" s="229" vm="2029">
        <f ca="1"/>
        <v>45712</v>
      </c>
      <c r="J1095" s="355" vm="2030">
        <f ca="1"/>
        <v>88.7</v>
      </c>
      <c r="K1095" s="229">
        <f ca="1"/>
        <v>2676.9549999999999</v>
      </c>
    </row>
    <row r="1096" spans="9:11" x14ac:dyDescent="0.15">
      <c r="I1096" s="229" vm="2031">
        <f ca="1"/>
        <v>45713</v>
      </c>
      <c r="J1096" s="355" vm="2032">
        <f ca="1"/>
        <v>90.09</v>
      </c>
      <c r="K1096" s="229">
        <f ca="1"/>
        <v>2992.78</v>
      </c>
    </row>
    <row r="1097" spans="9:11" x14ac:dyDescent="0.15">
      <c r="I1097" s="229" vm="2033">
        <f ca="1"/>
        <v>45714</v>
      </c>
      <c r="J1097" s="355" vm="1887">
        <f ca="1"/>
        <v>90.41</v>
      </c>
      <c r="K1097" s="229">
        <f ca="1"/>
        <v>1990.846</v>
      </c>
    </row>
    <row r="1098" spans="9:11" x14ac:dyDescent="0.15">
      <c r="I1098" s="229" vm="2034">
        <f ca="1"/>
        <v>45715</v>
      </c>
      <c r="J1098" s="355" vm="2035">
        <f ca="1"/>
        <v>88.62</v>
      </c>
      <c r="K1098" s="229">
        <f ca="1"/>
        <v>3213.8850000000002</v>
      </c>
    </row>
    <row r="1099" spans="9:11" x14ac:dyDescent="0.15">
      <c r="I1099" s="229" vm="2036">
        <f ca="1"/>
        <v>45716</v>
      </c>
      <c r="J1099" s="355" vm="2037">
        <f ca="1"/>
        <v>89.91</v>
      </c>
      <c r="K1099" s="229">
        <f ca="1"/>
        <v>3352.779</v>
      </c>
    </row>
    <row r="1100" spans="9:11" x14ac:dyDescent="0.15">
      <c r="I1100" s="229" vm="2038">
        <f ca="1"/>
        <v>45719</v>
      </c>
      <c r="J1100" s="355" vm="2039">
        <f ca="1"/>
        <v>86.74</v>
      </c>
      <c r="K1100" s="229">
        <f ca="1"/>
        <v>4065.806</v>
      </c>
    </row>
    <row r="1101" spans="9:11" x14ac:dyDescent="0.15">
      <c r="I1101" s="229" vm="2040">
        <f ca="1"/>
        <v>45720</v>
      </c>
      <c r="J1101" s="355" vm="2041">
        <f ca="1"/>
        <v>75.2</v>
      </c>
      <c r="K1101" s="229">
        <f ca="1"/>
        <v>14831.57</v>
      </c>
    </row>
    <row r="1102" spans="9:11" x14ac:dyDescent="0.15">
      <c r="I1102" s="229" vm="2042">
        <f ca="1"/>
        <v>45721</v>
      </c>
      <c r="J1102" s="355" vm="2043">
        <f ca="1"/>
        <v>75.53</v>
      </c>
      <c r="K1102" s="229">
        <f ca="1"/>
        <v>5763.9889999999996</v>
      </c>
    </row>
    <row r="1103" spans="9:11" x14ac:dyDescent="0.15">
      <c r="I1103" s="229" vm="2044">
        <f ca="1"/>
        <v>45722</v>
      </c>
      <c r="J1103" s="355" vm="2045">
        <f ca="1"/>
        <v>78.599999999999994</v>
      </c>
      <c r="K1103" s="229">
        <f ca="1"/>
        <v>4627.7349999999997</v>
      </c>
    </row>
    <row r="1104" spans="9:11" x14ac:dyDescent="0.15">
      <c r="I1104" s="229" vm="2046">
        <f ca="1"/>
        <v>45723</v>
      </c>
      <c r="J1104" s="355" vm="2047">
        <f ca="1"/>
        <v>79.41</v>
      </c>
      <c r="K1104" s="229">
        <f ca="1"/>
        <v>3116.6170000000002</v>
      </c>
    </row>
    <row r="1105" spans="9:11" x14ac:dyDescent="0.15">
      <c r="I1105" s="229" vm="2048">
        <f ca="1"/>
        <v>45726</v>
      </c>
      <c r="J1105" s="355" vm="2049">
        <f ca="1"/>
        <v>78.86</v>
      </c>
      <c r="K1105" s="229">
        <f ca="1"/>
        <v>3257.9969999999998</v>
      </c>
    </row>
    <row r="1106" spans="9:11" x14ac:dyDescent="0.15">
      <c r="I1106" s="229" vm="2050">
        <f ca="1"/>
        <v>45727</v>
      </c>
      <c r="J1106" s="355" vm="1541">
        <f ca="1"/>
        <v>74.819999999999993</v>
      </c>
      <c r="K1106" s="229">
        <f ca="1"/>
        <v>4017.9830000000002</v>
      </c>
    </row>
    <row r="1107" spans="9:11" x14ac:dyDescent="0.15">
      <c r="I1107" s="229" vm="2051">
        <f ca="1"/>
        <v>45728</v>
      </c>
      <c r="J1107" s="355" vm="2052">
        <f ca="1"/>
        <v>72.64</v>
      </c>
      <c r="K1107" s="229">
        <f ca="1"/>
        <v>4249.6319999999996</v>
      </c>
    </row>
    <row r="1108" spans="9:11" x14ac:dyDescent="0.15">
      <c r="I1108" s="229" vm="2053">
        <f ca="1"/>
        <v>45729</v>
      </c>
      <c r="J1108" s="355" vm="2054">
        <f ca="1"/>
        <v>70.3</v>
      </c>
      <c r="K1108" s="229">
        <f ca="1"/>
        <v>3387.319</v>
      </c>
    </row>
    <row r="1109" spans="9:11" x14ac:dyDescent="0.15">
      <c r="I1109" s="229" vm="2055">
        <f ca="1"/>
        <v>45730</v>
      </c>
      <c r="J1109" s="355" vm="2056">
        <f ca="1"/>
        <v>71.489999999999995</v>
      </c>
      <c r="K1109" s="229">
        <f ca="1"/>
        <v>4177.0860000000002</v>
      </c>
    </row>
    <row r="1110" spans="9:11" x14ac:dyDescent="0.15">
      <c r="I1110" s="229" vm="2057">
        <f ca="1"/>
        <v>45733</v>
      </c>
      <c r="J1110" s="355" vm="2058">
        <f ca="1"/>
        <v>73.77</v>
      </c>
      <c r="K1110" s="229">
        <f ca="1"/>
        <v>4399.3739999999998</v>
      </c>
    </row>
    <row r="1111" spans="9:11" x14ac:dyDescent="0.15">
      <c r="I1111" s="229" vm="2059">
        <f ca="1"/>
        <v>45734</v>
      </c>
      <c r="J1111" s="355" vm="1344">
        <f ca="1"/>
        <v>73.13</v>
      </c>
      <c r="K1111" s="229">
        <f ca="1"/>
        <v>2396.8960000000002</v>
      </c>
    </row>
    <row r="1112" spans="9:11" x14ac:dyDescent="0.15">
      <c r="I1112" s="229" vm="2060">
        <f ca="1"/>
        <v>45735</v>
      </c>
      <c r="J1112" s="355" vm="2061">
        <f ca="1"/>
        <v>73.790000000000006</v>
      </c>
      <c r="K1112" s="229">
        <f ca="1"/>
        <v>2489.09</v>
      </c>
    </row>
    <row r="1113" spans="9:11" x14ac:dyDescent="0.15">
      <c r="I1113" s="229" vm="2062">
        <f ca="1"/>
        <v>45736</v>
      </c>
      <c r="J1113" s="355" vm="2063">
        <f ca="1"/>
        <v>73.48</v>
      </c>
      <c r="K1113" s="229">
        <f ca="1"/>
        <v>2664.75</v>
      </c>
    </row>
    <row r="1114" spans="9:11" x14ac:dyDescent="0.15">
      <c r="I1114" s="229" vm="2064">
        <f ca="1"/>
        <v>45737</v>
      </c>
      <c r="J1114" s="355" vm="2065">
        <f ca="1"/>
        <v>73.56</v>
      </c>
      <c r="K1114" s="229">
        <f ca="1"/>
        <v>6849.5889999999999</v>
      </c>
    </row>
    <row r="1115" spans="9:11" x14ac:dyDescent="0.15">
      <c r="I1115" s="229" vm="2066">
        <f ca="1"/>
        <v>45740</v>
      </c>
      <c r="J1115" s="355" vm="2067">
        <f ca="1"/>
        <v>75.67</v>
      </c>
      <c r="K1115" s="229">
        <f ca="1"/>
        <v>3256.0810000000001</v>
      </c>
    </row>
    <row r="1116" spans="9:11" x14ac:dyDescent="0.15">
      <c r="I1116" s="229" vm="2068">
        <f ca="1"/>
        <v>45741</v>
      </c>
      <c r="J1116" s="355" vm="2069">
        <f ca="1"/>
        <v>74.62</v>
      </c>
      <c r="K1116" s="229">
        <f ca="1"/>
        <v>2310.817</v>
      </c>
    </row>
    <row r="1117" spans="9:11" x14ac:dyDescent="0.15">
      <c r="I1117" s="229" vm="2070">
        <f ca="1"/>
        <v>45742</v>
      </c>
      <c r="J1117" s="355" vm="2071">
        <f ca="1"/>
        <v>74.83</v>
      </c>
      <c r="K1117" s="229">
        <f ca="1"/>
        <v>2398.2759999999998</v>
      </c>
    </row>
    <row r="1118" spans="9:11" x14ac:dyDescent="0.15">
      <c r="I1118" s="229" vm="2072">
        <f ca="1"/>
        <v>45743</v>
      </c>
      <c r="J1118" s="355" vm="2073">
        <f ca="1"/>
        <v>74.87</v>
      </c>
      <c r="K1118" s="229">
        <f ca="1"/>
        <v>2327.6129999999998</v>
      </c>
    </row>
    <row r="1119" spans="9:11" x14ac:dyDescent="0.15">
      <c r="I1119" s="229" vm="2074">
        <f ca="1"/>
        <v>45744</v>
      </c>
      <c r="J1119" s="355" vm="2075">
        <f ca="1"/>
        <v>72.45</v>
      </c>
      <c r="K1119" s="229">
        <f ca="1"/>
        <v>2547.7809999999999</v>
      </c>
    </row>
    <row r="1120" spans="9:11" x14ac:dyDescent="0.15">
      <c r="I1120" s="229" vm="2076">
        <f ca="1"/>
        <v>45747</v>
      </c>
      <c r="J1120" s="355" vm="2077">
        <f ca="1"/>
        <v>73.61</v>
      </c>
      <c r="K1120" s="229">
        <f ca="1"/>
        <v>3529.0340000000001</v>
      </c>
    </row>
    <row r="1121" spans="9:11" x14ac:dyDescent="0.15">
      <c r="I1121" s="229" vm="2078">
        <f ca="1"/>
        <v>45748</v>
      </c>
      <c r="J1121" s="355" vm="2079">
        <f ca="1"/>
        <v>74.37</v>
      </c>
      <c r="K1121" s="229">
        <f ca="1"/>
        <v>2346.605</v>
      </c>
    </row>
    <row r="1122" spans="9:11" x14ac:dyDescent="0.15">
      <c r="I1122" s="229" vm="2080">
        <f ca="1"/>
        <v>45749</v>
      </c>
      <c r="J1122" s="355" vm="2081">
        <f ca="1"/>
        <v>75.73</v>
      </c>
      <c r="K1122" s="229">
        <f ca="1"/>
        <v>2160.6689999999999</v>
      </c>
    </row>
    <row r="1123" spans="9:11" x14ac:dyDescent="0.15">
      <c r="I1123" s="229" vm="2082">
        <f ca="1"/>
        <v>45750</v>
      </c>
      <c r="J1123" s="355" vm="2083">
        <f ca="1"/>
        <v>62.22</v>
      </c>
      <c r="K1123" s="229">
        <f ca="1"/>
        <v>10734.6</v>
      </c>
    </row>
    <row r="1124" spans="9:11" x14ac:dyDescent="0.15">
      <c r="I1124" s="229" vm="2084">
        <f ca="1"/>
        <v>45751</v>
      </c>
      <c r="J1124" s="355" vm="2085">
        <f ca="1"/>
        <v>60.44</v>
      </c>
      <c r="K1124" s="229">
        <f ca="1"/>
        <v>8429.5589999999993</v>
      </c>
    </row>
    <row r="1125" spans="9:11" x14ac:dyDescent="0.15">
      <c r="I1125" s="229" vm="2086">
        <f ca="1"/>
        <v>45754</v>
      </c>
      <c r="J1125" s="355" vm="2087">
        <f ca="1"/>
        <v>61.23</v>
      </c>
      <c r="K1125" s="229">
        <f ca="1"/>
        <v>9968.2180000000008</v>
      </c>
    </row>
    <row r="1126" spans="9:11" x14ac:dyDescent="0.15">
      <c r="I1126" s="229" vm="2088">
        <f ca="1"/>
        <v>45755</v>
      </c>
      <c r="J1126" s="355" vm="2089">
        <f ca="1"/>
        <v>56.17</v>
      </c>
      <c r="K1126" s="229">
        <f ca="1"/>
        <v>7836.9840000000004</v>
      </c>
    </row>
    <row r="1127" spans="9:11" x14ac:dyDescent="0.15">
      <c r="I1127" s="229" vm="2090">
        <f ca="1"/>
        <v>45756</v>
      </c>
      <c r="J1127" s="355" vm="2091">
        <f ca="1"/>
        <v>63.65</v>
      </c>
      <c r="K1127" s="229">
        <f ca="1"/>
        <v>12482.549000000001</v>
      </c>
    </row>
    <row r="1128" spans="9:11" x14ac:dyDescent="0.15">
      <c r="I1128" s="229" vm="2092">
        <f ca="1"/>
        <v>45757</v>
      </c>
      <c r="J1128" s="355" vm="2093">
        <f ca="1"/>
        <v>59.75</v>
      </c>
      <c r="K1128" s="229">
        <f ca="1"/>
        <v>7115.3850000000002</v>
      </c>
    </row>
    <row r="1129" spans="9:11" x14ac:dyDescent="0.15">
      <c r="I1129" s="229" vm="2094">
        <f ca="1"/>
        <v>45758</v>
      </c>
      <c r="J1129" s="355" vm="2095">
        <f ca="1"/>
        <v>60.43</v>
      </c>
      <c r="K1129" s="229">
        <f ca="1"/>
        <v>5163.7910000000002</v>
      </c>
    </row>
    <row r="1130" spans="9:11" x14ac:dyDescent="0.15">
      <c r="I1130" s="229" vm="2096">
        <f ca="1"/>
        <v>45761</v>
      </c>
      <c r="J1130" s="355" vm="2097">
        <f ca="1"/>
        <v>61.76</v>
      </c>
      <c r="K1130" s="229">
        <f ca="1"/>
        <v>9499.2819999999992</v>
      </c>
    </row>
    <row r="1131" spans="9:11" x14ac:dyDescent="0.15">
      <c r="I1131" s="229" vm="2098">
        <f ca="1"/>
        <v>45762</v>
      </c>
      <c r="J1131" s="355" vm="2099">
        <f ca="1"/>
        <v>61.14</v>
      </c>
      <c r="K1131" s="229">
        <f ca="1"/>
        <v>4036.81</v>
      </c>
    </row>
    <row r="1132" spans="9:11" x14ac:dyDescent="0.15">
      <c r="I1132" s="229" vm="2100">
        <f ca="1"/>
        <v>45763</v>
      </c>
      <c r="J1132" s="355" vm="2101">
        <f ca="1"/>
        <v>59.63</v>
      </c>
      <c r="K1132" s="229">
        <f ca="1"/>
        <v>3158.0709999999999</v>
      </c>
    </row>
    <row r="1133" spans="9:11" x14ac:dyDescent="0.15">
      <c r="I1133" s="229" vm="2102">
        <f ca="1"/>
        <v>45764</v>
      </c>
      <c r="J1133" s="355" vm="2103">
        <f ca="1"/>
        <v>61.97</v>
      </c>
      <c r="K1133" s="229">
        <f ca="1"/>
        <v>3862.549</v>
      </c>
    </row>
    <row r="1134" spans="9:11" x14ac:dyDescent="0.15">
      <c r="I1134" s="229" vm="2104">
        <f ca="1"/>
        <v>45768</v>
      </c>
      <c r="J1134" s="355" vm="2105">
        <f ca="1"/>
        <v>62.11</v>
      </c>
      <c r="K1134" s="229">
        <f ca="1"/>
        <v>3088.529</v>
      </c>
    </row>
    <row r="1135" spans="9:11" x14ac:dyDescent="0.15">
      <c r="I1135" s="229" vm="2106">
        <f ca="1"/>
        <v>45769</v>
      </c>
      <c r="J1135" s="355" vm="2107">
        <f ca="1"/>
        <v>63.38</v>
      </c>
      <c r="K1135" s="229">
        <f ca="1"/>
        <v>4699.3469999999998</v>
      </c>
    </row>
    <row r="1136" spans="9:11" x14ac:dyDescent="0.15">
      <c r="I1136" s="229" vm="2108">
        <f ca="1"/>
        <v>45770</v>
      </c>
      <c r="J1136" s="355" vm="2109">
        <f ca="1"/>
        <v>63.47</v>
      </c>
      <c r="K1136" s="229">
        <f ca="1"/>
        <v>4941.7089999999998</v>
      </c>
    </row>
    <row r="1137" spans="9:11" x14ac:dyDescent="0.15">
      <c r="I1137" s="229" vm="2110">
        <f ca="1"/>
        <v>45771</v>
      </c>
      <c r="J1137" s="355" vm="2111">
        <f ca="1"/>
        <v>66</v>
      </c>
      <c r="K1137" s="229">
        <f ca="1"/>
        <v>3671.6550000000002</v>
      </c>
    </row>
    <row r="1138" spans="9:11" x14ac:dyDescent="0.15">
      <c r="I1138" s="229" vm="2112">
        <f ca="1"/>
        <v>45772</v>
      </c>
      <c r="J1138" s="355" vm="2113">
        <f ca="1"/>
        <v>67.709999999999994</v>
      </c>
      <c r="K1138" s="229">
        <f ca="1"/>
        <v>5171.8109999999997</v>
      </c>
    </row>
    <row r="1139" spans="9:11" x14ac:dyDescent="0.15">
      <c r="I1139" s="229" vm="2114">
        <f ca="1"/>
        <v>45775</v>
      </c>
      <c r="J1139" s="355" vm="2115">
        <f ca="1"/>
        <v>67.48</v>
      </c>
      <c r="K1139" s="229">
        <f ca="1"/>
        <v>3462.3290000000002</v>
      </c>
    </row>
    <row r="1140" spans="9:11" x14ac:dyDescent="0.15">
      <c r="I1140" s="229" vm="2116">
        <f ca="1"/>
        <v>45776</v>
      </c>
      <c r="J1140" s="355" vm="2117">
        <f ca="1"/>
        <v>66.680000000000007</v>
      </c>
      <c r="K1140" s="229">
        <f ca="1"/>
        <v>2453.212</v>
      </c>
    </row>
    <row r="1141" spans="9:11" x14ac:dyDescent="0.15">
      <c r="I1141" s="229" vm="2118">
        <f ca="1"/>
        <v>45777</v>
      </c>
      <c r="J1141" s="355" vm="2119">
        <f ca="1"/>
        <v>66.69</v>
      </c>
      <c r="K1141" s="229">
        <f ca="1"/>
        <v>3534.9009999999998</v>
      </c>
    </row>
    <row r="1142" spans="9:11" x14ac:dyDescent="0.15">
      <c r="I1142" s="229" vm="2120">
        <f ca="1"/>
        <v>45778</v>
      </c>
      <c r="J1142" s="355" vm="2121">
        <f ca="1"/>
        <v>67.040000000000006</v>
      </c>
      <c r="K1142" s="229">
        <f ca="1"/>
        <v>2596.2730000000001</v>
      </c>
    </row>
    <row r="1143" spans="9:11" x14ac:dyDescent="0.15">
      <c r="I1143" s="229" vm="2122">
        <f ca="1"/>
        <v>45779</v>
      </c>
      <c r="J1143" s="355" vm="2123">
        <f ca="1"/>
        <v>68.069999999999993</v>
      </c>
      <c r="K1143" s="229">
        <f ca="1"/>
        <v>3315.5349999999999</v>
      </c>
    </row>
    <row r="1144" spans="9:11" x14ac:dyDescent="0.15">
      <c r="I1144" s="229" vm="2124">
        <f ca="1"/>
        <v>45782</v>
      </c>
      <c r="J1144" s="355" vm="2125">
        <f ca="1"/>
        <v>67.66</v>
      </c>
      <c r="K1144" s="229">
        <f ca="1"/>
        <v>2103.6990000000001</v>
      </c>
    </row>
    <row r="1145" spans="9:11" x14ac:dyDescent="0.15">
      <c r="I1145" s="229" vm="2126">
        <f ca="1"/>
        <v>45783</v>
      </c>
      <c r="J1145" s="355" vm="2117">
        <f ca="1"/>
        <v>66.680000000000007</v>
      </c>
      <c r="K1145" s="229">
        <f ca="1"/>
        <v>2235.8209999999999</v>
      </c>
    </row>
    <row r="1146" spans="9:11" x14ac:dyDescent="0.15">
      <c r="I1146" s="229" vm="2127">
        <f ca="1"/>
        <v>45784</v>
      </c>
      <c r="J1146" s="355" vm="2128">
        <f ca="1"/>
        <v>68.38</v>
      </c>
      <c r="K1146" s="229">
        <f ca="1"/>
        <v>2983.5450000000001</v>
      </c>
    </row>
    <row r="1147" spans="9:11" x14ac:dyDescent="0.15">
      <c r="I1147" s="229" vm="2129">
        <f ca="1"/>
        <v>45785</v>
      </c>
      <c r="J1147" s="355" vm="2130">
        <f ca="1"/>
        <v>69.42</v>
      </c>
      <c r="K1147" s="229">
        <f ca="1"/>
        <v>2519.3040000000001</v>
      </c>
    </row>
    <row r="1148" spans="9:11" x14ac:dyDescent="0.15">
      <c r="I1148" s="229" vm="2131">
        <f ca="1"/>
        <v>45786</v>
      </c>
      <c r="J1148" s="355" vm="779">
        <f ca="1"/>
        <v>68.849999999999994</v>
      </c>
      <c r="K1148" s="229">
        <f ca="1"/>
        <v>1881.8240000000001</v>
      </c>
    </row>
    <row r="1149" spans="9:11" x14ac:dyDescent="0.15">
      <c r="I1149" s="229" vm="2132">
        <f ca="1"/>
        <v>45789</v>
      </c>
      <c r="J1149" s="355" vm="2133">
        <f ca="1"/>
        <v>73.37</v>
      </c>
      <c r="K1149" s="229">
        <f ca="1"/>
        <v>5019.26</v>
      </c>
    </row>
    <row r="1150" spans="9:11" x14ac:dyDescent="0.15">
      <c r="I1150" s="229" vm="2134">
        <f ca="1"/>
        <v>45790</v>
      </c>
      <c r="J1150" s="355" vm="2058">
        <f ca="1"/>
        <v>73.77</v>
      </c>
      <c r="K1150" s="229">
        <f ca="1"/>
        <v>2935.7060000000001</v>
      </c>
    </row>
    <row r="1151" spans="9:11" x14ac:dyDescent="0.15">
      <c r="I1151" s="229" vm="2135">
        <f ca="1"/>
        <v>45791</v>
      </c>
      <c r="J1151" s="355" vm="2136">
        <f ca="1"/>
        <v>73.39</v>
      </c>
      <c r="K1151" s="229">
        <f ca="1"/>
        <v>3529.12</v>
      </c>
    </row>
    <row r="1152" spans="9:11" x14ac:dyDescent="0.15">
      <c r="I1152" s="229" vm="2137">
        <f ca="1"/>
        <v>45792</v>
      </c>
      <c r="J1152" s="355" vm="2138">
        <f ca="1"/>
        <v>72.84</v>
      </c>
      <c r="K1152" s="229">
        <f ca="1"/>
        <v>2148.4870000000001</v>
      </c>
    </row>
    <row r="1153" spans="9:11" x14ac:dyDescent="0.15">
      <c r="I1153" s="229" vm="2139">
        <f ca="1"/>
        <v>45793</v>
      </c>
      <c r="J1153" s="355" vm="2140">
        <f ca="1"/>
        <v>73.8</v>
      </c>
      <c r="K1153" s="229">
        <f ca="1"/>
        <v>2137.7800000000002</v>
      </c>
    </row>
    <row r="1154" spans="9:11" x14ac:dyDescent="0.15">
      <c r="I1154" s="229" vm="2141">
        <f ca="1"/>
        <v>45796</v>
      </c>
      <c r="J1154" s="355" vm="1197">
        <f ca="1"/>
        <v>71.599999999999994</v>
      </c>
      <c r="K1154" s="229">
        <f ca="1"/>
        <v>3356.6909999999998</v>
      </c>
    </row>
    <row r="1155" spans="9:11" x14ac:dyDescent="0.15">
      <c r="I1155" s="229" vm="2142">
        <f ca="1"/>
        <v>45797</v>
      </c>
      <c r="J1155" s="355" vm="2143">
        <f ca="1"/>
        <v>71.150000000000006</v>
      </c>
      <c r="K1155" s="229">
        <f ca="1"/>
        <v>4254.5659999999998</v>
      </c>
    </row>
    <row r="1156" spans="9:11" x14ac:dyDescent="0.15">
      <c r="I1156" s="229" vm="2144">
        <f ca="1"/>
        <v>45798</v>
      </c>
      <c r="J1156" s="355" vm="2145">
        <f ca="1"/>
        <v>70.150000000000006</v>
      </c>
      <c r="K1156" s="229">
        <f ca="1"/>
        <v>3541.1309999999999</v>
      </c>
    </row>
    <row r="1157" spans="9:11" x14ac:dyDescent="0.15">
      <c r="I1157" s="229" vm="2146">
        <f ca="1"/>
        <v>45799</v>
      </c>
      <c r="J1157" s="355" vm="1410">
        <f ca="1"/>
        <v>70.760000000000005</v>
      </c>
      <c r="K1157" s="229">
        <f ca="1"/>
        <v>3125.2420000000002</v>
      </c>
    </row>
    <row r="1158" spans="9:11" x14ac:dyDescent="0.15">
      <c r="I1158" s="229" vm="2147">
        <f ca="1"/>
        <v>45800</v>
      </c>
      <c r="J1158" s="355" vm="2148">
        <f ca="1"/>
        <v>69.92</v>
      </c>
      <c r="K1158" s="229">
        <f ca="1"/>
        <v>3591.1840000000002</v>
      </c>
    </row>
    <row r="1159" spans="9:11" x14ac:dyDescent="0.15">
      <c r="I1159" s="229" vm="2149">
        <f ca="1"/>
        <v>45804</v>
      </c>
      <c r="J1159" s="355" vm="1205">
        <f ca="1"/>
        <v>72.22</v>
      </c>
      <c r="K1159" s="229">
        <f ca="1"/>
        <v>3619.8719999999998</v>
      </c>
    </row>
    <row r="1160" spans="9:11" x14ac:dyDescent="0.15">
      <c r="I1160" s="229" vm="2150">
        <f ca="1"/>
        <v>45805</v>
      </c>
      <c r="J1160" s="355" vm="2151">
        <f ca="1"/>
        <v>71.52</v>
      </c>
      <c r="K1160" s="229">
        <f ca="1"/>
        <v>4761.97</v>
      </c>
    </row>
    <row r="1161" spans="9:11" x14ac:dyDescent="0.15">
      <c r="I1161" s="229" vm="2152">
        <f ca="1"/>
        <v>45806</v>
      </c>
      <c r="J1161" s="355" vm="2153">
        <f ca="1"/>
        <v>66.319999999999993</v>
      </c>
      <c r="K1161" s="229">
        <f ca="1"/>
        <v>11678.831</v>
      </c>
    </row>
    <row r="1162" spans="9:11" x14ac:dyDescent="0.15">
      <c r="I1162" s="229" vm="2154">
        <f ca="1"/>
        <v>45807</v>
      </c>
      <c r="J1162" s="355" vm="2155">
        <f ca="1"/>
        <v>66.28</v>
      </c>
      <c r="K1162" s="229">
        <f ca="1"/>
        <v>6442.2309999999998</v>
      </c>
    </row>
    <row r="1163" spans="9:11" x14ac:dyDescent="0.15">
      <c r="I1163" s="229" vm="2156">
        <f ca="1"/>
        <v>45810</v>
      </c>
      <c r="J1163" s="355" vm="2157">
        <f ca="1"/>
        <v>68.27</v>
      </c>
      <c r="K1163" s="229">
        <f ca="1"/>
        <v>4785.817</v>
      </c>
    </row>
    <row r="1164" spans="9:11" x14ac:dyDescent="0.15">
      <c r="I1164" s="229" vm="2158">
        <f ca="1"/>
        <v>45811</v>
      </c>
      <c r="J1164" s="355" vm="2159">
        <f ca="1"/>
        <v>69.84</v>
      </c>
      <c r="K1164" s="229">
        <f ca="1"/>
        <v>4007.4229999999998</v>
      </c>
    </row>
    <row r="1165" spans="9:11" x14ac:dyDescent="0.15">
      <c r="I1165" s="229" vm="2160">
        <f ca="1"/>
        <v>45812</v>
      </c>
      <c r="J1165" s="355" vm="2161">
        <f ca="1"/>
        <v>69.67</v>
      </c>
      <c r="K1165" s="229">
        <f ca="1"/>
        <v>2496.3180000000002</v>
      </c>
    </row>
    <row r="1166" spans="9:11" x14ac:dyDescent="0.15">
      <c r="I1166" s="229" vm="2162">
        <f ca="1"/>
        <v>45813</v>
      </c>
      <c r="J1166" s="355" vm="2163">
        <f ca="1"/>
        <v>70.459999999999994</v>
      </c>
      <c r="K1166" s="229">
        <f ca="1"/>
        <v>3325.5439999999999</v>
      </c>
    </row>
    <row r="1167" spans="9:11" x14ac:dyDescent="0.15">
      <c r="I1167" s="229" vm="2164">
        <f ca="1"/>
        <v>45814</v>
      </c>
      <c r="J1167" s="355" vm="2165">
        <f ca="1"/>
        <v>73.02</v>
      </c>
      <c r="K1167" s="229">
        <f ca="1"/>
        <v>3845.723</v>
      </c>
    </row>
    <row r="1168" spans="9:11" x14ac:dyDescent="0.15">
      <c r="I1168" s="229" vm="2166">
        <f ca="1"/>
        <v>45817</v>
      </c>
      <c r="J1168" s="355" vm="2167">
        <f ca="1"/>
        <v>72.75</v>
      </c>
      <c r="K1168" s="229">
        <f ca="1"/>
        <v>4425.0010000000002</v>
      </c>
    </row>
    <row r="1169" spans="9:11" x14ac:dyDescent="0.15">
      <c r="I1169" s="229" vm="2168">
        <f ca="1"/>
        <v>45818</v>
      </c>
      <c r="J1169" s="355" vm="2169">
        <f ca="1"/>
        <v>74.91</v>
      </c>
      <c r="K1169" s="229">
        <f ca="1"/>
        <v>4247.3069999999998</v>
      </c>
    </row>
    <row r="1170" spans="9:11" x14ac:dyDescent="0.15">
      <c r="I1170" s="229" vm="2170">
        <f ca="1"/>
        <v>45819</v>
      </c>
      <c r="J1170" s="355" vm="1203">
        <f ca="1"/>
        <v>72.650000000000006</v>
      </c>
      <c r="K1170" s="229">
        <f ca="1"/>
        <v>3485.7080000000001</v>
      </c>
    </row>
    <row r="1171" spans="9:11" x14ac:dyDescent="0.15">
      <c r="I1171" s="229" vm="2171">
        <f ca="1"/>
        <v>45820</v>
      </c>
      <c r="J1171" s="355" vm="2172">
        <f ca="1"/>
        <v>72.540000000000006</v>
      </c>
      <c r="K1171" s="229">
        <f ca="1"/>
        <v>2455.931</v>
      </c>
    </row>
    <row r="1172" spans="9:11" x14ac:dyDescent="0.15">
      <c r="I1172" s="229" vm="2173">
        <f ca="1"/>
        <v>45821</v>
      </c>
      <c r="J1172" s="355" vm="2174">
        <f ca="1"/>
        <v>69.599999999999994</v>
      </c>
      <c r="K1172" s="229">
        <f ca="1"/>
        <v>2916.82</v>
      </c>
    </row>
    <row r="1173" spans="9:11" x14ac:dyDescent="0.15">
      <c r="I1173" s="229" vm="2175">
        <f ca="1"/>
        <v>45824</v>
      </c>
      <c r="J1173" s="355" vm="2176">
        <f ca="1"/>
        <v>71.23</v>
      </c>
      <c r="K1173" s="229">
        <f ca="1"/>
        <v>2989.2649999999999</v>
      </c>
    </row>
    <row r="1174" spans="9:11" x14ac:dyDescent="0.15">
      <c r="I1174" s="229" vm="2177">
        <f ca="1"/>
        <v>45825</v>
      </c>
      <c r="J1174" s="355" vm="2178">
        <f ca="1"/>
        <v>69.39</v>
      </c>
      <c r="K1174" s="229">
        <f ca="1"/>
        <v>4375.0569999999998</v>
      </c>
    </row>
    <row r="1175" spans="9:11" x14ac:dyDescent="0.15">
      <c r="I1175" s="229" vm="2179">
        <f ca="1"/>
        <v>45826</v>
      </c>
      <c r="J1175" s="355" vm="2180">
        <f ca="1"/>
        <v>67.760000000000005</v>
      </c>
      <c r="K1175" s="229">
        <f ca="1"/>
        <v>2799.1379999999999</v>
      </c>
    </row>
    <row r="1176" spans="9:11" x14ac:dyDescent="0.15">
      <c r="I1176" s="229" vm="2181">
        <f ca="1"/>
        <v>45828</v>
      </c>
      <c r="J1176" s="355" vm="2182">
        <f ca="1"/>
        <v>67.52</v>
      </c>
      <c r="K1176" s="229">
        <f ca="1"/>
        <v>5188.0119999999997</v>
      </c>
    </row>
    <row r="1177" spans="9:11" x14ac:dyDescent="0.15">
      <c r="I1177" s="229" vm="2183">
        <f ca="1"/>
        <v>45831</v>
      </c>
      <c r="J1177" s="355" vm="2184">
        <f ca="1"/>
        <v>66.37</v>
      </c>
      <c r="K1177" s="229">
        <f ca="1"/>
        <v>3985.1729999999998</v>
      </c>
    </row>
    <row r="1178" spans="9:11" x14ac:dyDescent="0.15">
      <c r="I1178" s="229" vm="2185">
        <f ca="1"/>
        <v>45832</v>
      </c>
      <c r="J1178" s="355" vm="2186">
        <f ca="1"/>
        <v>68.84</v>
      </c>
      <c r="K1178" s="229">
        <f ca="1"/>
        <v>4386.4040000000005</v>
      </c>
    </row>
    <row r="1179" spans="9:11" x14ac:dyDescent="0.15">
      <c r="I1179" s="229" vm="2187">
        <f ca="1"/>
        <v>45833</v>
      </c>
      <c r="J1179" s="355" vm="2188">
        <f ca="1"/>
        <v>68</v>
      </c>
      <c r="K1179" s="229">
        <f ca="1"/>
        <v>2837.6410000000001</v>
      </c>
    </row>
    <row r="1180" spans="9:11" x14ac:dyDescent="0.15">
      <c r="I1180" s="229" vm="2189">
        <f ca="1"/>
        <v>45834</v>
      </c>
      <c r="J1180" s="355" vm="2190">
        <f ca="1"/>
        <v>68.430000000000007</v>
      </c>
      <c r="K1180" s="229">
        <f ca="1"/>
        <v>2148.1469999999999</v>
      </c>
    </row>
    <row r="1181" spans="9:11" x14ac:dyDescent="0.15">
      <c r="I1181" s="229" vm="2191">
        <f ca="1"/>
        <v>45835</v>
      </c>
      <c r="J1181" s="355" vm="1456">
        <f ca="1"/>
        <v>68.22</v>
      </c>
      <c r="K1181" s="229">
        <f ca="1"/>
        <v>4742.9939999999997</v>
      </c>
    </row>
    <row r="1182" spans="9:11" x14ac:dyDescent="0.15">
      <c r="I1182" s="229" vm="2192">
        <f ca="1"/>
        <v>45838</v>
      </c>
      <c r="J1182" s="355" vm="2193">
        <f ca="1"/>
        <v>67.13</v>
      </c>
      <c r="K1182" s="229">
        <f ca="1"/>
        <v>3711.7620000000002</v>
      </c>
    </row>
    <row r="1183" spans="9:11" x14ac:dyDescent="0.15">
      <c r="I1183" s="229" vm="2194">
        <f ca="1"/>
        <v>45839</v>
      </c>
      <c r="J1183" s="355" vm="2195">
        <f ca="1"/>
        <v>70.650000000000006</v>
      </c>
      <c r="K1183" s="229">
        <f ca="1"/>
        <v>5341.174</v>
      </c>
    </row>
    <row r="1184" spans="9:11" x14ac:dyDescent="0.15">
      <c r="I1184" s="229" vm="2196">
        <f ca="1"/>
        <v>45840</v>
      </c>
      <c r="J1184" s="355" vm="2197">
        <f ca="1"/>
        <v>71.59</v>
      </c>
      <c r="K1184" s="229">
        <f ca="1"/>
        <v>3687.538</v>
      </c>
    </row>
    <row r="1185" spans="9:11" x14ac:dyDescent="0.15">
      <c r="I1185" s="229" vm="2198">
        <f ca="1"/>
        <v>45841</v>
      </c>
      <c r="J1185" s="355" vm="2199">
        <f ca="1"/>
        <v>72.099999999999994</v>
      </c>
      <c r="K1185" s="229">
        <f ca="1"/>
        <v>1784.9549999999999</v>
      </c>
    </row>
    <row r="1186" spans="9:11" x14ac:dyDescent="0.15">
      <c r="I1186" s="229" vm="2200">
        <f ca="1"/>
        <v>45845</v>
      </c>
      <c r="J1186" s="355" vm="767">
        <f ca="1"/>
        <v>70.510000000000005</v>
      </c>
      <c r="K1186" s="229">
        <f ca="1"/>
        <v>4196.1000000000004</v>
      </c>
    </row>
    <row r="1187" spans="9:11" x14ac:dyDescent="0.15">
      <c r="I1187" s="229" vm="2201">
        <f ca="1"/>
        <v>45846</v>
      </c>
      <c r="J1187" s="355" vm="2202">
        <f ca="1"/>
        <v>72.239999999999995</v>
      </c>
      <c r="K1187" s="229">
        <f ca="1"/>
        <v>3915.1120000000001</v>
      </c>
    </row>
    <row r="1188" spans="9:11" x14ac:dyDescent="0.15">
      <c r="I1188" s="229" vm="2203">
        <f ca="1"/>
        <v>45847</v>
      </c>
      <c r="J1188" s="355" vm="1201">
        <f ca="1"/>
        <v>72.459999999999994</v>
      </c>
      <c r="K1188" s="229">
        <f ca="1"/>
        <v>2800.1329999999998</v>
      </c>
    </row>
    <row r="1189" spans="9:11" x14ac:dyDescent="0.15">
      <c r="I1189" s="229" vm="2204">
        <f ca="1"/>
        <v>45848</v>
      </c>
      <c r="J1189" s="355" vm="2205">
        <f ca="1"/>
        <v>73.72</v>
      </c>
      <c r="K1189" s="229">
        <f ca="1"/>
        <v>3650.413</v>
      </c>
    </row>
    <row r="1190" spans="9:11" x14ac:dyDescent="0.15">
      <c r="I1190" s="229" vm="2206">
        <f ca="1"/>
        <v>45849</v>
      </c>
      <c r="J1190" s="355" vm="2207">
        <f ca="1"/>
        <v>71.790000000000006</v>
      </c>
      <c r="K1190" s="229">
        <f ca="1"/>
        <v>3039.9340000000002</v>
      </c>
    </row>
    <row r="1191" spans="9:11" x14ac:dyDescent="0.15">
      <c r="I1191" s="229" vm="2208">
        <f ca="1"/>
        <v>45852</v>
      </c>
      <c r="J1191" s="355" vm="1406">
        <f ca="1"/>
        <v>70.95</v>
      </c>
      <c r="K1191" s="229">
        <f ca="1"/>
        <v>4043.4140000000002</v>
      </c>
    </row>
    <row r="1192" spans="9:11" x14ac:dyDescent="0.15">
      <c r="I1192" s="229" vm="2209">
        <f ca="1"/>
        <v>45853</v>
      </c>
      <c r="J1192" s="355" vm="2210">
        <f ca="1"/>
        <v>68.87</v>
      </c>
      <c r="K1192" s="229">
        <f ca="1"/>
        <v>3330.1129999999998</v>
      </c>
    </row>
    <row r="1193" spans="9:11" x14ac:dyDescent="0.15">
      <c r="I1193" s="229" vm="2211">
        <f ca="1"/>
        <v>45854</v>
      </c>
      <c r="J1193" s="355" vm="2212">
        <f ca="1"/>
        <v>66.849999999999994</v>
      </c>
      <c r="K1193" s="229">
        <f ca="1"/>
        <v>4335.2370000000001</v>
      </c>
    </row>
    <row r="1194" spans="9:11" x14ac:dyDescent="0.15">
      <c r="I1194" s="229" vm="2213">
        <f ca="1"/>
        <v>45855</v>
      </c>
      <c r="J1194" s="355" vm="2214">
        <f ca="1"/>
        <v>67.67</v>
      </c>
      <c r="K1194" s="229">
        <f ca="1"/>
        <v>3058.857</v>
      </c>
    </row>
    <row r="1195" spans="9:11" x14ac:dyDescent="0.15">
      <c r="I1195" s="229" vm="2215">
        <f ca="1"/>
        <v>45856</v>
      </c>
      <c r="J1195" s="355" vm="2216">
        <f ca="1"/>
        <v>67.55</v>
      </c>
      <c r="K1195" s="229">
        <f ca="1"/>
        <v>3540.3110000000001</v>
      </c>
    </row>
    <row r="1196" spans="9:11" x14ac:dyDescent="0.15">
      <c r="I1196" s="229" vm="2217">
        <f ca="1"/>
        <v>45859</v>
      </c>
      <c r="J1196" s="355" vm="2218">
        <f ca="1"/>
        <v>66.19</v>
      </c>
      <c r="K1196" s="229">
        <f ca="1"/>
        <v>4405.2730000000001</v>
      </c>
    </row>
    <row r="1197" spans="9:11" x14ac:dyDescent="0.15">
      <c r="I1197" s="229" vm="2219">
        <f ca="1"/>
        <v>45860</v>
      </c>
      <c r="J1197" s="355" vm="2220">
        <f ca="1"/>
        <v>68.150000000000006</v>
      </c>
      <c r="K1197" s="229">
        <f ca="1"/>
        <v>3466.748</v>
      </c>
    </row>
    <row r="1198" spans="9:11" x14ac:dyDescent="0.15">
      <c r="I1198" s="229" vm="2221">
        <f ca="1"/>
        <v>45861</v>
      </c>
      <c r="J1198" s="355" vm="2222">
        <f ca="1"/>
        <v>68.459999999999994</v>
      </c>
      <c r="K1198" s="229">
        <f ca="1"/>
        <v>4195.9809999999998</v>
      </c>
    </row>
    <row r="1199" spans="9:11" x14ac:dyDescent="0.15">
      <c r="I1199" s="229" vm="2223">
        <f ca="1"/>
        <v>45862</v>
      </c>
      <c r="J1199" s="355" vm="2224">
        <f ca="1"/>
        <v>67.290000000000006</v>
      </c>
      <c r="K1199" s="229">
        <f ca="1"/>
        <v>3232.5340000000001</v>
      </c>
    </row>
    <row r="1200" spans="9:11" x14ac:dyDescent="0.15">
      <c r="I1200" s="229" vm="2225">
        <f ca="1"/>
        <v>45863</v>
      </c>
      <c r="J1200" s="355" vm="904">
        <f ca="1"/>
        <v>67.44</v>
      </c>
      <c r="K1200" s="229">
        <f ca="1"/>
        <v>2553.4940000000001</v>
      </c>
    </row>
    <row r="1201" spans="9:11" x14ac:dyDescent="0.15">
      <c r="I1201" s="229" vm="2226">
        <f ca="1"/>
        <v>45866</v>
      </c>
      <c r="J1201" s="355" vm="2227">
        <f ca="1"/>
        <v>67.790000000000006</v>
      </c>
      <c r="K1201" s="229">
        <f ca="1"/>
        <v>2443.4160000000002</v>
      </c>
    </row>
    <row r="1202" spans="9:11" x14ac:dyDescent="0.15">
      <c r="I1202" s="229" vm="2228">
        <f ca="1"/>
        <v>45867</v>
      </c>
      <c r="J1202" s="355" vm="2229">
        <f ca="1"/>
        <v>66.44</v>
      </c>
      <c r="K1202" s="229">
        <f ca="1"/>
        <v>3172.0120000000002</v>
      </c>
    </row>
    <row r="1203" spans="9:11" x14ac:dyDescent="0.15">
      <c r="I1203" s="229" vm="2230">
        <f ca="1"/>
        <v>45868</v>
      </c>
      <c r="J1203" s="355" vm="2231">
        <f ca="1"/>
        <v>65.790000000000006</v>
      </c>
      <c r="K1203" s="229">
        <f ca="1"/>
        <v>3284.7530000000002</v>
      </c>
    </row>
    <row r="1204" spans="9:11" x14ac:dyDescent="0.15">
      <c r="I1204" s="229" vm="2232">
        <f ca="1"/>
        <v>45869</v>
      </c>
      <c r="J1204" s="355" vm="2233">
        <f ca="1"/>
        <v>65.06</v>
      </c>
      <c r="K1204" s="229">
        <f ca="1"/>
        <v>3149.4169999999999</v>
      </c>
    </row>
    <row r="1205" spans="9:11" x14ac:dyDescent="0.15">
      <c r="I1205" s="229" vm="2234">
        <f ca="1"/>
        <v>45870</v>
      </c>
      <c r="J1205" s="355" vm="1447">
        <f ca="1"/>
        <v>64.12</v>
      </c>
      <c r="K1205" s="229">
        <f ca="1"/>
        <v>3189.002</v>
      </c>
    </row>
    <row r="1206" spans="9:11" x14ac:dyDescent="0.15">
      <c r="I1206" s="229" vm="2235">
        <f ca="1"/>
        <v>45873</v>
      </c>
      <c r="J1206" s="355" vm="2236">
        <f ca="1"/>
        <v>66.22</v>
      </c>
      <c r="K1206" s="229">
        <f ca="1"/>
        <v>2822.761</v>
      </c>
    </row>
    <row r="1207" spans="9:11" x14ac:dyDescent="0.15">
      <c r="I1207" s="229" vm="2237">
        <f ca="1"/>
        <v>45874</v>
      </c>
      <c r="J1207" s="355" vm="2238">
        <f ca="1"/>
        <v>66.98</v>
      </c>
      <c r="K1207" s="229">
        <f ca="1"/>
        <v>2047.1880000000001</v>
      </c>
    </row>
    <row r="1208" spans="9:11" x14ac:dyDescent="0.15">
      <c r="I1208" s="229" vm="2239">
        <f ca="1"/>
        <v>45875</v>
      </c>
      <c r="J1208" s="355" vm="2240">
        <f ca="1"/>
        <v>67.430000000000007</v>
      </c>
      <c r="K1208" s="229">
        <f ca="1"/>
        <v>3191.2</v>
      </c>
    </row>
    <row r="1209" spans="9:11" x14ac:dyDescent="0.15">
      <c r="I1209" s="229" vm="2241">
        <f ca="1"/>
        <v>45876</v>
      </c>
      <c r="J1209" s="355" vm="2216">
        <f ca="1"/>
        <v>67.55</v>
      </c>
      <c r="K1209" s="229">
        <f ca="1"/>
        <v>2135.7399999999998</v>
      </c>
    </row>
    <row r="1210" spans="9:11" x14ac:dyDescent="0.15">
      <c r="I1210" s="229" vm="2242">
        <f ca="1"/>
        <v>45877</v>
      </c>
      <c r="J1210" s="355" vm="2243">
        <f ca="1"/>
        <v>68.97</v>
      </c>
      <c r="K1210" s="229">
        <f ca="1"/>
        <v>2441.5790000000002</v>
      </c>
    </row>
    <row r="1211" spans="9:11" x14ac:dyDescent="0.15">
      <c r="I1211" s="229" vm="2244">
        <f ca="1"/>
        <v>45880</v>
      </c>
      <c r="J1211" s="355" vm="2245">
        <f ca="1"/>
        <v>68.59</v>
      </c>
      <c r="K1211" s="229">
        <f ca="1"/>
        <v>2862.5070000000001</v>
      </c>
    </row>
    <row r="1212" spans="9:11" x14ac:dyDescent="0.15">
      <c r="I1212" s="229" vm="2246">
        <f ca="1"/>
        <v>45881</v>
      </c>
      <c r="J1212" s="355" vm="2247">
        <f ca="1"/>
        <v>70.239999999999995</v>
      </c>
      <c r="K1212" s="229">
        <f ca="1"/>
        <v>3175.8220000000001</v>
      </c>
    </row>
    <row r="1213" spans="9:11" x14ac:dyDescent="0.15">
      <c r="I1213" s="229" vm="2248">
        <f ca="1"/>
        <v>45882</v>
      </c>
      <c r="J1213" s="355" vm="2249">
        <f ca="1"/>
        <v>72.73</v>
      </c>
      <c r="K1213" s="229">
        <f ca="1"/>
        <v>3560.2660000000001</v>
      </c>
    </row>
    <row r="1214" spans="9:11" x14ac:dyDescent="0.15">
      <c r="I1214" s="229" vm="2250">
        <f ca="1"/>
        <v>45883</v>
      </c>
      <c r="J1214" s="355" vm="2251">
        <f ca="1"/>
        <v>71.739999999999995</v>
      </c>
      <c r="K1214" s="229">
        <f ca="1"/>
        <v>2650.5949999999998</v>
      </c>
    </row>
    <row r="1215" spans="9:11" x14ac:dyDescent="0.15">
      <c r="I1215" s="229" vm="2252">
        <f ca="1"/>
        <v>45884</v>
      </c>
      <c r="J1215" s="355" vm="2253">
        <f ca="1"/>
        <v>71.63</v>
      </c>
      <c r="K1215" s="229">
        <f ca="1"/>
        <v>2297.46</v>
      </c>
    </row>
    <row r="1216" spans="9:11" x14ac:dyDescent="0.15">
      <c r="I1216" s="229" vm="2254">
        <f ca="1"/>
        <v>45887</v>
      </c>
      <c r="J1216" s="355" vm="2255">
        <f ca="1"/>
        <v>71.8</v>
      </c>
      <c r="K1216" s="229">
        <f ca="1"/>
        <v>3490.2280000000001</v>
      </c>
    </row>
    <row r="1217" spans="9:11" x14ac:dyDescent="0.15">
      <c r="I1217" s="229" vm="2256">
        <f ca="1"/>
        <v>45888</v>
      </c>
      <c r="J1217" s="355" vm="2257">
        <f ca="1"/>
        <v>74.099999999999994</v>
      </c>
      <c r="K1217" s="229">
        <f ca="1"/>
        <v>5736.0789999999997</v>
      </c>
    </row>
    <row r="1218" spans="9:11" x14ac:dyDescent="0.15">
      <c r="I1218" s="229" vm="2258">
        <f ca="1"/>
        <v>45889</v>
      </c>
      <c r="J1218" s="355" vm="1366">
        <f ca="1"/>
        <v>72.27</v>
      </c>
      <c r="K1218" s="229">
        <f ca="1"/>
        <v>2593.81</v>
      </c>
    </row>
    <row r="1219" spans="9:11" x14ac:dyDescent="0.15">
      <c r="I1219" s="229" vm="2259">
        <f ca="1"/>
        <v>45890</v>
      </c>
      <c r="J1219" s="355" vm="1370">
        <f ca="1"/>
        <v>72.39</v>
      </c>
      <c r="K1219" s="229">
        <f ca="1"/>
        <v>2805.9319999999998</v>
      </c>
    </row>
    <row r="1220" spans="9:11" x14ac:dyDescent="0.15">
      <c r="I1220" s="229" vm="2260">
        <f ca="1"/>
        <v>45891</v>
      </c>
      <c r="J1220" s="355" vm="2261">
        <f ca="1"/>
        <v>75.39</v>
      </c>
      <c r="K1220" s="229">
        <f ca="1"/>
        <v>4186.3900000000003</v>
      </c>
    </row>
    <row r="1221" spans="9:11" x14ac:dyDescent="0.15">
      <c r="I1221" s="229" vm="2262">
        <f ca="1"/>
        <v>45894</v>
      </c>
      <c r="J1221" s="355" vm="1144">
        <f ca="1"/>
        <v>74.319999999999993</v>
      </c>
      <c r="K1221" s="229">
        <f ca="1"/>
        <v>3488.3890000000001</v>
      </c>
    </row>
    <row r="1222" spans="9:11" x14ac:dyDescent="0.15">
      <c r="I1222" s="229" vm="2263">
        <f ca="1"/>
        <v>45895</v>
      </c>
      <c r="J1222" s="355" vm="2264">
        <f ca="1"/>
        <v>73.67</v>
      </c>
      <c r="K1222" s="229">
        <f ca="1"/>
        <v>4830.5349999999999</v>
      </c>
    </row>
    <row r="1223" spans="9:11" x14ac:dyDescent="0.15">
      <c r="I1223" s="229" vm="2265">
        <f ca="1"/>
        <v>45896</v>
      </c>
      <c r="J1223" s="355" vm="2266">
        <f ca="1"/>
        <v>75.45</v>
      </c>
      <c r="K1223" s="229">
        <f ca="1"/>
        <v>4001.4920000000002</v>
      </c>
    </row>
    <row r="1224" spans="9:11" x14ac:dyDescent="0.15">
      <c r="I1224" s="229" vm="2267">
        <f ca="1"/>
        <v>45897</v>
      </c>
      <c r="J1224" s="355" vm="2268">
        <f ca="1"/>
        <v>72.66</v>
      </c>
      <c r="K1224" s="229">
        <f ca="1"/>
        <v>9369.59</v>
      </c>
    </row>
    <row r="1225" spans="9:11" x14ac:dyDescent="0.15">
      <c r="I1225" s="229" vm="2269">
        <f ca="1"/>
        <v>45898</v>
      </c>
      <c r="J1225" s="355" vm="1653">
        <f ca="1"/>
        <v>73.64</v>
      </c>
      <c r="K1225" s="229">
        <f ca="1"/>
        <v>4436.3770000000004</v>
      </c>
    </row>
    <row r="1226" spans="9:11" x14ac:dyDescent="0.15">
      <c r="I1226" s="229" vm="2270">
        <f ca="1"/>
        <v>45902</v>
      </c>
      <c r="J1226" s="355" vm="2271">
        <f ca="1"/>
        <v>74.459999999999994</v>
      </c>
      <c r="K1226" s="229">
        <f ca="1"/>
        <v>4838.9809999999998</v>
      </c>
    </row>
    <row r="1227" spans="9:11" x14ac:dyDescent="0.15">
      <c r="I1227" s="229" vm="2272">
        <f ca="1"/>
        <v>45903</v>
      </c>
      <c r="J1227" s="355" vm="866">
        <f ca="1"/>
        <v>74.89</v>
      </c>
      <c r="K1227" s="229">
        <f ca="1"/>
        <v>3391.1570000000002</v>
      </c>
    </row>
    <row r="1228" spans="9:11" x14ac:dyDescent="0.15">
      <c r="I1228" s="229" vm="2273">
        <f ca="1"/>
        <v>45904</v>
      </c>
      <c r="J1228" s="355" vm="2274">
        <f ca="1"/>
        <v>77.05</v>
      </c>
      <c r="K1228" s="229">
        <f ca="1"/>
        <v>4477.6239999999998</v>
      </c>
    </row>
    <row r="1229" spans="9:11" x14ac:dyDescent="0.15">
      <c r="I1229" s="229" vm="2275">
        <f ca="1"/>
        <v>45905</v>
      </c>
      <c r="J1229" s="355" vm="2276">
        <f ca="1"/>
        <v>76.17</v>
      </c>
      <c r="K1229" s="229">
        <f ca="1"/>
        <v>2870.902</v>
      </c>
    </row>
    <row r="1230" spans="9:11" x14ac:dyDescent="0.15">
      <c r="I1230" s="229" vm="2277">
        <f ca="1"/>
        <v>45908</v>
      </c>
      <c r="J1230" s="355" vm="2278">
        <f ca="1"/>
        <v>77.59</v>
      </c>
      <c r="K1230" s="229">
        <f ca="1"/>
        <v>3770.91</v>
      </c>
    </row>
    <row r="1231" spans="9:11" x14ac:dyDescent="0.15">
      <c r="I1231" s="229" vm="2279">
        <f ca="1"/>
        <v>45909</v>
      </c>
      <c r="J1231" s="355" vm="2280">
        <f ca="1"/>
        <v>77.02</v>
      </c>
      <c r="K1231" s="229">
        <f ca="1"/>
        <v>2842.2420000000002</v>
      </c>
    </row>
    <row r="1232" spans="9:11" x14ac:dyDescent="0.15">
      <c r="I1232" s="229" vm="2281">
        <f ca="1"/>
        <v>45910</v>
      </c>
      <c r="J1232" s="355" vm="2282">
        <f ca="1"/>
        <v>76.61</v>
      </c>
      <c r="K1232" s="229">
        <f ca="1"/>
        <v>2858.4859999999999</v>
      </c>
    </row>
    <row r="1233" spans="9:11" x14ac:dyDescent="0.15">
      <c r="I1233" s="229" vm="2283">
        <f ca="1"/>
        <v>45911</v>
      </c>
      <c r="J1233" s="355" vm="1506">
        <f ca="1"/>
        <v>78.459999999999994</v>
      </c>
      <c r="K1233" s="229">
        <f ca="1"/>
        <v>2720.7820000000002</v>
      </c>
    </row>
    <row r="1234" spans="9:11" x14ac:dyDescent="0.15">
      <c r="I1234" s="229" vm="2284">
        <f ca="1"/>
        <v>45912</v>
      </c>
      <c r="J1234" s="355" vm="2285">
        <f ca="1"/>
        <v>75.87</v>
      </c>
      <c r="K1234" s="229">
        <f ca="1"/>
        <v>2140.3150000000001</v>
      </c>
    </row>
    <row r="1235" spans="9:11" x14ac:dyDescent="0.15">
      <c r="I1235" s="229" vm="2286">
        <f ca="1"/>
        <v>45915</v>
      </c>
      <c r="J1235" s="355" vm="967">
        <f ca="1"/>
        <v>74.55</v>
      </c>
      <c r="K1235" s="229">
        <f ca="1"/>
        <v>2713.67</v>
      </c>
    </row>
    <row r="1236" spans="9:11" x14ac:dyDescent="0.15">
      <c r="I1236" s="229" vm="2287">
        <f ca="1"/>
        <v>45916</v>
      </c>
      <c r="J1236" s="355" vm="2288">
        <f ca="1"/>
        <v>74.040000000000006</v>
      </c>
      <c r="K1236" s="229">
        <f ca="1"/>
        <v>2708.4630000000002</v>
      </c>
    </row>
    <row r="1237" spans="9:11" x14ac:dyDescent="0.15">
      <c r="I1237" s="229" vm="2289">
        <f ca="1"/>
        <v>45917</v>
      </c>
      <c r="J1237" s="355" vm="1189">
        <f ca="1"/>
        <v>74.52</v>
      </c>
      <c r="K1237" s="229">
        <f ca="1"/>
        <v>4525.6109999999999</v>
      </c>
    </row>
    <row r="1238" spans="9:11" x14ac:dyDescent="0.15">
      <c r="I1238" s="229" vm="2290">
        <f ca="1"/>
        <v>45918</v>
      </c>
      <c r="J1238" s="355" vm="2291">
        <f ca="1"/>
        <v>73.73</v>
      </c>
      <c r="K1238" s="229">
        <f ca="1"/>
        <v>4474.5020000000004</v>
      </c>
    </row>
    <row r="1239" spans="9:11" x14ac:dyDescent="0.15">
      <c r="I1239" s="229" vm="2292">
        <f ca="1"/>
        <v>45919</v>
      </c>
      <c r="J1239" s="355" vm="2293">
        <f ca="1"/>
        <v>72.23</v>
      </c>
      <c r="K1239" s="229">
        <f ca="1"/>
        <v>5600.585</v>
      </c>
    </row>
    <row r="1240" spans="9:11" x14ac:dyDescent="0.15">
      <c r="I1240" s="229" vm="2294">
        <f ca="1"/>
        <v>45922</v>
      </c>
      <c r="J1240" s="355" vm="2295">
        <f ca="1"/>
        <v>72.33</v>
      </c>
      <c r="K1240" s="229">
        <f ca="1"/>
        <v>3626.6579999999999</v>
      </c>
    </row>
    <row r="1241" spans="9:11" x14ac:dyDescent="0.15">
      <c r="I1241" s="229" vm="2296">
        <f ca="1"/>
        <v>45923</v>
      </c>
      <c r="J1241" s="355" vm="2297">
        <f ca="1"/>
        <v>73.010000000000005</v>
      </c>
      <c r="K1241" s="229">
        <f ca="1"/>
        <v>3342.143</v>
      </c>
    </row>
    <row r="1242" spans="9:11" x14ac:dyDescent="0.15">
      <c r="I1242" s="229" vm="2298">
        <f ca="1"/>
        <v>45924</v>
      </c>
      <c r="J1242" s="355" vm="1667">
        <f ca="1"/>
        <v>74.17</v>
      </c>
      <c r="K1242" s="229">
        <f ca="1"/>
        <v>3169.627</v>
      </c>
    </row>
    <row r="1243" spans="9:11" x14ac:dyDescent="0.15">
      <c r="I1243" s="229" vm="2299">
        <f ca="1"/>
        <v>45925</v>
      </c>
      <c r="J1243" s="355" vm="2300">
        <f ca="1"/>
        <v>74.19</v>
      </c>
      <c r="K1243" s="229">
        <f ca="1"/>
        <v>3022.9670000000001</v>
      </c>
    </row>
    <row r="1244" spans="9:11" x14ac:dyDescent="0.15">
      <c r="I1244" s="229" vm="2301">
        <f ca="1"/>
        <v>45926</v>
      </c>
      <c r="J1244" s="355" vm="1640">
        <f ca="1"/>
        <v>76.150000000000006</v>
      </c>
      <c r="K1244" s="229">
        <f ca="1"/>
        <v>3016.2739999999999</v>
      </c>
    </row>
    <row r="1245" spans="9:11" x14ac:dyDescent="0.15">
      <c r="I1245" s="229" vm="2302">
        <f ca="1"/>
        <v>45929</v>
      </c>
      <c r="J1245" s="355" vm="2303">
        <f ca="1"/>
        <v>75.66</v>
      </c>
      <c r="K1245" s="229">
        <f ca="1"/>
        <v>2683.873</v>
      </c>
    </row>
    <row r="1246" spans="9:11" x14ac:dyDescent="0.15">
      <c r="I1246" s="229" vm="2304">
        <f ca="1"/>
        <v>45930</v>
      </c>
      <c r="J1246" s="355" vm="725">
        <f ca="1"/>
        <v>75.62</v>
      </c>
      <c r="K1246" s="229">
        <f ca="1"/>
        <v>2265.5030000000002</v>
      </c>
    </row>
    <row r="1247" spans="9:11" x14ac:dyDescent="0.15">
      <c r="I1247" s="229" vm="2305">
        <f ca="1"/>
        <v>45931</v>
      </c>
      <c r="J1247" s="355" vm="2306">
        <f ca="1"/>
        <v>77.349999999999994</v>
      </c>
      <c r="K1247" s="229">
        <f ca="1"/>
        <v>3139.7220000000002</v>
      </c>
    </row>
    <row r="1248" spans="9:11" x14ac:dyDescent="0.15">
      <c r="I1248" s="229" vm="2307">
        <f ca="1"/>
        <v>45932</v>
      </c>
      <c r="J1248" s="355" vm="2308">
        <f ca="1"/>
        <v>76.62</v>
      </c>
      <c r="K1248" s="229">
        <f ca="1"/>
        <v>2533.2179999999998</v>
      </c>
    </row>
    <row r="1249" spans="9:11" x14ac:dyDescent="0.15">
      <c r="I1249" s="229" vm="2309">
        <f ca="1"/>
        <v>45933</v>
      </c>
      <c r="J1249" s="355" vm="2310">
        <f ca="1"/>
        <v>76.86</v>
      </c>
      <c r="K1249" s="229">
        <f ca="1"/>
        <v>2172.6469999999999</v>
      </c>
    </row>
    <row r="1250" spans="9:11" x14ac:dyDescent="0.15">
      <c r="I1250" s="229" vm="2311">
        <f ca="1"/>
        <v>45936</v>
      </c>
      <c r="J1250" s="355" vm="971">
        <f ca="1"/>
        <v>75.599999999999994</v>
      </c>
      <c r="K1250" s="229">
        <f ca="1"/>
        <v>3043.6210000000001</v>
      </c>
    </row>
    <row r="1251" spans="9:11" x14ac:dyDescent="0.15">
      <c r="I1251" s="229" vm="2312">
        <f ca="1"/>
        <v>45937</v>
      </c>
      <c r="J1251" s="355" vm="2313">
        <f ca="1"/>
        <v>75.23</v>
      </c>
      <c r="K1251" s="229">
        <f ca="1"/>
        <v>2348.7130000000002</v>
      </c>
    </row>
    <row r="1252" spans="9:11" x14ac:dyDescent="0.15">
      <c r="I1252" s="229" vm="2314">
        <f ca="1"/>
        <v>45938</v>
      </c>
      <c r="J1252" s="355" vm="2315">
        <f ca="1"/>
        <v>76.95</v>
      </c>
      <c r="K1252" s="229">
        <f ca="1"/>
        <v>2555.694</v>
      </c>
    </row>
    <row r="1253" spans="9:11" x14ac:dyDescent="0.15">
      <c r="I1253" s="229" vm="2316">
        <f ca="1"/>
        <v>45939</v>
      </c>
      <c r="J1253" s="355" vm="2313">
        <f ca="1"/>
        <v>75.23</v>
      </c>
      <c r="K1253" s="229">
        <f ca="1"/>
        <v>2337.8719999999998</v>
      </c>
    </row>
    <row r="1254" spans="9:11" x14ac:dyDescent="0.15">
      <c r="I1254" s="229" vm="2317">
        <f ca="1"/>
        <v>45940</v>
      </c>
      <c r="J1254" s="355" vm="2318">
        <f ca="1"/>
        <v>70.430000000000007</v>
      </c>
      <c r="K1254" s="229">
        <f ca="1"/>
        <v>4963.2569999999996</v>
      </c>
    </row>
    <row r="1255" spans="9:11" x14ac:dyDescent="0.15">
      <c r="I1255" s="229" vm="2319">
        <f ca="1"/>
        <v>45943</v>
      </c>
      <c r="J1255" s="355" vm="2320">
        <f ca="1"/>
        <v>77.45</v>
      </c>
      <c r="K1255" s="229">
        <f ca="1"/>
        <v>4981.6189999999997</v>
      </c>
    </row>
    <row r="1256" spans="9:11" x14ac:dyDescent="0.15">
      <c r="I1256" s="229" vm="2321">
        <f ca="1"/>
        <v>45944</v>
      </c>
      <c r="J1256" s="355" vm="2322">
        <f ca="1"/>
        <v>77.209999999999994</v>
      </c>
      <c r="K1256" s="229">
        <f ca="1"/>
        <v>4214.5780000000004</v>
      </c>
    </row>
    <row r="1257" spans="9:11" x14ac:dyDescent="0.15">
      <c r="I1257" s="229" vm="2323">
        <f ca="1"/>
        <v>45945</v>
      </c>
      <c r="J1257" s="355" vm="2324">
        <f ca="1"/>
        <v>78.41</v>
      </c>
      <c r="K1257" s="229">
        <f ca="1"/>
        <v>3292.2649999999999</v>
      </c>
    </row>
    <row r="1258" spans="9:11" x14ac:dyDescent="0.15">
      <c r="I1258" s="229" vm="2325">
        <f ca="1"/>
        <v>45946</v>
      </c>
      <c r="J1258" s="355" vm="834">
        <f ca="1"/>
        <v>78.540000000000006</v>
      </c>
      <c r="K1258" s="229">
        <f ca="1"/>
        <v>3189.1880000000001</v>
      </c>
    </row>
    <row r="1259" spans="9:11" x14ac:dyDescent="0.15">
      <c r="I1259" s="229" vm="2326">
        <f ca="1"/>
        <v>45947</v>
      </c>
      <c r="J1259" s="355" vm="2327">
        <f ca="1"/>
        <v>79.709999999999994</v>
      </c>
      <c r="K1259" s="229">
        <f ca="1"/>
        <v>2332.0859999999998</v>
      </c>
    </row>
    <row r="1260" spans="9:11" x14ac:dyDescent="0.15">
      <c r="I1260" s="229" vm="2328">
        <f ca="1"/>
        <v>45950</v>
      </c>
      <c r="J1260" s="355" vm="2329">
        <f ca="1"/>
        <v>81.010000000000005</v>
      </c>
      <c r="K1260" s="229">
        <f ca="1"/>
        <v>4272.9290000000001</v>
      </c>
    </row>
    <row r="1261" spans="9:11" x14ac:dyDescent="0.15">
      <c r="I1261" s="229" vm="2330">
        <f ca="1"/>
        <v>45951</v>
      </c>
      <c r="J1261" s="355" vm="2331">
        <f ca="1"/>
        <v>82.66</v>
      </c>
      <c r="K1261" s="229">
        <f ca="1"/>
        <v>3971.2150000000001</v>
      </c>
    </row>
    <row r="1262" spans="9:11" x14ac:dyDescent="0.15">
      <c r="I1262" s="229" vm="2332">
        <f ca="1"/>
        <v>45952</v>
      </c>
      <c r="J1262" s="355" vm="1001">
        <f ca="1"/>
        <v>81.37</v>
      </c>
      <c r="K1262" s="229">
        <f ca="1"/>
        <v>2896.8739999999998</v>
      </c>
    </row>
    <row r="1263" spans="9:11" x14ac:dyDescent="0.15">
      <c r="I1263" s="229" vm="2333">
        <f ca="1"/>
        <v>45953</v>
      </c>
      <c r="J1263" s="355" vm="2334">
        <f ca="1"/>
        <v>82.43</v>
      </c>
      <c r="K1263" s="229">
        <f ca="1"/>
        <v>2055.3760000000002</v>
      </c>
    </row>
    <row r="1264" spans="9:11" x14ac:dyDescent="0.15">
      <c r="I1264" s="229" vm="2335">
        <f ca="1"/>
        <v>45954</v>
      </c>
      <c r="J1264" s="355" vm="1115">
        <f ca="1"/>
        <v>83.26</v>
      </c>
      <c r="K1264" s="229">
        <f ca="1"/>
        <v>3804.9140000000002</v>
      </c>
    </row>
    <row r="1265" spans="9:11" x14ac:dyDescent="0.15">
      <c r="I1265" s="229" vm="2336">
        <f ca="1"/>
        <v>45957</v>
      </c>
      <c r="J1265" s="229" vm="2337">
        <f ca="1"/>
        <v>82.88</v>
      </c>
      <c r="K1265" s="229">
        <f ca="1"/>
        <v>5060.8990000000003</v>
      </c>
    </row>
    <row r="1266" spans="9:11" x14ac:dyDescent="0.15">
      <c r="I1266" s="229" vm="2338">
        <f ca="1"/>
        <v>45958</v>
      </c>
      <c r="J1266" s="229" vm="2339">
        <f ca="1"/>
        <v>83.86</v>
      </c>
      <c r="K1266" s="229">
        <f ca="1"/>
        <v>4529.3590000000004</v>
      </c>
    </row>
    <row r="1267" spans="9:11" x14ac:dyDescent="0.15">
      <c r="I1267" s="229" vm="2340">
        <f ca="1"/>
        <v>45959</v>
      </c>
      <c r="J1267" s="229" vm="1064">
        <f ca="1"/>
        <v>84</v>
      </c>
      <c r="K1267" s="229">
        <f ca="1"/>
        <v>3640.12</v>
      </c>
    </row>
    <row r="1268" spans="9:11" x14ac:dyDescent="0.15">
      <c r="I1268" s="229" vm="2341">
        <f ca="1"/>
        <v>45960</v>
      </c>
      <c r="J1268" s="229" vm="1101">
        <f ca="1"/>
        <v>83.18</v>
      </c>
      <c r="K1268" s="229">
        <f ca="1"/>
        <v>2490.473</v>
      </c>
    </row>
    <row r="1269" spans="9:11" x14ac:dyDescent="0.15">
      <c r="I1269" s="229" vm="2342">
        <f ca="1"/>
        <v>45961</v>
      </c>
      <c r="J1269" s="229" vm="2343">
        <f ca="1"/>
        <v>82.14</v>
      </c>
      <c r="K1269" s="229">
        <f ca="1"/>
        <v>3305.692</v>
      </c>
    </row>
    <row r="1270" spans="9:11" x14ac:dyDescent="0.15">
      <c r="I1270" s="229" vm="2344">
        <f ca="1"/>
        <v>45964</v>
      </c>
      <c r="J1270" s="229" vm="1056">
        <f ca="1"/>
        <v>81.52</v>
      </c>
      <c r="K1270" s="229">
        <f ca="1"/>
        <v>3287.5990000000002</v>
      </c>
    </row>
    <row r="1271" spans="9:11" x14ac:dyDescent="0.15">
      <c r="I1271" s="229" vm="2345">
        <f ca="1"/>
        <v>45965</v>
      </c>
      <c r="J1271" s="229" vm="2346">
        <f ca="1"/>
        <v>79.37</v>
      </c>
      <c r="K1271" s="229">
        <f ca="1"/>
        <v>4082.8270000000002</v>
      </c>
    </row>
    <row r="1272" spans="9:11" x14ac:dyDescent="0.15">
      <c r="I1272" s="229" vm="2347">
        <f ca="1"/>
        <v>45966</v>
      </c>
      <c r="J1272" s="229" vm="1576">
        <f ca="1"/>
        <v>80.88</v>
      </c>
      <c r="K1272" s="229">
        <f ca="1"/>
        <v>3327.665</v>
      </c>
    </row>
    <row r="1273" spans="9:11" x14ac:dyDescent="0.15">
      <c r="I1273" s="229" vm="2348">
        <f ca="1"/>
        <v>45967</v>
      </c>
      <c r="J1273" s="229" vm="2349">
        <f ca="1"/>
        <v>78.67</v>
      </c>
      <c r="K1273" s="229">
        <f ca="1"/>
        <v>2330.2370000000001</v>
      </c>
    </row>
    <row r="1274" spans="9:11" x14ac:dyDescent="0.15">
      <c r="I1274" s="229" vm="2350">
        <f ca="1"/>
        <v>45968</v>
      </c>
      <c r="J1274" s="229" vm="2351">
        <f ca="1"/>
        <v>79.03</v>
      </c>
      <c r="K1274" s="229">
        <f ca="1"/>
        <v>3130.8589999999999</v>
      </c>
    </row>
    <row r="1275" spans="9:11" x14ac:dyDescent="0.15">
      <c r="I1275" s="229" vm="2352">
        <f ca="1"/>
        <v>45971</v>
      </c>
      <c r="J1275" s="229" vm="2353">
        <f ca="1"/>
        <v>78.150000000000006</v>
      </c>
      <c r="K1275" s="229">
        <f ca="1"/>
        <v>3036.1260000000002</v>
      </c>
    </row>
    <row r="1276" spans="9:11" x14ac:dyDescent="0.15">
      <c r="I1276" s="229" vm="2354">
        <f ca="1"/>
        <v>45972</v>
      </c>
      <c r="J1276" s="229" vm="2355">
        <f ca="1"/>
        <v>77.680000000000007</v>
      </c>
      <c r="K1276" s="229">
        <f ca="1"/>
        <v>2658.02</v>
      </c>
    </row>
    <row r="1277" spans="9:11" x14ac:dyDescent="0.15">
      <c r="I1277" s="229" vm="2356">
        <f ca="1"/>
        <v>45973</v>
      </c>
      <c r="J1277" s="229" vm="2357">
        <f ca="1"/>
        <v>77.709999999999994</v>
      </c>
      <c r="K1277" s="229">
        <f ca="1"/>
        <v>2232.2159999999999</v>
      </c>
    </row>
    <row r="1278" spans="9:11" x14ac:dyDescent="0.15">
      <c r="I1278" s="229" vm="2358">
        <f ca="1"/>
        <v>45974</v>
      </c>
      <c r="J1278" s="229" vm="2359">
        <f ca="1"/>
        <v>76.180000000000007</v>
      </c>
      <c r="K1278" s="229">
        <f ca="1"/>
        <v>3566.029</v>
      </c>
    </row>
    <row r="1279" spans="9:11" x14ac:dyDescent="0.15">
      <c r="I1279" s="229" vm="2360">
        <f ca="1"/>
        <v>45975</v>
      </c>
      <c r="J1279" s="229" vm="2361">
        <f ca="1"/>
        <v>75.72</v>
      </c>
      <c r="K1279" s="229">
        <f ca="1"/>
        <v>2601.058</v>
      </c>
    </row>
    <row r="1280" spans="9:11" x14ac:dyDescent="0.15">
      <c r="I1280" s="229" vm="2362">
        <f ca="1"/>
        <v>45978</v>
      </c>
      <c r="J1280" s="229" vm="1523">
        <f ca="1"/>
        <v>74.650000000000006</v>
      </c>
      <c r="K1280" s="229">
        <f ca="1"/>
        <v>3195.1480000000001</v>
      </c>
    </row>
    <row r="1281" spans="9:11" x14ac:dyDescent="0.15">
      <c r="I1281" s="229" vm="2363">
        <f ca="1"/>
        <v>45979</v>
      </c>
      <c r="J1281" s="229" vm="1660">
        <f ca="1"/>
        <v>74.400000000000006</v>
      </c>
      <c r="K1281" s="229">
        <f ca="1"/>
        <v>3248.2280000000001</v>
      </c>
    </row>
    <row r="1282" spans="9:11" x14ac:dyDescent="0.15">
      <c r="I1282" s="229" vm="2364">
        <f ca="1"/>
        <v>45980</v>
      </c>
      <c r="J1282" s="229" vm="2365">
        <f ca="1"/>
        <v>74.38</v>
      </c>
      <c r="K1282" s="229">
        <f ca="1"/>
        <v>3316.4989999999998</v>
      </c>
    </row>
    <row r="1283" spans="9:11" x14ac:dyDescent="0.15">
      <c r="I1283" s="229" vm="2366">
        <f ca="1"/>
        <v>45981</v>
      </c>
      <c r="J1283" s="229" vm="2367">
        <f ca="1"/>
        <v>73.78</v>
      </c>
      <c r="K1283" s="229">
        <f ca="1"/>
        <v>3017.2649999999999</v>
      </c>
    </row>
    <row r="1284" spans="9:11" x14ac:dyDescent="0.15">
      <c r="I1284" s="229" vm="2368">
        <f ca="1"/>
        <v>45982</v>
      </c>
      <c r="J1284" s="229" vm="1353">
        <f ca="1"/>
        <v>76.45</v>
      </c>
      <c r="K1284" s="229">
        <f ca="1"/>
        <v>4072.7020000000002</v>
      </c>
    </row>
    <row r="1285" spans="9:11" x14ac:dyDescent="0.15">
      <c r="I1285" s="229" vm="2369">
        <f ca="1"/>
        <v>45985</v>
      </c>
      <c r="J1285" s="229" vm="725">
        <f ca="1"/>
        <v>75.62</v>
      </c>
      <c r="K1285" s="229">
        <f ca="1"/>
        <v>7166.1469999999999</v>
      </c>
    </row>
    <row r="1286" spans="9:11" x14ac:dyDescent="0.15">
      <c r="I1286" s="229" vm="2370">
        <f ca="1"/>
        <v>45986</v>
      </c>
      <c r="J1286" s="229" vm="2371">
        <f ca="1"/>
        <v>79.66</v>
      </c>
      <c r="K1286" s="229">
        <f ca="1"/>
        <v>7625.39</v>
      </c>
    </row>
    <row r="1287" spans="9:11" x14ac:dyDescent="0.15">
      <c r="I1287" s="229" vm="2372">
        <f ca="1"/>
        <v>45987</v>
      </c>
      <c r="J1287" s="229" vm="2373">
        <f ca="1"/>
        <v>80.98</v>
      </c>
      <c r="K1287" s="229">
        <f ca="1"/>
        <v>5607.8620000000001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A7FFB-2746-466F-A41A-E379F1B7229A}">
  <dimension ref="B2:J23"/>
  <sheetViews>
    <sheetView showGridLines="0" zoomScale="88" workbookViewId="0">
      <selection activeCell="O5" sqref="O5"/>
    </sheetView>
  </sheetViews>
  <sheetFormatPr baseColWidth="10" defaultColWidth="8.6640625" defaultRowHeight="14" x14ac:dyDescent="0.15"/>
  <cols>
    <col min="1" max="1" width="8.6640625" style="149"/>
    <col min="2" max="2" width="16.1640625" style="149" bestFit="1" customWidth="1"/>
    <col min="3" max="8" width="9.5" style="149" bestFit="1" customWidth="1"/>
    <col min="9" max="9" width="8.83203125" style="149" bestFit="1" customWidth="1"/>
    <col min="10" max="16384" width="8.6640625" style="149"/>
  </cols>
  <sheetData>
    <row r="2" spans="2:10" x14ac:dyDescent="0.15">
      <c r="C2" s="150">
        <v>2021</v>
      </c>
      <c r="D2" s="150">
        <v>2022</v>
      </c>
      <c r="E2" s="150">
        <v>2023</v>
      </c>
      <c r="F2" s="150">
        <v>2024</v>
      </c>
      <c r="G2" s="150">
        <v>2025</v>
      </c>
      <c r="H2" s="151" t="s">
        <v>279</v>
      </c>
      <c r="I2" s="151" t="s">
        <v>280</v>
      </c>
    </row>
    <row r="3" spans="2:10" x14ac:dyDescent="0.15">
      <c r="B3" s="152" t="s">
        <v>95</v>
      </c>
      <c r="C3" s="153">
        <f>'[1]Three Statement Model'!D28</f>
        <v>47262</v>
      </c>
      <c r="D3" s="153">
        <f>'[1]Three Statement Model'!E28</f>
        <v>51761</v>
      </c>
      <c r="E3" s="153">
        <f>'[1]Three Statement Model'!F28</f>
        <v>46298</v>
      </c>
      <c r="F3" s="153">
        <f>'[1]Three Statement Model'!G28</f>
        <v>43452</v>
      </c>
      <c r="G3" s="153">
        <f>'[1]Three Statement Model'!H28</f>
        <v>41528</v>
      </c>
      <c r="H3" s="153">
        <v>41825</v>
      </c>
      <c r="I3" s="154">
        <f>(H3/C3)^(1/5.75)-1</f>
        <v>-2.103003925677438E-2</v>
      </c>
    </row>
    <row r="4" spans="2:10" x14ac:dyDescent="0.15">
      <c r="B4" s="155" t="s">
        <v>242</v>
      </c>
      <c r="C4" s="335" t="s">
        <v>243</v>
      </c>
      <c r="D4" s="156">
        <f>D3/C3-1</f>
        <v>9.5192755279082553E-2</v>
      </c>
      <c r="E4" s="156">
        <f t="shared" ref="E4:H4" si="0">E3/D3-1</f>
        <v>-0.10554278317652288</v>
      </c>
      <c r="F4" s="156">
        <f t="shared" si="0"/>
        <v>-6.1471337854766994E-2</v>
      </c>
      <c r="G4" s="156">
        <f t="shared" si="0"/>
        <v>-4.4278744361594402E-2</v>
      </c>
      <c r="H4" s="156">
        <f t="shared" si="0"/>
        <v>7.1518011943749737E-3</v>
      </c>
      <c r="I4" s="156"/>
    </row>
    <row r="5" spans="2:10" x14ac:dyDescent="0.15">
      <c r="I5" s="156"/>
    </row>
    <row r="6" spans="2:10" x14ac:dyDescent="0.15">
      <c r="B6" s="152" t="s">
        <v>133</v>
      </c>
      <c r="C6" s="153">
        <f>'[1]Three Statement Model'!D30</f>
        <v>10573</v>
      </c>
      <c r="D6" s="153">
        <f>'[1]Three Statement Model'!E30</f>
        <v>11640</v>
      </c>
      <c r="E6" s="153">
        <f>'[1]Three Statement Model'!F30</f>
        <v>9912</v>
      </c>
      <c r="F6" s="153">
        <f>'[1]Three Statement Model'!G30</f>
        <v>9603</v>
      </c>
      <c r="G6" s="153">
        <f>'[1]Three Statement Model'!H30</f>
        <v>9385</v>
      </c>
      <c r="H6" s="153">
        <v>9409</v>
      </c>
      <c r="I6" s="154">
        <f>(H6/C6)^(1/5.75)-1</f>
        <v>-2.0080328867094877E-2</v>
      </c>
    </row>
    <row r="7" spans="2:10" x14ac:dyDescent="0.15">
      <c r="B7" s="155" t="s">
        <v>244</v>
      </c>
      <c r="C7" s="156">
        <f>C6/C3</f>
        <v>0.22371038043248276</v>
      </c>
      <c r="D7" s="156">
        <f t="shared" ref="D7:H7" si="1">D6/D3</f>
        <v>0.22487973570835185</v>
      </c>
      <c r="E7" s="156">
        <f t="shared" si="1"/>
        <v>0.21409132143937104</v>
      </c>
      <c r="F7" s="156">
        <f t="shared" si="1"/>
        <v>0.22100248550124274</v>
      </c>
      <c r="G7" s="156">
        <f t="shared" si="1"/>
        <v>0.22599210171450587</v>
      </c>
      <c r="H7" s="156">
        <f t="shared" si="1"/>
        <v>0.2249611476389719</v>
      </c>
      <c r="I7" s="156"/>
    </row>
    <row r="8" spans="2:10" x14ac:dyDescent="0.15">
      <c r="I8" s="156"/>
    </row>
    <row r="9" spans="2:10" x14ac:dyDescent="0.15">
      <c r="B9" s="152" t="s">
        <v>245</v>
      </c>
      <c r="C9" s="153">
        <f>'[1]Three Statement Model'!D36-'[1]Three Statement Model'!D33</f>
        <v>3230</v>
      </c>
      <c r="D9" s="153">
        <f>'[1]Three Statement Model'!E36-'[1]Three Statement Model'!E33</f>
        <v>3908</v>
      </c>
      <c r="E9" s="153">
        <f>'[1]Three Statement Model'!F36-'[1]Three Statement Model'!F33</f>
        <v>2713</v>
      </c>
      <c r="F9" s="153">
        <f>'[1]Three Statement Model'!G36-'[1]Three Statement Model'!G33</f>
        <v>2497</v>
      </c>
      <c r="G9" s="153">
        <f>'[1]Three Statement Model'!H36-'[1]Three Statement Model'!H33</f>
        <v>2128</v>
      </c>
      <c r="H9" s="153">
        <v>2586</v>
      </c>
      <c r="I9" s="154">
        <f>(H9/C9)^(1/5.75)-1</f>
        <v>-3.7934764830137579E-2</v>
      </c>
    </row>
    <row r="10" spans="2:10" x14ac:dyDescent="0.15">
      <c r="B10" s="155" t="s">
        <v>242</v>
      </c>
      <c r="C10" s="335" t="s">
        <v>243</v>
      </c>
      <c r="D10" s="156">
        <f>D9/C9-1</f>
        <v>0.20990712074303408</v>
      </c>
      <c r="E10" s="156">
        <f t="shared" ref="E10:H10" si="2">E9/D9-1</f>
        <v>-0.30578300921187307</v>
      </c>
      <c r="F10" s="156">
        <f t="shared" si="2"/>
        <v>-7.9616660523405769E-2</v>
      </c>
      <c r="G10" s="156">
        <f t="shared" si="2"/>
        <v>-0.14777733279935923</v>
      </c>
      <c r="H10" s="156">
        <f t="shared" si="2"/>
        <v>0.21522556390977443</v>
      </c>
      <c r="I10" s="156"/>
    </row>
    <row r="11" spans="2:10" x14ac:dyDescent="0.15">
      <c r="B11" s="155" t="s">
        <v>244</v>
      </c>
      <c r="C11" s="156">
        <f>C9/C3</f>
        <v>6.8342431551775204E-2</v>
      </c>
      <c r="D11" s="156">
        <f t="shared" ref="D11:H11" si="3">D9/D3</f>
        <v>7.5500859720639094E-2</v>
      </c>
      <c r="E11" s="156">
        <f t="shared" si="3"/>
        <v>5.8598643569916627E-2</v>
      </c>
      <c r="F11" s="156">
        <f t="shared" si="3"/>
        <v>5.7465709288410202E-2</v>
      </c>
      <c r="G11" s="156">
        <f t="shared" si="3"/>
        <v>5.1242535157002507E-2</v>
      </c>
      <c r="H11" s="156">
        <f t="shared" si="3"/>
        <v>6.1829049611476387E-2</v>
      </c>
      <c r="I11" s="156"/>
    </row>
    <row r="12" spans="2:10" x14ac:dyDescent="0.15">
      <c r="I12" s="156"/>
    </row>
    <row r="13" spans="2:10" x14ac:dyDescent="0.15">
      <c r="B13" s="152" t="s">
        <v>281</v>
      </c>
      <c r="C13" s="153">
        <f>'[1]Three Statement Model'!D44</f>
        <v>1798</v>
      </c>
      <c r="D13" s="153">
        <f>'[1]Three Statement Model'!E44</f>
        <v>2454</v>
      </c>
      <c r="E13" s="153">
        <f>'[1]Three Statement Model'!F44</f>
        <v>1419</v>
      </c>
      <c r="F13" s="153">
        <f>'[1]Three Statement Model'!G44</f>
        <v>1241</v>
      </c>
      <c r="G13" s="153">
        <f>'[1]Three Statement Model'!H44</f>
        <v>927</v>
      </c>
      <c r="H13" s="153">
        <v>1210</v>
      </c>
      <c r="I13" s="154">
        <f>(H13/C13)^(1/5.75)-1</f>
        <v>-6.6560433554336385E-2</v>
      </c>
      <c r="J13" s="149" t="s">
        <v>282</v>
      </c>
    </row>
    <row r="14" spans="2:10" x14ac:dyDescent="0.15">
      <c r="B14" s="155" t="s">
        <v>244</v>
      </c>
      <c r="C14" s="156">
        <f>C13/C3</f>
        <v>3.8043248275570228E-2</v>
      </c>
      <c r="D14" s="156">
        <f t="shared" ref="D14:H14" si="4">D13/D3</f>
        <v>4.7410212322018509E-2</v>
      </c>
      <c r="E14" s="156">
        <f t="shared" si="4"/>
        <v>3.064927210678647E-2</v>
      </c>
      <c r="F14" s="156">
        <f t="shared" si="4"/>
        <v>2.8560250391236306E-2</v>
      </c>
      <c r="G14" s="156">
        <f t="shared" si="4"/>
        <v>2.2322288576382202E-2</v>
      </c>
      <c r="H14" s="156">
        <f t="shared" si="4"/>
        <v>2.8930065750149433E-2</v>
      </c>
      <c r="I14" s="156"/>
    </row>
    <row r="15" spans="2:10" x14ac:dyDescent="0.15">
      <c r="I15" s="156"/>
    </row>
    <row r="16" spans="2:10" x14ac:dyDescent="0.15">
      <c r="B16" s="152" t="s">
        <v>152</v>
      </c>
      <c r="C16" s="157">
        <f>'[1]Three Statement Model'!D49</f>
        <v>6.836501901140684</v>
      </c>
      <c r="D16" s="157">
        <f>'[1]Three Statement Model'!E49</f>
        <v>9.8435619735258726</v>
      </c>
      <c r="E16" s="157">
        <f>'[1]Three Statement Model'!F49</f>
        <v>6.2871067789100579</v>
      </c>
      <c r="F16" s="157">
        <f>'[1]Three Statement Model'!G49</f>
        <v>5.6796338672768876</v>
      </c>
      <c r="G16" s="157">
        <f>'[1]Three Statement Model'!H49</f>
        <v>4.2797783933518003</v>
      </c>
      <c r="H16" s="157">
        <v>5.23</v>
      </c>
      <c r="I16" s="154">
        <f>(H16/C16)^(1/5.75)-1</f>
        <v>-4.5516765659040392E-2</v>
      </c>
    </row>
    <row r="17" spans="2:9" x14ac:dyDescent="0.15">
      <c r="B17" s="155" t="s">
        <v>242</v>
      </c>
      <c r="C17" s="335" t="s">
        <v>243</v>
      </c>
      <c r="D17" s="156">
        <f>D16/C16-1</f>
        <v>0.43985361459249428</v>
      </c>
      <c r="E17" s="156">
        <f t="shared" ref="E17:H17" si="5">E16/D16-1</f>
        <v>-0.36129758761928388</v>
      </c>
      <c r="F17" s="156">
        <f t="shared" si="5"/>
        <v>-9.6622012794648771E-2</v>
      </c>
      <c r="G17" s="156">
        <f t="shared" si="5"/>
        <v>-0.24646931591670551</v>
      </c>
      <c r="H17" s="156">
        <f t="shared" si="5"/>
        <v>0.22202588996763772</v>
      </c>
      <c r="I17" s="156"/>
    </row>
    <row r="19" spans="2:9" x14ac:dyDescent="0.15">
      <c r="B19" s="152" t="s">
        <v>283</v>
      </c>
      <c r="C19" s="153">
        <f>-'[1]Three Statement Model'!D122</f>
        <v>568</v>
      </c>
      <c r="D19" s="153">
        <f>-'[1]Three Statement Model'!E122</f>
        <v>688</v>
      </c>
      <c r="E19" s="153">
        <f>-'[1]Three Statement Model'!F122</f>
        <v>789</v>
      </c>
      <c r="F19" s="153">
        <f>-'[1]Three Statement Model'!G122</f>
        <v>801</v>
      </c>
      <c r="G19" s="153">
        <f>-'[1]Three Statement Model'!H122</f>
        <v>807</v>
      </c>
      <c r="H19" s="153">
        <v>802</v>
      </c>
      <c r="I19" s="154">
        <f>(H19/C19)^(1/5.75)-1</f>
        <v>6.1834180803013172E-2</v>
      </c>
    </row>
    <row r="20" spans="2:9" x14ac:dyDescent="0.15">
      <c r="B20" s="155" t="s">
        <v>242</v>
      </c>
      <c r="C20" s="335" t="s">
        <v>243</v>
      </c>
      <c r="D20" s="156">
        <f>D19/C19-1</f>
        <v>0.21126760563380276</v>
      </c>
      <c r="E20" s="156">
        <f t="shared" ref="E20:H20" si="6">E19/D19-1</f>
        <v>0.14680232558139528</v>
      </c>
      <c r="F20" s="156">
        <f t="shared" si="6"/>
        <v>1.5209125475285079E-2</v>
      </c>
      <c r="G20" s="156">
        <f t="shared" si="6"/>
        <v>7.4906367041198685E-3</v>
      </c>
      <c r="H20" s="156">
        <f t="shared" si="6"/>
        <v>-6.1957868649318293E-3</v>
      </c>
      <c r="I20" s="156"/>
    </row>
    <row r="22" spans="2:9" x14ac:dyDescent="0.15">
      <c r="B22" s="152" t="s">
        <v>251</v>
      </c>
      <c r="C22" s="153" cm="1">
        <f t="array" ref="C22:G22">DCF!F23:J23</f>
        <v>3080.1527777777778</v>
      </c>
      <c r="D22" s="153">
        <v>2424.1241610738257</v>
      </c>
      <c r="E22" s="153">
        <v>984.1030228254167</v>
      </c>
      <c r="F22" s="153">
        <v>467.85482625482632</v>
      </c>
      <c r="G22" s="153">
        <v>1182.0490797546013</v>
      </c>
      <c r="H22" s="153">
        <v>1514</v>
      </c>
      <c r="I22" s="154">
        <f>(H22/C22)^(1/5.75)-1</f>
        <v>-0.11619358247788247</v>
      </c>
    </row>
    <row r="23" spans="2:9" x14ac:dyDescent="0.15">
      <c r="B23" s="155" t="s">
        <v>242</v>
      </c>
      <c r="C23" s="335" t="s">
        <v>243</v>
      </c>
      <c r="D23" s="156">
        <f>D22/C22-1</f>
        <v>-0.21298573935584253</v>
      </c>
      <c r="E23" s="156">
        <f t="shared" ref="E23" si="7">E22/D22-1</f>
        <v>-0.59403769879943602</v>
      </c>
      <c r="F23" s="156">
        <f t="shared" ref="F23" si="8">F22/E22-1</f>
        <v>-0.52458755292551784</v>
      </c>
      <c r="G23" s="156">
        <f t="shared" ref="G23" si="9">G22/F22-1</f>
        <v>1.5265296271856239</v>
      </c>
      <c r="H23" s="156">
        <f t="shared" ref="H23" si="10">H22/G22-1</f>
        <v>0.28082668133738853</v>
      </c>
      <c r="I23" s="156"/>
    </row>
  </sheetData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ba5a7f39-e3be-4ab3-b450-67fa80faecad}" enabled="0" method="" siteId="{ba5a7f39-e3be-4ab3-b450-67fa80faeca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Cover Page</vt:lpstr>
      <vt:lpstr>Segment Revenue Build</vt:lpstr>
      <vt:lpstr>Segment Revenue Build 2</vt:lpstr>
      <vt:lpstr>Three Statement Model</vt:lpstr>
      <vt:lpstr>Modeled Useful Life+SG&amp;A brkdn</vt:lpstr>
      <vt:lpstr>DCF</vt:lpstr>
      <vt:lpstr>WACC</vt:lpstr>
      <vt:lpstr>One Pager</vt:lpstr>
      <vt:lpstr>Formatted</vt:lpstr>
      <vt:lpstr>Multiples</vt:lpstr>
      <vt:lpstr>FB Field</vt:lpstr>
      <vt:lpstr>General Assumptions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CFI</dc:creator>
  <cp:keywords/>
  <dc:description/>
  <cp:lastModifiedBy>Sonad, Daniel</cp:lastModifiedBy>
  <cp:revision/>
  <dcterms:created xsi:type="dcterms:W3CDTF">2014-11-08T22:00:02Z</dcterms:created>
  <dcterms:modified xsi:type="dcterms:W3CDTF">2025-12-04T07:05:54Z</dcterms:modified>
  <cp:category/>
  <cp:contentStatus/>
</cp:coreProperties>
</file>